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&amp;M\"/>
    </mc:Choice>
  </mc:AlternateContent>
  <xr:revisionPtr revIDLastSave="0" documentId="8_{29442518-9294-417F-9FB8-5E8D1047D7E4}" xr6:coauthVersionLast="47" xr6:coauthVersionMax="47" xr10:uidLastSave="{00000000-0000-0000-0000-000000000000}"/>
  <bookViews>
    <workbookView xWindow="-110" yWindow="-110" windowWidth="25820" windowHeight="15500" firstSheet="2" activeTab="2" xr2:uid="{CAFE1EA9-68F2-4C00-9034-63B3762E3886}"/>
  </bookViews>
  <sheets>
    <sheet name="Sheet1" sheetId="1" r:id="rId1"/>
    <sheet name="Sheet2" sheetId="3" r:id="rId2"/>
    <sheet name="Processing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S12" i="2"/>
  <c r="T20" i="2"/>
  <c r="T21" i="2"/>
  <c r="T22" i="2"/>
  <c r="T19" i="2"/>
  <c r="P20" i="2"/>
  <c r="P21" i="2"/>
  <c r="P22" i="2"/>
  <c r="P19" i="2"/>
  <c r="Q20" i="2"/>
  <c r="Q21" i="2"/>
  <c r="Q22" i="2"/>
  <c r="Q19" i="2"/>
  <c r="O20" i="2"/>
  <c r="O21" i="2"/>
  <c r="O22" i="2"/>
  <c r="O19" i="2"/>
  <c r="R19" i="2" l="1"/>
  <c r="S19" i="2" s="1"/>
  <c r="L28" i="2" s="1"/>
  <c r="R22" i="2"/>
  <c r="S22" i="2" s="1"/>
  <c r="L31" i="2" s="1"/>
  <c r="R21" i="2"/>
  <c r="S21" i="2" s="1"/>
  <c r="L30" i="2" s="1"/>
  <c r="R20" i="2"/>
  <c r="S20" i="2" s="1"/>
  <c r="L29" i="2" s="1"/>
  <c r="I7" i="2"/>
  <c r="I8" i="2"/>
  <c r="H7" i="2"/>
  <c r="H8" i="2"/>
  <c r="G7" i="2"/>
  <c r="G8" i="2"/>
  <c r="K5" i="2"/>
  <c r="K6" i="2"/>
  <c r="K4" i="2"/>
  <c r="I5" i="2" l="1"/>
  <c r="I6" i="2"/>
  <c r="H5" i="2"/>
  <c r="H6" i="2"/>
  <c r="G5" i="2"/>
  <c r="G6" i="2"/>
  <c r="G4" i="2"/>
  <c r="H4" i="2"/>
  <c r="I4" i="2"/>
  <c r="L13" i="2"/>
  <c r="L14" i="2"/>
  <c r="L12" i="2"/>
  <c r="L20" i="2"/>
  <c r="L21" i="2"/>
  <c r="L22" i="2"/>
  <c r="L19" i="2"/>
  <c r="J13" i="2"/>
  <c r="J14" i="2"/>
  <c r="J12" i="2"/>
  <c r="K22" i="2"/>
  <c r="M22" i="2" s="1"/>
  <c r="H22" i="2"/>
  <c r="N22" i="2" s="1"/>
  <c r="K21" i="2"/>
  <c r="M21" i="2" s="1"/>
  <c r="H21" i="2"/>
  <c r="N21" i="2" s="1"/>
  <c r="K20" i="2"/>
  <c r="M20" i="2" s="1"/>
  <c r="H20" i="2"/>
  <c r="N20" i="2" s="1"/>
  <c r="K19" i="2"/>
  <c r="M19" i="2" s="1"/>
  <c r="H19" i="2"/>
  <c r="N19" i="2" s="1"/>
  <c r="I14" i="2"/>
  <c r="K14" i="2" s="1"/>
  <c r="N14" i="2" s="1"/>
  <c r="P14" i="2" s="1"/>
  <c r="I13" i="2"/>
  <c r="K13" i="2" s="1"/>
  <c r="N13" i="2" s="1"/>
  <c r="P13" i="2" s="1"/>
  <c r="M28" i="2" l="1"/>
  <c r="M29" i="2"/>
  <c r="M30" i="2"/>
  <c r="M31" i="2"/>
  <c r="S14" i="2"/>
  <c r="S13" i="2"/>
  <c r="U19" i="2"/>
  <c r="U22" i="2"/>
  <c r="U21" i="2"/>
  <c r="U20" i="2"/>
  <c r="N28" i="2"/>
  <c r="N31" i="2"/>
  <c r="N12" i="2"/>
  <c r="P12" i="2" s="1"/>
  <c r="N30" i="2"/>
  <c r="N29" i="2"/>
  <c r="M12" i="2"/>
  <c r="M14" i="2"/>
  <c r="M13" i="2"/>
  <c r="K20" i="1"/>
  <c r="K21" i="1"/>
  <c r="K22" i="1"/>
  <c r="H20" i="1"/>
  <c r="H21" i="1"/>
  <c r="H22" i="1"/>
  <c r="H19" i="1"/>
  <c r="K19" i="1"/>
  <c r="I14" i="1"/>
  <c r="I13" i="1"/>
  <c r="R13" i="2" l="1"/>
  <c r="O13" i="2"/>
  <c r="Q13" i="2" s="1"/>
  <c r="R14" i="2"/>
  <c r="O14" i="2"/>
  <c r="Q14" i="2" s="1"/>
  <c r="R12" i="2"/>
  <c r="W28" i="2" s="1"/>
  <c r="O12" i="2"/>
  <c r="Q12" i="2" s="1"/>
  <c r="O29" i="2"/>
  <c r="P29" i="2" s="1"/>
  <c r="Q29" i="2"/>
  <c r="O30" i="2"/>
  <c r="P30" i="2" s="1"/>
  <c r="Q30" i="2"/>
  <c r="O31" i="2"/>
  <c r="P31" i="2" s="1"/>
  <c r="Q31" i="2"/>
  <c r="O28" i="2"/>
  <c r="P28" i="2" s="1"/>
  <c r="Q28" i="2"/>
  <c r="W36" i="2"/>
  <c r="W37" i="2"/>
  <c r="W38" i="2"/>
  <c r="W35" i="2"/>
  <c r="W29" i="2"/>
  <c r="W30" i="2"/>
</calcChain>
</file>

<file path=xl/sharedStrings.xml><?xml version="1.0" encoding="utf-8"?>
<sst xmlns="http://schemas.openxmlformats.org/spreadsheetml/2006/main" count="102" uniqueCount="54">
  <si>
    <t>Measuring Device</t>
  </si>
  <si>
    <t>Resolution</t>
  </si>
  <si>
    <t>Room Conditions</t>
  </si>
  <si>
    <t>Themocouple (deg C)</t>
  </si>
  <si>
    <t>Temperature (deg C)</t>
  </si>
  <si>
    <t>Voltmeter (V)</t>
  </si>
  <si>
    <t>Pressure (Pa)</t>
  </si>
  <si>
    <t>Ammeter (A)</t>
  </si>
  <si>
    <t>Anemometer (m/s)</t>
  </si>
  <si>
    <t>Experiment 1</t>
  </si>
  <si>
    <t>Sample #</t>
  </si>
  <si>
    <t>Voltage (V)</t>
  </si>
  <si>
    <t>Current (A)</t>
  </si>
  <si>
    <t>T1 (deg C) 
Min</t>
  </si>
  <si>
    <t>T1 (deg C) 
Max</t>
  </si>
  <si>
    <t>T1 (deg C)
Av.</t>
  </si>
  <si>
    <t>T2 (deg C)
Min</t>
  </si>
  <si>
    <t>T2 (deg C)
max</t>
  </si>
  <si>
    <t>T2 (deg C)
Av</t>
  </si>
  <si>
    <t>Experiment 2</t>
  </si>
  <si>
    <t>Velocity (m/s)
A</t>
  </si>
  <si>
    <t>Velocity (m/s)
B</t>
  </si>
  <si>
    <t>T1 (deg C)
Av</t>
  </si>
  <si>
    <t>T2 (deg C)
Max</t>
  </si>
  <si>
    <t>F</t>
  </si>
  <si>
    <t>emissivity</t>
  </si>
  <si>
    <t>stefan-boltzmann constant</t>
  </si>
  <si>
    <t>constant for hr</t>
  </si>
  <si>
    <t>D (m)</t>
  </si>
  <si>
    <t>As (m2)</t>
  </si>
  <si>
    <t>T1 (deg C)
Avg</t>
  </si>
  <si>
    <t>T2 (deg C)
Avg</t>
  </si>
  <si>
    <t>Qinput (W)</t>
  </si>
  <si>
    <t>Ts (K)</t>
  </si>
  <si>
    <t>Ta (K)</t>
  </si>
  <si>
    <t>hr (W/m2/K)</t>
  </si>
  <si>
    <t>hc (W/m2/K)</t>
  </si>
  <si>
    <t>Qr</t>
  </si>
  <si>
    <t>Qc</t>
  </si>
  <si>
    <t>Qtot</t>
  </si>
  <si>
    <t>h_total_theory</t>
  </si>
  <si>
    <t>h_total_exp</t>
  </si>
  <si>
    <t>Pr</t>
  </si>
  <si>
    <t>µ (m2/s)</t>
  </si>
  <si>
    <t>k (W/mK)</t>
  </si>
  <si>
    <t>Re</t>
  </si>
  <si>
    <t>Nu</t>
  </si>
  <si>
    <t>Ue</t>
  </si>
  <si>
    <t>hf</t>
  </si>
  <si>
    <t>Qf</t>
  </si>
  <si>
    <t>hr</t>
  </si>
  <si>
    <t>Ht (experimental)</t>
  </si>
  <si>
    <t>Ht (theoretical)</t>
  </si>
  <si>
    <t>%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</si>
</sst>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27" applyNumberFormat="0" applyFill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5" xfId="0" applyBorder="1"/>
    <xf numFmtId="0" fontId="0" fillId="0" borderId="14" xfId="0" applyBorder="1"/>
    <xf numFmtId="0" fontId="0" fillId="0" borderId="17" xfId="0" applyBorder="1"/>
    <xf numFmtId="0" fontId="0" fillId="0" borderId="16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2" borderId="26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/>
    </xf>
    <xf numFmtId="0" fontId="2" fillId="2" borderId="16" xfId="1" applyBorder="1" applyAlignment="1">
      <alignment horizontal="center" vertical="center" wrapText="1"/>
    </xf>
    <xf numFmtId="0" fontId="2" fillId="2" borderId="20" xfId="1" applyBorder="1" applyAlignment="1">
      <alignment horizontal="center" vertical="center" wrapText="1"/>
    </xf>
    <xf numFmtId="0" fontId="2" fillId="2" borderId="23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19" xfId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7" xfId="2" applyFont="1" applyAlignment="1">
      <alignment horizontal="center"/>
    </xf>
  </cellXfs>
  <cellStyles count="3">
    <cellStyle name="Good" xfId="1" builtinId="26"/>
    <cellStyle name="Heading 1" xfId="2" builtinId="16"/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Heat Transfer Coefficient vs Surface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 (Theoretical)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Processing!$K$12:$K$14</c:f>
              <c:numCache>
                <c:formatCode>General</c:formatCode>
                <c:ptCount val="3"/>
                <c:pt idx="0">
                  <c:v>359.15</c:v>
                </c:pt>
                <c:pt idx="1">
                  <c:v>497.75</c:v>
                </c:pt>
                <c:pt idx="2">
                  <c:v>642.79999999999995</c:v>
                </c:pt>
              </c:numCache>
            </c:numRef>
          </c:cat>
          <c:val>
            <c:numRef>
              <c:f>Processing!$M$12:$M$14</c:f>
              <c:numCache>
                <c:formatCode>General</c:formatCode>
                <c:ptCount val="3"/>
                <c:pt idx="0">
                  <c:v>7.7175040753090336</c:v>
                </c:pt>
                <c:pt idx="1">
                  <c:v>14.423772347285329</c:v>
                </c:pt>
                <c:pt idx="2">
                  <c:v>25.422072114856718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9-42F1-8D71-289EDF414EF6}"/>
            </c:ext>
          </c:extLst>
        </c:ser>
        <c:ser>
          <c:idx val="1"/>
          <c:order val="1"/>
          <c:tx>
            <c:v>Hc (Theoretical)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Processing!$K$12:$K$14</c:f>
              <c:numCache>
                <c:formatCode>General</c:formatCode>
                <c:ptCount val="3"/>
                <c:pt idx="0">
                  <c:v>359.15</c:v>
                </c:pt>
                <c:pt idx="1">
                  <c:v>497.75</c:v>
                </c:pt>
                <c:pt idx="2">
                  <c:v>642.79999999999995</c:v>
                </c:pt>
              </c:numCache>
            </c:numRef>
          </c:cat>
          <c:val>
            <c:numRef>
              <c:f>Processing!$N$12:$N$14</c:f>
              <c:numCache>
                <c:formatCode>General</c:formatCode>
                <c:ptCount val="3"/>
                <c:pt idx="0">
                  <c:v>11.660797522906689</c:v>
                </c:pt>
                <c:pt idx="1">
                  <c:v>15.69360806205356</c:v>
                </c:pt>
                <c:pt idx="2">
                  <c:v>17.991201640062631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9-42F1-8D71-289EDF414EF6}"/>
            </c:ext>
          </c:extLst>
        </c:ser>
        <c:ser>
          <c:idx val="2"/>
          <c:order val="2"/>
          <c:tx>
            <c:v>Ht (Theoretical)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Processing!$K$12:$K$14</c:f>
              <c:numCache>
                <c:formatCode>General</c:formatCode>
                <c:ptCount val="3"/>
                <c:pt idx="0">
                  <c:v>359.15</c:v>
                </c:pt>
                <c:pt idx="1">
                  <c:v>497.75</c:v>
                </c:pt>
                <c:pt idx="2">
                  <c:v>642.79999999999995</c:v>
                </c:pt>
              </c:numCache>
            </c:numRef>
          </c:cat>
          <c:val>
            <c:numRef>
              <c:f>Processing!$R$12:$R$14</c:f>
              <c:numCache>
                <c:formatCode>General</c:formatCode>
                <c:ptCount val="3"/>
                <c:pt idx="0">
                  <c:v>19.378301598215721</c:v>
                </c:pt>
                <c:pt idx="1">
                  <c:v>30.117380409338889</c:v>
                </c:pt>
                <c:pt idx="2">
                  <c:v>43.413273754919345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9-42F1-8D71-289EDF414EF6}"/>
            </c:ext>
          </c:extLst>
        </c:ser>
        <c:ser>
          <c:idx val="3"/>
          <c:order val="3"/>
          <c:tx>
            <c:v>Ht (Experimental)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Processing!$K$12:$K$14</c:f>
              <c:numCache>
                <c:formatCode>General</c:formatCode>
                <c:ptCount val="3"/>
                <c:pt idx="0">
                  <c:v>359.15</c:v>
                </c:pt>
                <c:pt idx="1">
                  <c:v>497.75</c:v>
                </c:pt>
                <c:pt idx="2">
                  <c:v>642.79999999999995</c:v>
                </c:pt>
              </c:numCache>
            </c:numRef>
          </c:cat>
          <c:val>
            <c:numRef>
              <c:f>Processing!$S$12:$S$14</c:f>
              <c:numCache>
                <c:formatCode>General</c:formatCode>
                <c:ptCount val="3"/>
                <c:pt idx="0">
                  <c:v>28.735632183908056</c:v>
                </c:pt>
                <c:pt idx="1">
                  <c:v>36.627536627536628</c:v>
                </c:pt>
                <c:pt idx="2">
                  <c:v>48.8000842970417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9-42F1-8D71-289EDF41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465567"/>
        <c:axId val="1528354271"/>
      </c:lineChart>
      <c:catAx>
        <c:axId val="19584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Surface 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54271"/>
        <c:crosses val="autoZero"/>
        <c:auto val="1"/>
        <c:lblAlgn val="ctr"/>
        <c:lblOffset val="100"/>
        <c:noMultiLvlLbl val="0"/>
      </c:catAx>
      <c:valAx>
        <c:axId val="15283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Heat</a:t>
                </a:r>
                <a:r>
                  <a:rPr lang="en-GB" sz="1200" b="1" baseline="0"/>
                  <a:t> Transfer Coefficient (W/m^2*K)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Heat</a:t>
            </a:r>
            <a:r>
              <a:rPr lang="en-GB" b="1" baseline="0"/>
              <a:t> Transfer Coefficient vs Effective Air Velocity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 (Theoretical)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Processing!$T$19:$T$22</c:f>
              <c:numCache>
                <c:formatCode>General</c:formatCode>
                <c:ptCount val="4"/>
                <c:pt idx="0">
                  <c:v>1.22</c:v>
                </c:pt>
                <c:pt idx="1">
                  <c:v>3.66</c:v>
                </c:pt>
                <c:pt idx="2">
                  <c:v>6.1</c:v>
                </c:pt>
                <c:pt idx="3">
                  <c:v>8.5399999999999991</c:v>
                </c:pt>
              </c:numCache>
            </c:numRef>
          </c:cat>
          <c:val>
            <c:numRef>
              <c:f>Processing!$N$28:$N$31</c:f>
              <c:numCache>
                <c:formatCode>General</c:formatCode>
                <c:ptCount val="4"/>
                <c:pt idx="0">
                  <c:v>23.460646289100609</c:v>
                </c:pt>
                <c:pt idx="1">
                  <c:v>16.199506565183338</c:v>
                </c:pt>
                <c:pt idx="2">
                  <c:v>12.856182018913794</c:v>
                </c:pt>
                <c:pt idx="3">
                  <c:v>11.719239790822195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1-4CFD-B173-5E0C99472CB7}"/>
            </c:ext>
          </c:extLst>
        </c:ser>
        <c:ser>
          <c:idx val="1"/>
          <c:order val="1"/>
          <c:tx>
            <c:v>Hf (Theoretical)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Processing!$T$19:$T$22</c:f>
              <c:numCache>
                <c:formatCode>General</c:formatCode>
                <c:ptCount val="4"/>
                <c:pt idx="0">
                  <c:v>1.22</c:v>
                </c:pt>
                <c:pt idx="1">
                  <c:v>3.66</c:v>
                </c:pt>
                <c:pt idx="2">
                  <c:v>6.1</c:v>
                </c:pt>
                <c:pt idx="3">
                  <c:v>8.5399999999999991</c:v>
                </c:pt>
              </c:numCache>
            </c:numRef>
          </c:cat>
          <c:val>
            <c:numRef>
              <c:f>Processing!$L$28:$L$31</c:f>
              <c:numCache>
                <c:formatCode>General</c:formatCode>
                <c:ptCount val="4"/>
                <c:pt idx="0">
                  <c:v>38.147489483255065</c:v>
                </c:pt>
                <c:pt idx="1">
                  <c:v>67.86071742250725</c:v>
                </c:pt>
                <c:pt idx="2">
                  <c:v>89.479190999997172</c:v>
                </c:pt>
                <c:pt idx="3">
                  <c:v>107.74899531405728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1-4CFD-B173-5E0C99472CB7}"/>
            </c:ext>
          </c:extLst>
        </c:ser>
        <c:ser>
          <c:idx val="2"/>
          <c:order val="2"/>
          <c:tx>
            <c:v>Ht (Theoretical)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Processing!$T$19:$T$22</c:f>
              <c:numCache>
                <c:formatCode>General</c:formatCode>
                <c:ptCount val="4"/>
                <c:pt idx="0">
                  <c:v>1.22</c:v>
                </c:pt>
                <c:pt idx="1">
                  <c:v>3.66</c:v>
                </c:pt>
                <c:pt idx="2">
                  <c:v>6.1</c:v>
                </c:pt>
                <c:pt idx="3">
                  <c:v>8.5399999999999991</c:v>
                </c:pt>
              </c:numCache>
            </c:numRef>
          </c:cat>
          <c:val>
            <c:numRef>
              <c:f>Processing!$Q$28:$Q$31</c:f>
              <c:numCache>
                <c:formatCode>General</c:formatCode>
                <c:ptCount val="4"/>
                <c:pt idx="0">
                  <c:v>61.608135772355674</c:v>
                </c:pt>
                <c:pt idx="1">
                  <c:v>84.060223987690591</c:v>
                </c:pt>
                <c:pt idx="2">
                  <c:v>102.33537301891097</c:v>
                </c:pt>
                <c:pt idx="3">
                  <c:v>119.46823510487948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1-4CFD-B173-5E0C99472CB7}"/>
            </c:ext>
          </c:extLst>
        </c:ser>
        <c:ser>
          <c:idx val="3"/>
          <c:order val="3"/>
          <c:tx>
            <c:v>Ht (Experimental)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Processing!$T$19:$T$22</c:f>
              <c:numCache>
                <c:formatCode>General</c:formatCode>
                <c:ptCount val="4"/>
                <c:pt idx="0">
                  <c:v>1.22</c:v>
                </c:pt>
                <c:pt idx="1">
                  <c:v>3.66</c:v>
                </c:pt>
                <c:pt idx="2">
                  <c:v>6.1</c:v>
                </c:pt>
                <c:pt idx="3">
                  <c:v>8.5399999999999991</c:v>
                </c:pt>
              </c:numCache>
            </c:numRef>
          </c:cat>
          <c:val>
            <c:numRef>
              <c:f>Processing!$U$19:$U$22</c:f>
              <c:numCache>
                <c:formatCode>General</c:formatCode>
                <c:ptCount val="4"/>
                <c:pt idx="0">
                  <c:v>53.994578681978474</c:v>
                </c:pt>
                <c:pt idx="1">
                  <c:v>76.336657946370167</c:v>
                </c:pt>
                <c:pt idx="2">
                  <c:v>99.448392913970494</c:v>
                </c:pt>
                <c:pt idx="3">
                  <c:v>113.63636363636361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1-4CFD-B173-5E0C9947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57727"/>
        <c:axId val="2077913151"/>
      </c:lineChart>
      <c:catAx>
        <c:axId val="20898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Effective</a:t>
                </a:r>
                <a:r>
                  <a:rPr lang="en-GB" sz="1200" b="1" baseline="0"/>
                  <a:t> Air Velocity (m/s)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13151"/>
        <c:crosses val="autoZero"/>
        <c:auto val="1"/>
        <c:lblAlgn val="ctr"/>
        <c:lblOffset val="100"/>
        <c:noMultiLvlLbl val="0"/>
      </c:catAx>
      <c:valAx>
        <c:axId val="20779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Heat Transfer</a:t>
                </a:r>
                <a:r>
                  <a:rPr lang="en-GB" sz="1200" b="1" baseline="0"/>
                  <a:t> Coefficient (W/m^2*K)</a:t>
                </a:r>
              </a:p>
            </c:rich>
          </c:tx>
          <c:layout>
            <c:manualLayout>
              <c:xMode val="edge"/>
              <c:yMode val="edge"/>
              <c:x val="1.5274461221109653E-2"/>
              <c:y val="0.274506549707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407592</xdr:colOff>
      <xdr:row>25</xdr:row>
      <xdr:rowOff>98026</xdr:rowOff>
    </xdr:from>
    <xdr:to>
      <xdr:col>6</xdr:col>
      <xdr:colOff>1346200</xdr:colOff>
      <xdr:row>56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35662-427E-C091-42B9-76980A23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1287064</xdr:colOff>
      <xdr:row>33</xdr:row>
      <xdr:rowOff>29764</xdr:rowOff>
    </xdr:from>
    <xdr:to>
      <xdr:col>15</xdr:col>
      <xdr:colOff>558800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8E974-759B-9877-9FC8-28F226400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6FB07-C4F0-4554-A6D6-8C9640F61B3D}" name="Table1" displayName="Table1" ref="L27:Q31" totalsRowShown="0">
  <autoFilter ref="L27:Q31" xr:uid="{CAC0710A-A11B-4296-A9B6-60C307A547A7}"/>
  <tableColumns count="6">
    <tableColumn id="1" xr3:uid="{B8BE5DD3-F2C9-43EC-9600-AEF8253EA2A6}" name="hf" dataDxfId="16">
      <calculatedColumnFormula>(Q19/L4)*S19</calculatedColumnFormula>
    </tableColumn>
    <tableColumn id="2" xr3:uid="{431C7B1B-0AAF-40EF-887C-938E27E61526}" name="Qf" dataDxfId="15">
      <calculatedColumnFormula>Table1[[#This Row],[hf]]*M4*(M19-N19)</calculatedColumnFormula>
    </tableColumn>
    <tableColumn id="3" xr3:uid="{F8EB7530-9252-400D-A23C-0636B0C556B8}" name="hr" dataDxfId="14">
      <calculatedColumnFormula>G4*H4*I4*(((M19)^4-(N19)^4)/((M19)-(N19)))</calculatedColumnFormula>
    </tableColumn>
    <tableColumn id="4" xr3:uid="{6EF8FFDF-96E0-4044-86EE-62FB3754AE00}" name="Qr" dataDxfId="13">
      <calculatedColumnFormula>Table1[[#This Row],[hr]]*M4*(M19-N19)</calculatedColumnFormula>
    </tableColumn>
    <tableColumn id="5" xr3:uid="{7641DA52-7019-4A0C-A291-5D1552D12AE6}" name="Qtot" dataDxfId="12">
      <calculatedColumnFormula>Table1[[#This Row],[Qr]]+Table1[[#This Row],[Qf]]</calculatedColumnFormula>
    </tableColumn>
    <tableColumn id="6" xr3:uid="{F02BA0D8-4662-4EB6-859C-1983B504290D}" name="h_total_theory" dataDxfId="11">
      <calculatedColumnFormula>Table1[[#This Row],[hf]]+Table1[[#This Row],[hr]]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CD8D7-204A-4E31-BC2B-CC0840B5361C}" name="Table2" displayName="Table2" ref="U27:W30" headerRowCount="0" headerRowDxfId="10" dataDxfId="9" totalsRowDxfId="8">
  <tableColumns count="3">
    <tableColumn id="1" xr3:uid="{33122732-7038-41E4-8743-1AA4A2394079}" name="Experiment 1 " totalsRowLabel="Total" headerRowDxfId="7" dataDxfId="6" totalsRowDxfId="5"/>
    <tableColumn id="2" xr3:uid="{B5875510-37A2-4824-8E42-4D0BAD775654}" name="Column1" dataDxfId="4" totalsRowDxfId="3"/>
    <tableColumn id="3" xr3:uid="{B10D3867-A74C-4218-B97D-8C3EAD0AEEF7}" name="Column2" totalsRowFunction="count" headerRowDxfId="2" dataDxfId="1" totalsRowDxfId="0">
      <calculatedColumnFormula>((S11-R11)/R11)*100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FF46-4C81-4250-B1ED-4A8B629C3C50}">
  <dimension ref="A1:K25"/>
  <sheetViews>
    <sheetView workbookViewId="0">
      <selection activeCell="J15" sqref="J15"/>
    </sheetView>
  </sheetViews>
  <sheetFormatPr defaultRowHeight="14.5" x14ac:dyDescent="0.35"/>
  <cols>
    <col min="1" max="1" width="21.7265625" customWidth="1"/>
    <col min="2" max="3" width="13.54296875" customWidth="1"/>
    <col min="4" max="11" width="19.7265625" customWidth="1"/>
  </cols>
  <sheetData>
    <row r="1" spans="1:9" ht="15" thickBot="1" x14ac:dyDescent="0.4"/>
    <row r="2" spans="1:9" ht="15" thickBot="1" x14ac:dyDescent="0.4">
      <c r="A2" s="11" t="s">
        <v>0</v>
      </c>
      <c r="B2" s="12" t="s">
        <v>1</v>
      </c>
      <c r="D2" s="39" t="s">
        <v>2</v>
      </c>
      <c r="E2" s="40"/>
    </row>
    <row r="3" spans="1:9" x14ac:dyDescent="0.35">
      <c r="A3" s="3" t="s">
        <v>3</v>
      </c>
      <c r="B3" s="4">
        <v>0.1</v>
      </c>
      <c r="D3" s="7" t="s">
        <v>4</v>
      </c>
      <c r="E3" s="10"/>
    </row>
    <row r="4" spans="1:9" ht="15" thickBot="1" x14ac:dyDescent="0.4">
      <c r="A4" s="3" t="s">
        <v>5</v>
      </c>
      <c r="B4" s="4">
        <v>1</v>
      </c>
      <c r="D4" s="8" t="s">
        <v>6</v>
      </c>
      <c r="E4" s="9"/>
    </row>
    <row r="5" spans="1:9" x14ac:dyDescent="0.35">
      <c r="A5" s="3" t="s">
        <v>7</v>
      </c>
      <c r="B5" s="4">
        <v>1E-3</v>
      </c>
    </row>
    <row r="6" spans="1:9" ht="15" thickBot="1" x14ac:dyDescent="0.4">
      <c r="A6" s="5" t="s">
        <v>8</v>
      </c>
      <c r="B6" s="6">
        <v>0.1</v>
      </c>
    </row>
    <row r="8" spans="1:9" x14ac:dyDescent="0.35">
      <c r="A8" s="2"/>
    </row>
    <row r="9" spans="1:9" ht="15" thickBot="1" x14ac:dyDescent="0.4"/>
    <row r="10" spans="1:9" ht="15" thickBot="1" x14ac:dyDescent="0.4">
      <c r="A10" s="41" t="s">
        <v>9</v>
      </c>
      <c r="B10" s="42"/>
      <c r="C10" s="42"/>
      <c r="D10" s="42"/>
      <c r="E10" s="42"/>
      <c r="F10" s="42"/>
      <c r="G10" s="42"/>
      <c r="H10" s="42"/>
      <c r="I10" s="43"/>
    </row>
    <row r="11" spans="1:9" ht="35.25" customHeight="1" thickBot="1" x14ac:dyDescent="0.4">
      <c r="A11" s="13" t="s">
        <v>10</v>
      </c>
      <c r="B11" s="14" t="s">
        <v>11</v>
      </c>
      <c r="C11" s="14" t="s">
        <v>12</v>
      </c>
      <c r="D11" s="17" t="s">
        <v>13</v>
      </c>
      <c r="E11" s="17" t="s">
        <v>14</v>
      </c>
      <c r="F11" s="17" t="s">
        <v>15</v>
      </c>
      <c r="G11" s="17" t="s">
        <v>16</v>
      </c>
      <c r="H11" s="17" t="s">
        <v>17</v>
      </c>
      <c r="I11" s="18" t="s">
        <v>18</v>
      </c>
    </row>
    <row r="12" spans="1:9" x14ac:dyDescent="0.35">
      <c r="A12" s="16">
        <v>1</v>
      </c>
      <c r="B12" s="16">
        <v>50</v>
      </c>
      <c r="C12" s="16">
        <v>7.6999999999999999E-2</v>
      </c>
      <c r="D12" s="16">
        <v>25.1</v>
      </c>
      <c r="E12" s="16">
        <v>25.1</v>
      </c>
      <c r="F12" s="16">
        <v>25.1</v>
      </c>
      <c r="G12" s="16">
        <v>86</v>
      </c>
      <c r="H12" s="16">
        <v>86</v>
      </c>
      <c r="I12" s="16">
        <v>86</v>
      </c>
    </row>
    <row r="13" spans="1:9" x14ac:dyDescent="0.35">
      <c r="A13" s="1">
        <v>2</v>
      </c>
      <c r="B13" s="1">
        <v>100</v>
      </c>
      <c r="C13" s="1">
        <v>0.161</v>
      </c>
      <c r="D13" s="1">
        <v>24.7</v>
      </c>
      <c r="E13" s="1">
        <v>24.9</v>
      </c>
      <c r="F13" s="1">
        <v>24.8</v>
      </c>
      <c r="G13" s="1">
        <v>222.6</v>
      </c>
      <c r="H13" s="1">
        <v>226.6</v>
      </c>
      <c r="I13" s="25">
        <f>AVERAGE(G13:H13)</f>
        <v>224.6</v>
      </c>
    </row>
    <row r="14" spans="1:9" x14ac:dyDescent="0.35">
      <c r="A14" s="1">
        <v>3</v>
      </c>
      <c r="B14" s="1">
        <v>150</v>
      </c>
      <c r="C14" s="1">
        <v>0.247</v>
      </c>
      <c r="D14" s="1">
        <v>24.5</v>
      </c>
      <c r="E14" s="1">
        <v>24.6</v>
      </c>
      <c r="F14" s="1">
        <v>24.55</v>
      </c>
      <c r="G14" s="1">
        <v>369.3</v>
      </c>
      <c r="H14" s="19">
        <v>370</v>
      </c>
      <c r="I14" s="1">
        <f>AVERAGE(G14:H14)</f>
        <v>369.65</v>
      </c>
    </row>
    <row r="16" spans="1:9" ht="15" thickBot="1" x14ac:dyDescent="0.4"/>
    <row r="17" spans="1:11" ht="15" thickBot="1" x14ac:dyDescent="0.4">
      <c r="A17" s="44" t="s">
        <v>19</v>
      </c>
      <c r="B17" s="45"/>
      <c r="C17" s="45"/>
      <c r="D17" s="45"/>
      <c r="E17" s="45"/>
      <c r="F17" s="45"/>
      <c r="G17" s="45"/>
      <c r="H17" s="45"/>
      <c r="I17" s="45"/>
      <c r="J17" s="45"/>
      <c r="K17" s="46"/>
    </row>
    <row r="18" spans="1:11" ht="29" x14ac:dyDescent="0.35">
      <c r="A18" s="20" t="s">
        <v>10</v>
      </c>
      <c r="B18" s="15" t="s">
        <v>20</v>
      </c>
      <c r="C18" s="21" t="s">
        <v>21</v>
      </c>
      <c r="D18" s="22" t="s">
        <v>11</v>
      </c>
      <c r="E18" s="22" t="s">
        <v>12</v>
      </c>
      <c r="F18" s="23" t="s">
        <v>13</v>
      </c>
      <c r="G18" s="23" t="s">
        <v>14</v>
      </c>
      <c r="H18" s="23" t="s">
        <v>22</v>
      </c>
      <c r="I18" s="23" t="s">
        <v>16</v>
      </c>
      <c r="J18" s="23" t="s">
        <v>23</v>
      </c>
      <c r="K18" s="24" t="s">
        <v>18</v>
      </c>
    </row>
    <row r="19" spans="1:11" x14ac:dyDescent="0.35">
      <c r="A19" s="1">
        <v>1</v>
      </c>
      <c r="B19" s="1">
        <v>1</v>
      </c>
      <c r="C19" s="1"/>
      <c r="D19" s="1">
        <v>150</v>
      </c>
      <c r="E19" s="1">
        <v>0.247</v>
      </c>
      <c r="F19" s="1">
        <v>31.4</v>
      </c>
      <c r="G19" s="1">
        <v>31.5</v>
      </c>
      <c r="H19" s="1">
        <f>AVERAGE(F19:G19)</f>
        <v>31.45</v>
      </c>
      <c r="I19" s="1">
        <v>343.2</v>
      </c>
      <c r="J19" s="1">
        <v>343.5</v>
      </c>
      <c r="K19" s="1">
        <f>AVERAGE(I19:J19)</f>
        <v>343.35</v>
      </c>
    </row>
    <row r="20" spans="1:11" x14ac:dyDescent="0.35">
      <c r="A20" s="1">
        <v>2</v>
      </c>
      <c r="B20" s="1">
        <v>3</v>
      </c>
      <c r="C20" s="1"/>
      <c r="D20" s="1">
        <v>150</v>
      </c>
      <c r="E20" s="1">
        <v>0.249</v>
      </c>
      <c r="F20" s="1">
        <v>27.9</v>
      </c>
      <c r="G20" s="1">
        <v>28</v>
      </c>
      <c r="H20" s="1">
        <f t="shared" ref="H20:H22" si="0">AVERAGE(F20:G20)</f>
        <v>27.95</v>
      </c>
      <c r="I20" s="1">
        <v>250.3</v>
      </c>
      <c r="J20" s="1">
        <v>250.4</v>
      </c>
      <c r="K20" s="1">
        <f t="shared" ref="K20:K22" si="1">AVERAGE(I20:J20)</f>
        <v>250.35000000000002</v>
      </c>
    </row>
    <row r="21" spans="1:11" x14ac:dyDescent="0.35">
      <c r="A21" s="1">
        <v>3</v>
      </c>
      <c r="B21" s="1">
        <v>5</v>
      </c>
      <c r="C21" s="1"/>
      <c r="D21" s="1">
        <v>150</v>
      </c>
      <c r="E21" s="27">
        <v>0.25</v>
      </c>
      <c r="F21" s="1">
        <v>25.6</v>
      </c>
      <c r="G21" s="1">
        <v>25.7</v>
      </c>
      <c r="H21" s="1">
        <f t="shared" si="0"/>
        <v>25.65</v>
      </c>
      <c r="I21" s="26">
        <v>197</v>
      </c>
      <c r="J21" s="1">
        <v>197.1</v>
      </c>
      <c r="K21" s="1">
        <f t="shared" si="1"/>
        <v>197.05</v>
      </c>
    </row>
    <row r="22" spans="1:11" x14ac:dyDescent="0.35">
      <c r="A22" s="1">
        <v>4</v>
      </c>
      <c r="B22" s="1">
        <v>7</v>
      </c>
      <c r="C22" s="1"/>
      <c r="D22" s="1">
        <v>150</v>
      </c>
      <c r="E22" s="1">
        <v>0.251</v>
      </c>
      <c r="F22" s="1">
        <v>25.4</v>
      </c>
      <c r="G22" s="1">
        <v>25.5</v>
      </c>
      <c r="H22" s="1">
        <f t="shared" si="0"/>
        <v>25.45</v>
      </c>
      <c r="I22" s="1">
        <v>175.9</v>
      </c>
      <c r="J22" s="1">
        <v>176.2</v>
      </c>
      <c r="K22" s="1">
        <f t="shared" si="1"/>
        <v>176.05</v>
      </c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mergeCells count="3">
    <mergeCell ref="D2:E2"/>
    <mergeCell ref="A10:I10"/>
    <mergeCell ref="A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D93D-BE44-4CA9-8F21-8AEFB9FDAA8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4187-E155-4B44-8BB4-ED0C24E04342}">
  <dimension ref="A1:W38"/>
  <sheetViews>
    <sheetView tabSelected="1" topLeftCell="D3" zoomScale="50" zoomScaleNormal="50" workbookViewId="0">
      <selection activeCell="K12" sqref="K12"/>
    </sheetView>
  </sheetViews>
  <sheetFormatPr defaultRowHeight="14.5" x14ac:dyDescent="0.35"/>
  <cols>
    <col min="1" max="1" width="21.7265625" customWidth="1"/>
    <col min="2" max="3" width="13.54296875" customWidth="1"/>
    <col min="4" max="8" width="19.7265625" customWidth="1"/>
    <col min="9" max="9" width="24.453125" bestFit="1" customWidth="1"/>
    <col min="10" max="11" width="19.7265625" customWidth="1"/>
    <col min="12" max="12" width="12.81640625" customWidth="1"/>
    <col min="13" max="14" width="13.1796875" bestFit="1" customWidth="1"/>
    <col min="15" max="16" width="10.54296875" customWidth="1"/>
    <col min="17" max="17" width="17.26953125" bestFit="1" customWidth="1"/>
    <col min="18" max="18" width="17.453125" customWidth="1"/>
    <col min="19" max="19" width="13.54296875" customWidth="1"/>
    <col min="21" max="21" width="15.54296875" bestFit="1" customWidth="1"/>
    <col min="22" max="22" width="25" bestFit="1" customWidth="1"/>
    <col min="23" max="23" width="14.54296875" customWidth="1"/>
  </cols>
  <sheetData>
    <row r="1" spans="1:19" ht="15" thickBot="1" x14ac:dyDescent="0.4"/>
    <row r="2" spans="1:19" ht="15" thickBot="1" x14ac:dyDescent="0.4">
      <c r="A2" s="11" t="s">
        <v>0</v>
      </c>
      <c r="B2" s="12" t="s">
        <v>1</v>
      </c>
      <c r="D2" s="39" t="s">
        <v>2</v>
      </c>
      <c r="E2" s="40"/>
    </row>
    <row r="3" spans="1:19" x14ac:dyDescent="0.35">
      <c r="A3" s="3" t="s">
        <v>3</v>
      </c>
      <c r="B3" s="4">
        <v>0.1</v>
      </c>
      <c r="D3" s="7" t="s">
        <v>4</v>
      </c>
      <c r="E3" s="10"/>
      <c r="G3" s="37" t="s">
        <v>24</v>
      </c>
      <c r="H3" s="37" t="s">
        <v>25</v>
      </c>
      <c r="I3" s="37" t="s">
        <v>26</v>
      </c>
      <c r="K3" s="37" t="s">
        <v>27</v>
      </c>
      <c r="L3" s="37" t="s">
        <v>28</v>
      </c>
      <c r="M3" s="37" t="s">
        <v>29</v>
      </c>
    </row>
    <row r="4" spans="1:19" ht="15" thickBot="1" x14ac:dyDescent="0.4">
      <c r="A4" s="3" t="s">
        <v>5</v>
      </c>
      <c r="B4" s="4">
        <v>1</v>
      </c>
      <c r="D4" s="8" t="s">
        <v>6</v>
      </c>
      <c r="E4" s="9"/>
      <c r="G4" s="37">
        <f>0.95</f>
        <v>0.95</v>
      </c>
      <c r="H4" s="37">
        <f>1</f>
        <v>1</v>
      </c>
      <c r="I4" s="37">
        <f>5.67*10^-8</f>
        <v>5.6699999999999998E-8</v>
      </c>
      <c r="K4" s="37">
        <f>1.32</f>
        <v>1.32</v>
      </c>
      <c r="L4" s="37">
        <v>0.01</v>
      </c>
      <c r="M4">
        <v>2.2000000000000001E-3</v>
      </c>
    </row>
    <row r="5" spans="1:19" x14ac:dyDescent="0.35">
      <c r="A5" s="3" t="s">
        <v>7</v>
      </c>
      <c r="B5" s="4">
        <v>1E-3</v>
      </c>
      <c r="G5" s="37">
        <f t="shared" ref="G5:G8" si="0">0.95</f>
        <v>0.95</v>
      </c>
      <c r="H5" s="37">
        <f>1</f>
        <v>1</v>
      </c>
      <c r="I5" s="37">
        <f t="shared" ref="I5:I8" si="1">5.67*10^-8</f>
        <v>5.6699999999999998E-8</v>
      </c>
      <c r="K5" s="37">
        <f t="shared" ref="K5:K6" si="2">1.32</f>
        <v>1.32</v>
      </c>
      <c r="L5" s="37">
        <v>0.01</v>
      </c>
      <c r="M5">
        <v>2.2000000000000001E-3</v>
      </c>
    </row>
    <row r="6" spans="1:19" ht="15" thickBot="1" x14ac:dyDescent="0.4">
      <c r="A6" s="5" t="s">
        <v>8</v>
      </c>
      <c r="B6" s="6">
        <v>0.1</v>
      </c>
      <c r="G6" s="37">
        <f t="shared" si="0"/>
        <v>0.95</v>
      </c>
      <c r="H6" s="37">
        <f>1</f>
        <v>1</v>
      </c>
      <c r="I6" s="37">
        <f t="shared" si="1"/>
        <v>5.6699999999999998E-8</v>
      </c>
      <c r="K6" s="37">
        <f t="shared" si="2"/>
        <v>1.32</v>
      </c>
      <c r="L6" s="37">
        <v>0.01</v>
      </c>
      <c r="M6">
        <v>2.2000000000000001E-3</v>
      </c>
    </row>
    <row r="7" spans="1:19" x14ac:dyDescent="0.35">
      <c r="G7" s="37">
        <f t="shared" si="0"/>
        <v>0.95</v>
      </c>
      <c r="H7" s="37">
        <f>1</f>
        <v>1</v>
      </c>
      <c r="I7" s="37">
        <f t="shared" si="1"/>
        <v>5.6699999999999998E-8</v>
      </c>
      <c r="L7" s="37">
        <v>0.01</v>
      </c>
      <c r="M7">
        <v>2.2000000000000001E-3</v>
      </c>
    </row>
    <row r="8" spans="1:19" x14ac:dyDescent="0.35">
      <c r="A8" s="2"/>
      <c r="G8" s="37">
        <f t="shared" si="0"/>
        <v>0.95</v>
      </c>
      <c r="H8" s="37">
        <f>1</f>
        <v>1</v>
      </c>
      <c r="I8" s="37">
        <f t="shared" si="1"/>
        <v>5.6699999999999998E-8</v>
      </c>
    </row>
    <row r="9" spans="1:19" ht="15" thickBot="1" x14ac:dyDescent="0.4"/>
    <row r="10" spans="1:19" ht="15" thickBot="1" x14ac:dyDescent="0.4">
      <c r="A10" s="41" t="s">
        <v>9</v>
      </c>
      <c r="B10" s="42"/>
      <c r="C10" s="42"/>
      <c r="D10" s="42"/>
      <c r="E10" s="42"/>
      <c r="F10" s="42"/>
      <c r="G10" s="42"/>
      <c r="H10" s="42"/>
      <c r="I10" s="43"/>
    </row>
    <row r="11" spans="1:19" ht="35.25" customHeight="1" thickBot="1" x14ac:dyDescent="0.4">
      <c r="A11" s="13" t="s">
        <v>10</v>
      </c>
      <c r="B11" s="14" t="s">
        <v>11</v>
      </c>
      <c r="C11" s="14" t="s">
        <v>12</v>
      </c>
      <c r="D11" s="17" t="s">
        <v>13</v>
      </c>
      <c r="E11" s="17" t="s">
        <v>14</v>
      </c>
      <c r="F11" s="34" t="s">
        <v>30</v>
      </c>
      <c r="G11" s="17" t="s">
        <v>16</v>
      </c>
      <c r="H11" s="17" t="s">
        <v>17</v>
      </c>
      <c r="I11" s="31" t="s">
        <v>31</v>
      </c>
      <c r="J11" s="35" t="s">
        <v>32</v>
      </c>
      <c r="K11" s="36" t="s">
        <v>33</v>
      </c>
      <c r="L11" s="36" t="s">
        <v>34</v>
      </c>
      <c r="M11" s="36" t="s">
        <v>35</v>
      </c>
      <c r="N11" s="36" t="s">
        <v>36</v>
      </c>
      <c r="O11" s="36" t="s">
        <v>37</v>
      </c>
      <c r="P11" s="36" t="s">
        <v>38</v>
      </c>
      <c r="Q11" s="36" t="s">
        <v>39</v>
      </c>
      <c r="R11" s="36" t="s">
        <v>40</v>
      </c>
      <c r="S11" s="36" t="s">
        <v>41</v>
      </c>
    </row>
    <row r="12" spans="1:19" x14ac:dyDescent="0.35">
      <c r="A12" s="16">
        <v>1</v>
      </c>
      <c r="B12" s="16">
        <v>50</v>
      </c>
      <c r="C12" s="16">
        <v>7.6999999999999999E-2</v>
      </c>
      <c r="D12" s="16">
        <v>25.1</v>
      </c>
      <c r="E12" s="16">
        <v>25.1</v>
      </c>
      <c r="F12" s="32">
        <v>25.1</v>
      </c>
      <c r="G12" s="16">
        <v>86</v>
      </c>
      <c r="H12" s="16">
        <v>86</v>
      </c>
      <c r="I12" s="32">
        <v>86</v>
      </c>
      <c r="J12" s="37">
        <f>B12*C12</f>
        <v>3.85</v>
      </c>
      <c r="K12" s="37">
        <f>I12+273.15</f>
        <v>359.15</v>
      </c>
      <c r="L12" s="37">
        <f>F12+273.15</f>
        <v>298.25</v>
      </c>
      <c r="M12" s="37">
        <f>G4*H4*I4*(((K12)^4-(L12)^4)/((K12)-(L12)))</f>
        <v>7.7175040753090336</v>
      </c>
      <c r="N12" s="37">
        <f>K4*((K12-L12)/L4)^0.25</f>
        <v>11.660797522906689</v>
      </c>
      <c r="O12">
        <f>M12*M4*(K12-L12)</f>
        <v>1.033991196009904</v>
      </c>
      <c r="P12">
        <f>N12*M4*(K12-L12)</f>
        <v>1.5623136521190377</v>
      </c>
      <c r="Q12">
        <f>O12+P12</f>
        <v>2.5963048481289417</v>
      </c>
      <c r="R12">
        <f>M12+N12</f>
        <v>19.378301598215721</v>
      </c>
      <c r="S12">
        <f>J12/(M4*(K12-L12))</f>
        <v>28.735632183908056</v>
      </c>
    </row>
    <row r="13" spans="1:19" x14ac:dyDescent="0.35">
      <c r="A13" s="1">
        <v>2</v>
      </c>
      <c r="B13" s="1">
        <v>100</v>
      </c>
      <c r="C13" s="1">
        <v>0.161</v>
      </c>
      <c r="D13" s="1">
        <v>24.7</v>
      </c>
      <c r="E13" s="1">
        <v>24.9</v>
      </c>
      <c r="F13" s="29">
        <v>24.8</v>
      </c>
      <c r="G13" s="1">
        <v>222.6</v>
      </c>
      <c r="H13" s="1">
        <v>226.6</v>
      </c>
      <c r="I13" s="33">
        <f>AVERAGE(G13:H13)</f>
        <v>224.6</v>
      </c>
      <c r="J13" s="37">
        <f>B13*C13</f>
        <v>16.100000000000001</v>
      </c>
      <c r="K13" s="37">
        <f t="shared" ref="K13:K14" si="3">I13+273.15</f>
        <v>497.75</v>
      </c>
      <c r="L13" s="37">
        <f t="shared" ref="L13:L14" si="4">F13+273.15</f>
        <v>297.95</v>
      </c>
      <c r="M13" s="37">
        <f>G5*H5*I5*(((K13)^4-(L13)^4)/((K13)-(L13)))</f>
        <v>14.423772347285329</v>
      </c>
      <c r="N13" s="37">
        <f t="shared" ref="N13:N14" si="5">K5*((K13-L13)/L5)^0.25</f>
        <v>15.69360806205356</v>
      </c>
      <c r="O13">
        <f t="shared" ref="O13:O14" si="6">M13*M5*(K13-L13)</f>
        <v>6.3401133729727404</v>
      </c>
      <c r="P13">
        <f t="shared" ref="P13:P14" si="7">N13*M5*(K13-L13)</f>
        <v>6.898282359756263</v>
      </c>
      <c r="Q13">
        <f t="shared" ref="Q13:Q14" si="8">O13+P13</f>
        <v>13.238395732729003</v>
      </c>
      <c r="R13">
        <f t="shared" ref="R13:R14" si="9">M13+N13</f>
        <v>30.117380409338889</v>
      </c>
      <c r="S13">
        <f t="shared" ref="S13:S14" si="10">J13/(M5*(K13-L13))</f>
        <v>36.627536627536628</v>
      </c>
    </row>
    <row r="14" spans="1:19" x14ac:dyDescent="0.35">
      <c r="A14" s="1">
        <v>3</v>
      </c>
      <c r="B14" s="1">
        <v>150</v>
      </c>
      <c r="C14" s="1">
        <v>0.247</v>
      </c>
      <c r="D14" s="1">
        <v>24.5</v>
      </c>
      <c r="E14" s="1">
        <v>24.6</v>
      </c>
      <c r="F14" s="29">
        <v>24.55</v>
      </c>
      <c r="G14" s="1">
        <v>369.3</v>
      </c>
      <c r="H14" s="19">
        <v>370</v>
      </c>
      <c r="I14" s="29">
        <f>AVERAGE(G14:H14)</f>
        <v>369.65</v>
      </c>
      <c r="J14" s="37">
        <f t="shared" ref="J14" si="11">B14*C14</f>
        <v>37.049999999999997</v>
      </c>
      <c r="K14" s="37">
        <f t="shared" si="3"/>
        <v>642.79999999999995</v>
      </c>
      <c r="L14" s="37">
        <f t="shared" si="4"/>
        <v>297.7</v>
      </c>
      <c r="M14" s="37">
        <f t="shared" ref="M14" si="12">G6*H6*I6*(((K14)^4-(L14)^4)/((K14)-(L14)))</f>
        <v>25.422072114856718</v>
      </c>
      <c r="N14" s="37">
        <f t="shared" si="5"/>
        <v>17.991201640062631</v>
      </c>
      <c r="O14">
        <f t="shared" si="6"/>
        <v>19.300945591041518</v>
      </c>
      <c r="P14">
        <f t="shared" si="7"/>
        <v>13.65928010916835</v>
      </c>
      <c r="Q14">
        <f t="shared" si="8"/>
        <v>32.960225700209868</v>
      </c>
      <c r="R14">
        <f t="shared" si="9"/>
        <v>43.413273754919345</v>
      </c>
      <c r="S14">
        <f t="shared" si="10"/>
        <v>48.8000842970417</v>
      </c>
    </row>
    <row r="16" spans="1:19" ht="15" thickBot="1" x14ac:dyDescent="0.4"/>
    <row r="17" spans="1:23" ht="15" thickBot="1" x14ac:dyDescent="0.4">
      <c r="A17" s="44" t="s">
        <v>19</v>
      </c>
      <c r="B17" s="45"/>
      <c r="C17" s="45"/>
      <c r="D17" s="45"/>
      <c r="E17" s="45"/>
      <c r="F17" s="45"/>
      <c r="G17" s="45"/>
      <c r="H17" s="45"/>
      <c r="I17" s="45"/>
      <c r="J17" s="45"/>
      <c r="K17" s="46"/>
    </row>
    <row r="18" spans="1:23" ht="29" x14ac:dyDescent="0.35">
      <c r="A18" s="20" t="s">
        <v>10</v>
      </c>
      <c r="B18" s="15" t="s">
        <v>20</v>
      </c>
      <c r="C18" s="21" t="s">
        <v>21</v>
      </c>
      <c r="D18" s="22" t="s">
        <v>11</v>
      </c>
      <c r="E18" s="22" t="s">
        <v>12</v>
      </c>
      <c r="F18" s="23" t="s">
        <v>13</v>
      </c>
      <c r="G18" s="23" t="s">
        <v>14</v>
      </c>
      <c r="H18" s="28" t="s">
        <v>30</v>
      </c>
      <c r="I18" s="23" t="s">
        <v>16</v>
      </c>
      <c r="J18" s="23" t="s">
        <v>23</v>
      </c>
      <c r="K18" s="30" t="s">
        <v>31</v>
      </c>
      <c r="L18" s="35" t="s">
        <v>32</v>
      </c>
      <c r="M18" s="36" t="s">
        <v>33</v>
      </c>
      <c r="N18" s="36" t="s">
        <v>34</v>
      </c>
      <c r="O18" s="36" t="s">
        <v>42</v>
      </c>
      <c r="P18" s="36" t="s">
        <v>43</v>
      </c>
      <c r="Q18" s="36" t="s">
        <v>44</v>
      </c>
      <c r="R18" s="36" t="s">
        <v>45</v>
      </c>
      <c r="S18" s="36" t="s">
        <v>46</v>
      </c>
      <c r="T18" s="36" t="s">
        <v>47</v>
      </c>
      <c r="U18" s="36" t="s">
        <v>41</v>
      </c>
    </row>
    <row r="19" spans="1:23" x14ac:dyDescent="0.35">
      <c r="A19" s="1">
        <v>1</v>
      </c>
      <c r="B19" s="1">
        <v>1</v>
      </c>
      <c r="C19" s="1"/>
      <c r="D19" s="1">
        <v>150</v>
      </c>
      <c r="E19" s="1">
        <v>0.247</v>
      </c>
      <c r="F19" s="1">
        <v>31.4</v>
      </c>
      <c r="G19" s="1">
        <v>31.5</v>
      </c>
      <c r="H19" s="29">
        <f>AVERAGE(F19:G19)</f>
        <v>31.45</v>
      </c>
      <c r="I19" s="1">
        <v>343.2</v>
      </c>
      <c r="J19" s="1">
        <v>343.5</v>
      </c>
      <c r="K19" s="29">
        <f>AVERAGE(I19:J19)</f>
        <v>343.35</v>
      </c>
      <c r="L19" s="37">
        <f>D19*E19</f>
        <v>37.049999999999997</v>
      </c>
      <c r="M19">
        <f>K19+273.15</f>
        <v>616.5</v>
      </c>
      <c r="N19">
        <f>H19+273.15</f>
        <v>304.59999999999997</v>
      </c>
      <c r="O19">
        <f>0.71</f>
        <v>0.71</v>
      </c>
      <c r="P19">
        <f>1.57*10^-5</f>
        <v>1.5700000000000002E-5</v>
      </c>
      <c r="Q19">
        <f>0.0262</f>
        <v>2.6200000000000001E-2</v>
      </c>
      <c r="R19">
        <f>T19*L4/P19</f>
        <v>777.07006369426745</v>
      </c>
      <c r="S19">
        <f>0.3+((0.62*(R19)^0.5*(O19)^0.33)/(1+(0.4/O19)^0.66)^0.25)*(1+(R19/282000)^0.5)</f>
        <v>14.560110489792008</v>
      </c>
      <c r="T19">
        <f>B19*1.22</f>
        <v>1.22</v>
      </c>
      <c r="U19">
        <f>L19/(M4*(M19-N19))</f>
        <v>53.994578681978474</v>
      </c>
    </row>
    <row r="20" spans="1:23" x14ac:dyDescent="0.35">
      <c r="A20" s="1">
        <v>2</v>
      </c>
      <c r="B20" s="1">
        <v>3</v>
      </c>
      <c r="C20" s="1"/>
      <c r="D20" s="1">
        <v>150</v>
      </c>
      <c r="E20" s="1">
        <v>0.249</v>
      </c>
      <c r="F20" s="1">
        <v>27.9</v>
      </c>
      <c r="G20" s="1">
        <v>28</v>
      </c>
      <c r="H20" s="29">
        <f t="shared" ref="H20:H22" si="13">AVERAGE(F20:G20)</f>
        <v>27.95</v>
      </c>
      <c r="I20" s="1">
        <v>250.3</v>
      </c>
      <c r="J20" s="1">
        <v>250.4</v>
      </c>
      <c r="K20" s="29">
        <f t="shared" ref="K20:K22" si="14">AVERAGE(I20:J20)</f>
        <v>250.35000000000002</v>
      </c>
      <c r="L20" s="37">
        <f t="shared" ref="L20:L22" si="15">D20*E20</f>
        <v>37.35</v>
      </c>
      <c r="M20">
        <f t="shared" ref="M20:M22" si="16">K20+273.15</f>
        <v>523.5</v>
      </c>
      <c r="N20">
        <f t="shared" ref="N20:N22" si="17">H20+273.15</f>
        <v>301.09999999999997</v>
      </c>
      <c r="O20">
        <f t="shared" ref="O20:O22" si="18">0.71</f>
        <v>0.71</v>
      </c>
      <c r="P20">
        <f t="shared" ref="P20:P22" si="19">1.57*10^-5</f>
        <v>1.5700000000000002E-5</v>
      </c>
      <c r="Q20">
        <f t="shared" ref="Q20:Q22" si="20">0.0262</f>
        <v>2.6200000000000001E-2</v>
      </c>
      <c r="R20">
        <f t="shared" ref="R20:R22" si="21">T20*L5/P20</f>
        <v>2331.2101910828023</v>
      </c>
      <c r="S20">
        <f t="shared" ref="S20:S22" si="22">0.3+((0.62*(R20)^0.5*(O20)^0.33)/(1+(0.4/O20)^0.66)^0.25)*(1+(R20/282000)^0.5)</f>
        <v>25.901037184163069</v>
      </c>
      <c r="T20">
        <f t="shared" ref="T20:T22" si="23">B20*1.22</f>
        <v>3.66</v>
      </c>
      <c r="U20">
        <f t="shared" ref="U20:U22" si="24">L20/(M5*(M20-N20))</f>
        <v>76.336657946370167</v>
      </c>
    </row>
    <row r="21" spans="1:23" x14ac:dyDescent="0.35">
      <c r="A21" s="1">
        <v>3</v>
      </c>
      <c r="B21" s="1">
        <v>5</v>
      </c>
      <c r="C21" s="1"/>
      <c r="D21" s="1">
        <v>150</v>
      </c>
      <c r="E21" s="27">
        <v>0.25</v>
      </c>
      <c r="F21" s="1">
        <v>25.6</v>
      </c>
      <c r="G21" s="1">
        <v>25.7</v>
      </c>
      <c r="H21" s="29">
        <f t="shared" si="13"/>
        <v>25.65</v>
      </c>
      <c r="I21" s="26">
        <v>197</v>
      </c>
      <c r="J21" s="1">
        <v>197.1</v>
      </c>
      <c r="K21" s="29">
        <f t="shared" si="14"/>
        <v>197.05</v>
      </c>
      <c r="L21" s="37">
        <f t="shared" si="15"/>
        <v>37.5</v>
      </c>
      <c r="M21">
        <f t="shared" si="16"/>
        <v>470.2</v>
      </c>
      <c r="N21">
        <f t="shared" si="17"/>
        <v>298.79999999999995</v>
      </c>
      <c r="O21">
        <f t="shared" si="18"/>
        <v>0.71</v>
      </c>
      <c r="P21">
        <f t="shared" si="19"/>
        <v>1.5700000000000002E-5</v>
      </c>
      <c r="Q21">
        <f t="shared" si="20"/>
        <v>2.6200000000000001E-2</v>
      </c>
      <c r="R21">
        <f t="shared" si="21"/>
        <v>3885.3503184713368</v>
      </c>
      <c r="S21">
        <f t="shared" si="22"/>
        <v>34.152362977098157</v>
      </c>
      <c r="T21">
        <f t="shared" si="23"/>
        <v>6.1</v>
      </c>
      <c r="U21">
        <f t="shared" si="24"/>
        <v>99.448392913970494</v>
      </c>
    </row>
    <row r="22" spans="1:23" x14ac:dyDescent="0.35">
      <c r="A22" s="1">
        <v>4</v>
      </c>
      <c r="B22" s="1">
        <v>7</v>
      </c>
      <c r="C22" s="1"/>
      <c r="D22" s="1">
        <v>150</v>
      </c>
      <c r="E22" s="1">
        <v>0.251</v>
      </c>
      <c r="F22" s="1">
        <v>25.4</v>
      </c>
      <c r="G22" s="1">
        <v>25.5</v>
      </c>
      <c r="H22" s="29">
        <f t="shared" si="13"/>
        <v>25.45</v>
      </c>
      <c r="I22" s="1">
        <v>175.9</v>
      </c>
      <c r="J22" s="1">
        <v>176.2</v>
      </c>
      <c r="K22" s="29">
        <f t="shared" si="14"/>
        <v>176.05</v>
      </c>
      <c r="L22" s="37">
        <f t="shared" si="15"/>
        <v>37.65</v>
      </c>
      <c r="M22">
        <f t="shared" si="16"/>
        <v>449.2</v>
      </c>
      <c r="N22">
        <f t="shared" si="17"/>
        <v>298.59999999999997</v>
      </c>
      <c r="O22">
        <f t="shared" si="18"/>
        <v>0.71</v>
      </c>
      <c r="P22">
        <f t="shared" si="19"/>
        <v>1.5700000000000002E-5</v>
      </c>
      <c r="Q22">
        <f t="shared" si="20"/>
        <v>2.6200000000000001E-2</v>
      </c>
      <c r="R22">
        <f t="shared" si="21"/>
        <v>5439.4904458598712</v>
      </c>
      <c r="S22">
        <f t="shared" si="22"/>
        <v>41.125570730556213</v>
      </c>
      <c r="T22">
        <f t="shared" si="23"/>
        <v>8.5399999999999991</v>
      </c>
      <c r="U22">
        <f t="shared" si="24"/>
        <v>113.63636363636361</v>
      </c>
    </row>
    <row r="23" spans="1:2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29"/>
    </row>
    <row r="24" spans="1:2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3" ht="20" thickBot="1" x14ac:dyDescent="0.5">
      <c r="U26" s="48" t="s">
        <v>9</v>
      </c>
      <c r="V26" s="48"/>
      <c r="W26" s="48"/>
    </row>
    <row r="27" spans="1:23" ht="15" thickTop="1" x14ac:dyDescent="0.35">
      <c r="L27" t="s">
        <v>48</v>
      </c>
      <c r="M27" t="s">
        <v>49</v>
      </c>
      <c r="N27" t="s">
        <v>50</v>
      </c>
      <c r="O27" t="s">
        <v>37</v>
      </c>
      <c r="P27" t="s">
        <v>39</v>
      </c>
      <c r="Q27" t="s">
        <v>40</v>
      </c>
      <c r="U27" s="38" t="s">
        <v>51</v>
      </c>
      <c r="V27" s="38" t="s">
        <v>52</v>
      </c>
      <c r="W27" s="38" t="s">
        <v>53</v>
      </c>
    </row>
    <row r="28" spans="1:23" x14ac:dyDescent="0.35">
      <c r="L28">
        <f t="shared" ref="L28:L31" si="25">(Q19/L4)*S19</f>
        <v>38.147489483255065</v>
      </c>
      <c r="M28">
        <f>Table1[[#This Row],[hf]]*M4*(M19-N19)</f>
        <v>26.176044333619966</v>
      </c>
      <c r="N28">
        <f>G4*H4*I4*(((M19)^4-(N19)^4)/((M19)-(N19)))</f>
        <v>23.460646289100609</v>
      </c>
      <c r="O28">
        <f>Table1[[#This Row],[hr]]*M4*(M19-N19)</f>
        <v>16.098226270655058</v>
      </c>
      <c r="P28">
        <f>Table1[[#This Row],[Qr]]+Table1[[#This Row],[Qf]]</f>
        <v>42.274270604275024</v>
      </c>
      <c r="Q28">
        <f>Table1[[#This Row],[hf]]+Table1[[#This Row],[hr]]</f>
        <v>61.608135772355674</v>
      </c>
      <c r="U28" s="38">
        <v>28.735632183908056</v>
      </c>
      <c r="V28" s="38">
        <v>19.378301598215721</v>
      </c>
      <c r="W28" s="38">
        <f>((S12-R12)/R12)*100</f>
        <v>48.287671333146768</v>
      </c>
    </row>
    <row r="29" spans="1:23" x14ac:dyDescent="0.35">
      <c r="L29">
        <f t="shared" si="25"/>
        <v>67.86071742250725</v>
      </c>
      <c r="M29">
        <f>Table1[[#This Row],[hf]]*M5*(M20-N20)</f>
        <v>33.202891820484354</v>
      </c>
      <c r="N29">
        <f t="shared" ref="N29:N31" si="26">G5*H5*I5*(((M20)^4-(N20)^4)/((M20)-(N20)))</f>
        <v>16.199506565183338</v>
      </c>
      <c r="O29">
        <f>Table1[[#This Row],[hr]]*M5*(M20-N20)</f>
        <v>7.9260945722129046</v>
      </c>
      <c r="P29">
        <f>Table1[[#This Row],[Qr]]+Table1[[#This Row],[Qf]]</f>
        <v>41.128986392697257</v>
      </c>
      <c r="Q29">
        <f>Table1[[#This Row],[hf]]+Table1[[#This Row],[hr]]</f>
        <v>84.060223987690591</v>
      </c>
      <c r="U29" s="38">
        <v>36.627536627536628</v>
      </c>
      <c r="V29" s="38">
        <v>30.117380409338889</v>
      </c>
      <c r="W29" s="38">
        <f>((S13-R13)/R13)*100</f>
        <v>21.615944447077641</v>
      </c>
    </row>
    <row r="30" spans="1:23" x14ac:dyDescent="0.35">
      <c r="L30">
        <f t="shared" si="25"/>
        <v>89.479190999997172</v>
      </c>
      <c r="M30">
        <f>Table1[[#This Row],[hf]]*M6*(M21-N21)</f>
        <v>33.74081334227894</v>
      </c>
      <c r="N30">
        <f t="shared" si="26"/>
        <v>12.856182018913794</v>
      </c>
      <c r="O30">
        <f>Table1[[#This Row],[hr]]*M6*(M21-N21)</f>
        <v>4.8478091156920149</v>
      </c>
      <c r="P30">
        <f>Table1[[#This Row],[Qr]]+Table1[[#This Row],[Qf]]</f>
        <v>38.588622457970956</v>
      </c>
      <c r="Q30">
        <f>Table1[[#This Row],[hf]]+Table1[[#This Row],[hr]]</f>
        <v>102.33537301891097</v>
      </c>
      <c r="U30" s="38">
        <v>48.8000842970417</v>
      </c>
      <c r="V30" s="38">
        <v>43.413273754919345</v>
      </c>
      <c r="W30" s="38">
        <f>((S14-R14)/R14)*100</f>
        <v>12.40821084475794</v>
      </c>
    </row>
    <row r="31" spans="1:23" x14ac:dyDescent="0.35">
      <c r="L31">
        <f t="shared" si="25"/>
        <v>107.74899531405728</v>
      </c>
      <c r="M31">
        <f>Table1[[#This Row],[hf]]*M7*(M22-N22)</f>
        <v>35.699397127453466</v>
      </c>
      <c r="N31">
        <f t="shared" si="26"/>
        <v>11.719239790822195</v>
      </c>
      <c r="O31">
        <f>Table1[[#This Row],[hr]]*M7*(M22-N22)</f>
        <v>3.8828185274952105</v>
      </c>
      <c r="P31">
        <f>Table1[[#This Row],[Qr]]+Table1[[#This Row],[Qf]]</f>
        <v>39.582215654948676</v>
      </c>
      <c r="Q31">
        <f>Table1[[#This Row],[hf]]+Table1[[#This Row],[hr]]</f>
        <v>119.46823510487948</v>
      </c>
    </row>
    <row r="33" spans="21:23" x14ac:dyDescent="0.35">
      <c r="U33" s="47" t="s">
        <v>19</v>
      </c>
      <c r="V33" s="47"/>
      <c r="W33" s="47"/>
    </row>
    <row r="34" spans="21:23" x14ac:dyDescent="0.35">
      <c r="U34" s="37" t="s">
        <v>51</v>
      </c>
      <c r="V34" s="37" t="s">
        <v>52</v>
      </c>
      <c r="W34" s="37" t="s">
        <v>53</v>
      </c>
    </row>
    <row r="35" spans="21:23" x14ac:dyDescent="0.35">
      <c r="U35" s="37">
        <v>53.994578681978474</v>
      </c>
      <c r="V35" s="37">
        <v>61.608135772355674</v>
      </c>
      <c r="W35" s="37">
        <f>ABS((U19-Q28)/Q28)*100</f>
        <v>12.35803842289527</v>
      </c>
    </row>
    <row r="36" spans="21:23" x14ac:dyDescent="0.35">
      <c r="U36" s="37">
        <v>76.336657946370167</v>
      </c>
      <c r="V36" s="37">
        <v>84.060223987690591</v>
      </c>
      <c r="W36" s="37">
        <f>ABS((U20-Q29)/Q29)*100</f>
        <v>9.1881340245434391</v>
      </c>
    </row>
    <row r="37" spans="21:23" x14ac:dyDescent="0.35">
      <c r="U37" s="37">
        <v>99.448392913970494</v>
      </c>
      <c r="V37" s="37">
        <v>102.33537301891097</v>
      </c>
      <c r="W37" s="37">
        <f>ABS((U21-Q30)/Q30)*100</f>
        <v>2.8210969675236153</v>
      </c>
    </row>
    <row r="38" spans="21:23" x14ac:dyDescent="0.35">
      <c r="U38" s="37">
        <v>113.63636363636361</v>
      </c>
      <c r="V38" s="37">
        <v>119.46823510487948</v>
      </c>
      <c r="W38" s="37">
        <f>ABS((U22-Q31)/Q31)*100</f>
        <v>4.8815247529154115</v>
      </c>
    </row>
  </sheetData>
  <mergeCells count="5">
    <mergeCell ref="U33:W33"/>
    <mergeCell ref="U26:W26"/>
    <mergeCell ref="D2:E2"/>
    <mergeCell ref="A10:I10"/>
    <mergeCell ref="A17:K17"/>
  </mergeCells>
  <pageMargins left="0.7" right="0.7" top="0.75" bottom="0.75" header="0.3" footer="0.3"/>
  <pageSetup orientation="portrait" r:id="rId1"/>
  <ignoredErrors>
    <ignoredError sqref="W27" calculatedColumn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1efad2-4f21-42a1-90bf-4872c649abd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E3C54BD99F0C48BE90A8C5D2673ECF" ma:contentTypeVersion="7" ma:contentTypeDescription="Create a new document." ma:contentTypeScope="" ma:versionID="b9087e7583dba1e3e317d00c405fb096">
  <xsd:schema xmlns:xsd="http://www.w3.org/2001/XMLSchema" xmlns:xs="http://www.w3.org/2001/XMLSchema" xmlns:p="http://schemas.microsoft.com/office/2006/metadata/properties" xmlns:ns3="bbf6b9ec-5c30-4dfd-9087-ee9a83af50d3" xmlns:ns4="691efad2-4f21-42a1-90bf-4872c649abd0" targetNamespace="http://schemas.microsoft.com/office/2006/metadata/properties" ma:root="true" ma:fieldsID="f3aca9dbf6ec3ec7b7c9c55b9561e4f9" ns3:_="" ns4:_="">
    <xsd:import namespace="bbf6b9ec-5c30-4dfd-9087-ee9a83af50d3"/>
    <xsd:import namespace="691efad2-4f21-42a1-90bf-4872c649abd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6b9ec-5c30-4dfd-9087-ee9a83af50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efad2-4f21-42a1-90bf-4872c649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929D60-2150-4A37-A039-EBE6CFB1E0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76AD97-409B-48D8-8ED2-24C2F3A4748A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91efad2-4f21-42a1-90bf-4872c649abd0"/>
    <ds:schemaRef ds:uri="bbf6b9ec-5c30-4dfd-9087-ee9a83af50d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F17F119-5E20-4359-9E11-F92895837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f6b9ec-5c30-4dfd-9087-ee9a83af50d3"/>
    <ds:schemaRef ds:uri="691efad2-4f21-42a1-90bf-4872c649ab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Processing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Mathew Harvey</dc:creator>
  <cp:keywords/>
  <dc:description/>
  <cp:lastModifiedBy>Muhammad Mahdi Hasan</cp:lastModifiedBy>
  <cp:revision/>
  <dcterms:created xsi:type="dcterms:W3CDTF">2023-10-30T20:49:29Z</dcterms:created>
  <dcterms:modified xsi:type="dcterms:W3CDTF">2024-09-22T16:09:34Z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0x01010059E3C54BD99F0C48BE90A8C5D2673ECF</vt:lpwstr>
  </property>
</Properties>
</file>