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\Desktop\"/>
    </mc:Choice>
  </mc:AlternateContent>
  <xr:revisionPtr revIDLastSave="0" documentId="8_{916D4D12-A60B-4FB6-A9E8-C25D3F443FA0}" xr6:coauthVersionLast="47" xr6:coauthVersionMax="47" xr10:uidLastSave="{00000000-0000-0000-0000-000000000000}"/>
  <bookViews>
    <workbookView xWindow="-108" yWindow="-108" windowWidth="23256" windowHeight="12456" firstSheet="4" activeTab="8" xr2:uid="{F72C2FC4-FEDC-4736-B2BC-F51C6D6AEEC9}"/>
  </bookViews>
  <sheets>
    <sheet name="صورت سود و زیان" sheetId="10" r:id="rId1"/>
    <sheet name="a)ارزش فعلی" sheetId="1" r:id="rId2"/>
    <sheet name="b) ارزش سالیانه" sheetId="2" r:id="rId3"/>
    <sheet name="c) ارزش آتی" sheetId="3" r:id="rId4"/>
    <sheet name="d) نسبت منافع به مخارج" sheetId="4" r:id="rId5"/>
    <sheet name="e) نرخ بازده داخلی" sheetId="5" r:id="rId6"/>
    <sheet name="g,f)دوره بازگشت سرمایه" sheetId="6" r:id="rId7"/>
    <sheet name="hپیشبینی ارزش فعلی دوره نامحدود" sheetId="7" r:id="rId8"/>
    <sheet name="i)نمودار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H18" i="3"/>
  <c r="G4" i="7"/>
  <c r="D15" i="6"/>
  <c r="B12" i="6"/>
  <c r="B13" i="6"/>
  <c r="B14" i="6"/>
  <c r="B15" i="6"/>
  <c r="B16" i="6"/>
  <c r="B17" i="6"/>
  <c r="B11" i="6"/>
  <c r="D14" i="6"/>
  <c r="D13" i="6"/>
  <c r="D12" i="6"/>
  <c r="H17" i="2"/>
  <c r="I18" i="3"/>
  <c r="B23" i="6"/>
  <c r="T4" i="2"/>
  <c r="T5" i="2"/>
  <c r="T6" i="2"/>
  <c r="T7" i="2"/>
  <c r="T8" i="2"/>
  <c r="T9" i="2"/>
  <c r="T10" i="2"/>
  <c r="T11" i="2"/>
  <c r="T12" i="2"/>
  <c r="T13" i="2"/>
  <c r="U4" i="2"/>
  <c r="U5" i="2"/>
  <c r="U6" i="2"/>
  <c r="U7" i="2"/>
  <c r="U8" i="2"/>
  <c r="U9" i="2"/>
  <c r="U10" i="2"/>
  <c r="U11" i="2"/>
  <c r="U12" i="2"/>
  <c r="U13" i="2"/>
  <c r="U3" i="2"/>
  <c r="T3" i="2"/>
  <c r="Q4" i="2"/>
  <c r="Q5" i="2"/>
  <c r="Q6" i="2"/>
  <c r="Q7" i="2"/>
  <c r="Q8" i="2"/>
  <c r="Q9" i="2"/>
  <c r="Q10" i="2"/>
  <c r="Q11" i="2"/>
  <c r="Q12" i="2"/>
  <c r="Q13" i="2"/>
  <c r="R4" i="2"/>
  <c r="R5" i="2"/>
  <c r="R6" i="2"/>
  <c r="R7" i="2"/>
  <c r="R8" i="2"/>
  <c r="R9" i="2"/>
  <c r="R10" i="2"/>
  <c r="R11" i="2"/>
  <c r="R12" i="2"/>
  <c r="R13" i="2"/>
  <c r="R3" i="2"/>
  <c r="Q3" i="2"/>
  <c r="N4" i="2"/>
  <c r="N5" i="2"/>
  <c r="N6" i="2"/>
  <c r="N7" i="2"/>
  <c r="N8" i="2"/>
  <c r="N9" i="2"/>
  <c r="N10" i="2"/>
  <c r="N11" i="2"/>
  <c r="N12" i="2"/>
  <c r="N13" i="2"/>
  <c r="O4" i="2"/>
  <c r="O5" i="2"/>
  <c r="O6" i="2"/>
  <c r="O7" i="2"/>
  <c r="O8" i="2"/>
  <c r="O9" i="2"/>
  <c r="O10" i="2"/>
  <c r="O11" i="2"/>
  <c r="O12" i="2"/>
  <c r="O13" i="2"/>
  <c r="O3" i="2"/>
  <c r="N3" i="2"/>
  <c r="L4" i="2"/>
  <c r="L5" i="2"/>
  <c r="L6" i="2"/>
  <c r="L7" i="2"/>
  <c r="L8" i="2"/>
  <c r="L9" i="2"/>
  <c r="L10" i="2"/>
  <c r="L11" i="2"/>
  <c r="L12" i="2"/>
  <c r="L13" i="2"/>
  <c r="K4" i="2"/>
  <c r="K5" i="2"/>
  <c r="K6" i="2"/>
  <c r="K7" i="2"/>
  <c r="K8" i="2"/>
  <c r="K9" i="2"/>
  <c r="K10" i="2"/>
  <c r="K11" i="2"/>
  <c r="K12" i="2"/>
  <c r="K13" i="2"/>
  <c r="L3" i="2"/>
  <c r="K3" i="2"/>
  <c r="H4" i="2"/>
  <c r="H5" i="2"/>
  <c r="H6" i="2"/>
  <c r="H7" i="2"/>
  <c r="H8" i="2"/>
  <c r="H9" i="2"/>
  <c r="H10" i="2"/>
  <c r="H11" i="2"/>
  <c r="H12" i="2"/>
  <c r="H13" i="2"/>
  <c r="I13" i="2"/>
  <c r="I4" i="2"/>
  <c r="I5" i="2"/>
  <c r="I6" i="2"/>
  <c r="I7" i="2"/>
  <c r="I8" i="2"/>
  <c r="I9" i="2"/>
  <c r="I10" i="2"/>
  <c r="I11" i="2"/>
  <c r="I12" i="2"/>
  <c r="I3" i="2"/>
  <c r="H3" i="2"/>
  <c r="E4" i="2"/>
  <c r="E5" i="2"/>
  <c r="E6" i="2"/>
  <c r="E7" i="2"/>
  <c r="E8" i="2"/>
  <c r="E9" i="2"/>
  <c r="E10" i="2"/>
  <c r="E11" i="2"/>
  <c r="E12" i="2"/>
  <c r="E13" i="2"/>
  <c r="F4" i="2"/>
  <c r="F5" i="2"/>
  <c r="F6" i="2"/>
  <c r="F7" i="2"/>
  <c r="F8" i="2"/>
  <c r="F9" i="2"/>
  <c r="F10" i="2"/>
  <c r="F11" i="2"/>
  <c r="F12" i="2"/>
  <c r="F13" i="2"/>
  <c r="F3" i="2"/>
  <c r="E3" i="2"/>
  <c r="B4" i="2"/>
  <c r="B5" i="2"/>
  <c r="B6" i="2"/>
  <c r="B7" i="2"/>
  <c r="B8" i="2"/>
  <c r="B9" i="2"/>
  <c r="B10" i="2"/>
  <c r="B11" i="2"/>
  <c r="B12" i="2"/>
  <c r="B13" i="2"/>
  <c r="C4" i="2"/>
  <c r="C5" i="2"/>
  <c r="C6" i="2"/>
  <c r="C7" i="2"/>
  <c r="C8" i="2"/>
  <c r="C9" i="2"/>
  <c r="C10" i="2"/>
  <c r="C11" i="2"/>
  <c r="C12" i="2"/>
  <c r="C13" i="2"/>
  <c r="C3" i="2"/>
  <c r="B3" i="2"/>
  <c r="B22" i="6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2" i="8"/>
  <c r="F10" i="8"/>
  <c r="F9" i="8"/>
  <c r="F8" i="8"/>
  <c r="F7" i="8"/>
  <c r="F6" i="8"/>
  <c r="F5" i="8"/>
  <c r="F4" i="8"/>
  <c r="B24" i="6" l="1"/>
  <c r="E9" i="6" l="1"/>
  <c r="D9" i="6"/>
  <c r="B9" i="6"/>
  <c r="D8" i="6"/>
  <c r="B8" i="6"/>
  <c r="E8" i="6" s="1"/>
  <c r="D7" i="6"/>
  <c r="B7" i="6"/>
  <c r="E7" i="6" s="1"/>
  <c r="D6" i="6"/>
  <c r="B6" i="6"/>
  <c r="E6" i="6" s="1"/>
  <c r="E5" i="6"/>
  <c r="D5" i="6"/>
  <c r="B5" i="6"/>
  <c r="D4" i="6"/>
  <c r="B4" i="6"/>
  <c r="E4" i="6" s="1"/>
  <c r="D3" i="6"/>
  <c r="B3" i="6"/>
  <c r="E3" i="6" s="1"/>
  <c r="G9" i="7"/>
  <c r="D9" i="7"/>
  <c r="B9" i="7"/>
  <c r="E9" i="7" s="1"/>
  <c r="E8" i="7"/>
  <c r="D8" i="7"/>
  <c r="B8" i="7"/>
  <c r="D7" i="7"/>
  <c r="B7" i="7"/>
  <c r="E7" i="7" s="1"/>
  <c r="D6" i="7"/>
  <c r="B6" i="7"/>
  <c r="E6" i="7" s="1"/>
  <c r="D5" i="7"/>
  <c r="B5" i="7"/>
  <c r="E5" i="7" s="1"/>
  <c r="E4" i="7"/>
  <c r="D4" i="7"/>
  <c r="B4" i="7"/>
  <c r="D3" i="7"/>
  <c r="B3" i="7"/>
  <c r="E3" i="7" s="1"/>
  <c r="G2" i="7" s="1"/>
  <c r="E2" i="5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E25" i="3"/>
  <c r="D25" i="3"/>
  <c r="B25" i="3"/>
  <c r="E24" i="3"/>
  <c r="D24" i="3"/>
  <c r="B24" i="3"/>
  <c r="E23" i="3"/>
  <c r="D23" i="3"/>
  <c r="B23" i="3"/>
  <c r="E22" i="3"/>
  <c r="D22" i="3"/>
  <c r="B22" i="3"/>
  <c r="E21" i="3"/>
  <c r="D21" i="3"/>
  <c r="B21" i="3"/>
  <c r="E20" i="3"/>
  <c r="D20" i="3"/>
  <c r="B20" i="3"/>
  <c r="E19" i="3"/>
  <c r="G18" i="3" s="1"/>
  <c r="D19" i="3"/>
  <c r="B19" i="3"/>
  <c r="T4" i="3"/>
  <c r="T5" i="3"/>
  <c r="T6" i="3"/>
  <c r="T7" i="3"/>
  <c r="T8" i="3"/>
  <c r="T9" i="3"/>
  <c r="T10" i="3"/>
  <c r="T11" i="3"/>
  <c r="T12" i="3"/>
  <c r="T13" i="3"/>
  <c r="V13" i="3" s="1"/>
  <c r="T3" i="3"/>
  <c r="U4" i="3"/>
  <c r="U5" i="3"/>
  <c r="U6" i="3"/>
  <c r="U7" i="3"/>
  <c r="U8" i="3"/>
  <c r="U9" i="3"/>
  <c r="U10" i="3"/>
  <c r="U11" i="3"/>
  <c r="U12" i="3"/>
  <c r="U13" i="3"/>
  <c r="U3" i="3"/>
  <c r="R4" i="3"/>
  <c r="R5" i="3"/>
  <c r="S5" i="3" s="1"/>
  <c r="R6" i="3"/>
  <c r="R7" i="3"/>
  <c r="R8" i="3"/>
  <c r="R9" i="3"/>
  <c r="R10" i="3"/>
  <c r="R11" i="3"/>
  <c r="S11" i="3" s="1"/>
  <c r="R12" i="3"/>
  <c r="R13" i="3"/>
  <c r="R3" i="3"/>
  <c r="Q4" i="3"/>
  <c r="Q5" i="3"/>
  <c r="Q6" i="3"/>
  <c r="Q7" i="3"/>
  <c r="Q8" i="3"/>
  <c r="S8" i="3" s="1"/>
  <c r="Q9" i="3"/>
  <c r="Q10" i="3"/>
  <c r="Q11" i="3"/>
  <c r="Q12" i="3"/>
  <c r="Q13" i="3"/>
  <c r="S13" i="3" s="1"/>
  <c r="Q3" i="3"/>
  <c r="O4" i="3"/>
  <c r="O5" i="3"/>
  <c r="O6" i="3"/>
  <c r="O7" i="3"/>
  <c r="P7" i="3" s="1"/>
  <c r="O8" i="3"/>
  <c r="P8" i="3" s="1"/>
  <c r="O9" i="3"/>
  <c r="O10" i="3"/>
  <c r="O11" i="3"/>
  <c r="O12" i="3"/>
  <c r="O13" i="3"/>
  <c r="O3" i="3"/>
  <c r="N4" i="3"/>
  <c r="N5" i="3"/>
  <c r="N6" i="3"/>
  <c r="N7" i="3"/>
  <c r="N8" i="3"/>
  <c r="N9" i="3"/>
  <c r="P9" i="3" s="1"/>
  <c r="N10" i="3"/>
  <c r="P10" i="3" s="1"/>
  <c r="N11" i="3"/>
  <c r="P11" i="3" s="1"/>
  <c r="N12" i="3"/>
  <c r="N13" i="3"/>
  <c r="N3" i="3"/>
  <c r="P3" i="3" s="1"/>
  <c r="K4" i="3"/>
  <c r="K5" i="3"/>
  <c r="K6" i="3"/>
  <c r="K7" i="3"/>
  <c r="M7" i="3" s="1"/>
  <c r="K8" i="3"/>
  <c r="K9" i="3"/>
  <c r="K10" i="3"/>
  <c r="M10" i="3" s="1"/>
  <c r="K11" i="3"/>
  <c r="M11" i="3" s="1"/>
  <c r="K12" i="3"/>
  <c r="K13" i="3"/>
  <c r="L4" i="3"/>
  <c r="L5" i="3"/>
  <c r="M5" i="3" s="1"/>
  <c r="L6" i="3"/>
  <c r="L7" i="3"/>
  <c r="L8" i="3"/>
  <c r="L9" i="3"/>
  <c r="L10" i="3"/>
  <c r="L11" i="3"/>
  <c r="L3" i="3"/>
  <c r="K3" i="3"/>
  <c r="H5" i="3"/>
  <c r="J5" i="3" s="1"/>
  <c r="H6" i="3"/>
  <c r="H7" i="3"/>
  <c r="H8" i="3"/>
  <c r="H9" i="3"/>
  <c r="H10" i="3"/>
  <c r="H11" i="3"/>
  <c r="H12" i="3"/>
  <c r="H13" i="3"/>
  <c r="I5" i="3"/>
  <c r="I6" i="3"/>
  <c r="I7" i="3"/>
  <c r="J7" i="3" s="1"/>
  <c r="I8" i="3"/>
  <c r="I9" i="3"/>
  <c r="I10" i="3"/>
  <c r="I11" i="3"/>
  <c r="J11" i="3" s="1"/>
  <c r="I12" i="3"/>
  <c r="I13" i="3"/>
  <c r="I3" i="3"/>
  <c r="H3" i="3"/>
  <c r="F4" i="3"/>
  <c r="F5" i="3"/>
  <c r="F6" i="3"/>
  <c r="F7" i="3"/>
  <c r="F8" i="3"/>
  <c r="F9" i="3"/>
  <c r="F10" i="3"/>
  <c r="F11" i="3"/>
  <c r="F12" i="3"/>
  <c r="F13" i="3"/>
  <c r="F3" i="3"/>
  <c r="E4" i="3"/>
  <c r="E5" i="3"/>
  <c r="E6" i="3"/>
  <c r="E7" i="3"/>
  <c r="E8" i="3"/>
  <c r="E9" i="3"/>
  <c r="E10" i="3"/>
  <c r="E11" i="3"/>
  <c r="E12" i="3"/>
  <c r="E13" i="3"/>
  <c r="E3" i="3"/>
  <c r="C5" i="3"/>
  <c r="C6" i="3"/>
  <c r="D6" i="3" s="1"/>
  <c r="C7" i="3"/>
  <c r="C8" i="3"/>
  <c r="C9" i="3"/>
  <c r="C10" i="3"/>
  <c r="C11" i="3"/>
  <c r="D11" i="3" s="1"/>
  <c r="C12" i="3"/>
  <c r="C13" i="3"/>
  <c r="C3" i="3"/>
  <c r="D3" i="3" s="1"/>
  <c r="B5" i="3"/>
  <c r="B6" i="3"/>
  <c r="B7" i="3"/>
  <c r="B8" i="3"/>
  <c r="B9" i="3"/>
  <c r="B10" i="3"/>
  <c r="D10" i="3" s="1"/>
  <c r="B11" i="3"/>
  <c r="B12" i="3"/>
  <c r="B13" i="3"/>
  <c r="D13" i="3" s="1"/>
  <c r="B3" i="3"/>
  <c r="V8" i="3"/>
  <c r="D8" i="3"/>
  <c r="S7" i="3"/>
  <c r="S4" i="3"/>
  <c r="P4" i="3"/>
  <c r="M4" i="3"/>
  <c r="J3" i="3"/>
  <c r="V9" i="2"/>
  <c r="V11" i="2"/>
  <c r="V12" i="2"/>
  <c r="V13" i="2"/>
  <c r="S5" i="2"/>
  <c r="S10" i="2"/>
  <c r="S11" i="2"/>
  <c r="S12" i="2"/>
  <c r="M11" i="2"/>
  <c r="M8" i="2"/>
  <c r="P5" i="2"/>
  <c r="P7" i="2"/>
  <c r="P9" i="2"/>
  <c r="P3" i="2"/>
  <c r="J9" i="2"/>
  <c r="J11" i="2"/>
  <c r="J12" i="2"/>
  <c r="G11" i="2"/>
  <c r="D7" i="2"/>
  <c r="D9" i="2"/>
  <c r="G17" i="2"/>
  <c r="D24" i="2"/>
  <c r="B24" i="2"/>
  <c r="E24" i="2" s="1"/>
  <c r="D23" i="2"/>
  <c r="B23" i="2"/>
  <c r="E23" i="2" s="1"/>
  <c r="D22" i="2"/>
  <c r="B22" i="2"/>
  <c r="E22" i="2" s="1"/>
  <c r="D21" i="2"/>
  <c r="B21" i="2"/>
  <c r="E21" i="2" s="1"/>
  <c r="D20" i="2"/>
  <c r="B20" i="2"/>
  <c r="E20" i="2" s="1"/>
  <c r="D19" i="2"/>
  <c r="B19" i="2"/>
  <c r="E19" i="2" s="1"/>
  <c r="D18" i="2"/>
  <c r="B18" i="2"/>
  <c r="E18" i="2" s="1"/>
  <c r="V7" i="2"/>
  <c r="M4" i="2"/>
  <c r="G4" i="2"/>
  <c r="G5" i="2"/>
  <c r="G10" i="2"/>
  <c r="D8" i="2"/>
  <c r="D12" i="2"/>
  <c r="J5" i="2"/>
  <c r="J6" i="2"/>
  <c r="P4" i="2"/>
  <c r="S4" i="2"/>
  <c r="V4" i="2"/>
  <c r="V5" i="2"/>
  <c r="D6" i="2"/>
  <c r="V6" i="2"/>
  <c r="J7" i="2"/>
  <c r="J8" i="2"/>
  <c r="S8" i="2"/>
  <c r="V8" i="2"/>
  <c r="M9" i="2"/>
  <c r="S9" i="2"/>
  <c r="D10" i="2"/>
  <c r="J10" i="2"/>
  <c r="P10" i="2"/>
  <c r="V10" i="2"/>
  <c r="P13" i="2"/>
  <c r="V4" i="1"/>
  <c r="V5" i="1"/>
  <c r="V6" i="1"/>
  <c r="V7" i="1"/>
  <c r="V8" i="1"/>
  <c r="V9" i="1"/>
  <c r="V10" i="1"/>
  <c r="V11" i="1"/>
  <c r="V12" i="1"/>
  <c r="V13" i="1"/>
  <c r="V3" i="1"/>
  <c r="U4" i="1"/>
  <c r="U5" i="1"/>
  <c r="U6" i="1"/>
  <c r="U7" i="1"/>
  <c r="U8" i="1"/>
  <c r="U9" i="1"/>
  <c r="U10" i="1"/>
  <c r="U11" i="1"/>
  <c r="U12" i="1"/>
  <c r="U13" i="1"/>
  <c r="U3" i="1"/>
  <c r="T4" i="1"/>
  <c r="T5" i="1"/>
  <c r="T6" i="1"/>
  <c r="T7" i="1"/>
  <c r="T8" i="1"/>
  <c r="T9" i="1"/>
  <c r="T10" i="1"/>
  <c r="T11" i="1"/>
  <c r="T12" i="1"/>
  <c r="T13" i="1"/>
  <c r="T3" i="1"/>
  <c r="S4" i="1"/>
  <c r="S5" i="1"/>
  <c r="S6" i="1"/>
  <c r="S7" i="1"/>
  <c r="S8" i="1"/>
  <c r="S9" i="1"/>
  <c r="S10" i="1"/>
  <c r="S11" i="1"/>
  <c r="S12" i="1"/>
  <c r="S13" i="1"/>
  <c r="S3" i="1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P4" i="1"/>
  <c r="P5" i="1"/>
  <c r="P6" i="1"/>
  <c r="P7" i="1"/>
  <c r="P8" i="1"/>
  <c r="P9" i="1"/>
  <c r="P10" i="1"/>
  <c r="P11" i="1"/>
  <c r="P12" i="1"/>
  <c r="P13" i="1"/>
  <c r="P3" i="1"/>
  <c r="O4" i="1"/>
  <c r="O5" i="1"/>
  <c r="O6" i="1"/>
  <c r="O7" i="1"/>
  <c r="O8" i="1"/>
  <c r="O9" i="1"/>
  <c r="O10" i="1"/>
  <c r="O11" i="1"/>
  <c r="O12" i="1"/>
  <c r="O13" i="1"/>
  <c r="O3" i="1"/>
  <c r="N4" i="1"/>
  <c r="N5" i="1"/>
  <c r="N6" i="1"/>
  <c r="N7" i="1"/>
  <c r="N8" i="1"/>
  <c r="N9" i="1"/>
  <c r="N10" i="1"/>
  <c r="N11" i="1"/>
  <c r="N12" i="1"/>
  <c r="N13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12" i="3" s="1"/>
  <c r="L13" i="1"/>
  <c r="L13" i="3" s="1"/>
  <c r="L3" i="1"/>
  <c r="K4" i="1"/>
  <c r="K5" i="1"/>
  <c r="K6" i="1"/>
  <c r="K7" i="1"/>
  <c r="K8" i="1"/>
  <c r="K9" i="1"/>
  <c r="K10" i="1"/>
  <c r="K11" i="1"/>
  <c r="K12" i="1"/>
  <c r="K13" i="1"/>
  <c r="K3" i="1"/>
  <c r="J5" i="1"/>
  <c r="J6" i="1"/>
  <c r="J7" i="1"/>
  <c r="J8" i="1"/>
  <c r="J9" i="1"/>
  <c r="J10" i="1"/>
  <c r="J11" i="1"/>
  <c r="J12" i="1"/>
  <c r="J13" i="1"/>
  <c r="J3" i="1"/>
  <c r="I4" i="1"/>
  <c r="I4" i="3" s="1"/>
  <c r="I5" i="1"/>
  <c r="I6" i="1"/>
  <c r="I7" i="1"/>
  <c r="I8" i="1"/>
  <c r="I9" i="1"/>
  <c r="I10" i="1"/>
  <c r="I11" i="1"/>
  <c r="I12" i="1"/>
  <c r="I13" i="1"/>
  <c r="I3" i="1"/>
  <c r="H4" i="1"/>
  <c r="H5" i="1"/>
  <c r="H6" i="1"/>
  <c r="H7" i="1"/>
  <c r="H8" i="1"/>
  <c r="H9" i="1"/>
  <c r="H10" i="1"/>
  <c r="H11" i="1"/>
  <c r="H12" i="1"/>
  <c r="H13" i="1"/>
  <c r="H3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  <c r="D5" i="1"/>
  <c r="D6" i="1"/>
  <c r="D7" i="1"/>
  <c r="D8" i="1"/>
  <c r="D9" i="1"/>
  <c r="D10" i="1"/>
  <c r="D11" i="1"/>
  <c r="D12" i="1"/>
  <c r="D13" i="1"/>
  <c r="D3" i="1"/>
  <c r="C4" i="1"/>
  <c r="C5" i="1"/>
  <c r="C6" i="1"/>
  <c r="C7" i="1"/>
  <c r="C8" i="1"/>
  <c r="C9" i="1"/>
  <c r="C10" i="1"/>
  <c r="C11" i="1"/>
  <c r="C12" i="1"/>
  <c r="C13" i="1"/>
  <c r="C3" i="1"/>
  <c r="B4" i="1"/>
  <c r="B5" i="1"/>
  <c r="B6" i="1"/>
  <c r="B7" i="1"/>
  <c r="B8" i="1"/>
  <c r="B9" i="1"/>
  <c r="B10" i="1"/>
  <c r="B11" i="1"/>
  <c r="B12" i="1"/>
  <c r="B13" i="1"/>
  <c r="B3" i="1"/>
  <c r="G6" i="3" l="1"/>
  <c r="S6" i="3"/>
  <c r="V4" i="3"/>
  <c r="D9" i="3"/>
  <c r="D7" i="3"/>
  <c r="G4" i="3"/>
  <c r="M8" i="3"/>
  <c r="M12" i="3"/>
  <c r="D5" i="3"/>
  <c r="V10" i="3"/>
  <c r="J8" i="3"/>
  <c r="D12" i="3"/>
  <c r="J9" i="3"/>
  <c r="V7" i="3"/>
  <c r="P8" i="2"/>
  <c r="P6" i="2"/>
  <c r="M10" i="2"/>
  <c r="G8" i="3"/>
  <c r="S9" i="3"/>
  <c r="G13" i="2"/>
  <c r="J6" i="3"/>
  <c r="G7" i="2"/>
  <c r="M7" i="2"/>
  <c r="M9" i="3"/>
  <c r="P11" i="2"/>
  <c r="P6" i="3"/>
  <c r="V3" i="3"/>
  <c r="M6" i="3"/>
  <c r="G13" i="3"/>
  <c r="P5" i="3"/>
  <c r="F3" i="6"/>
  <c r="C4" i="3"/>
  <c r="D4" i="2"/>
  <c r="B4" i="3"/>
  <c r="D4" i="1"/>
  <c r="M13" i="2"/>
  <c r="M13" i="1"/>
  <c r="M12" i="2"/>
  <c r="J4" i="1"/>
  <c r="J4" i="2"/>
  <c r="H4" i="3"/>
  <c r="J4" i="3" s="1"/>
  <c r="V12" i="3"/>
  <c r="V11" i="3"/>
  <c r="V9" i="3"/>
  <c r="V6" i="3"/>
  <c r="V5" i="3"/>
  <c r="S12" i="3"/>
  <c r="S10" i="3"/>
  <c r="S3" i="3"/>
  <c r="P13" i="3"/>
  <c r="P12" i="3"/>
  <c r="M13" i="3"/>
  <c r="M3" i="3"/>
  <c r="J12" i="3"/>
  <c r="J10" i="3"/>
  <c r="J13" i="3"/>
  <c r="G5" i="3"/>
  <c r="G12" i="3"/>
  <c r="G10" i="3"/>
  <c r="G9" i="3"/>
  <c r="G7" i="3"/>
  <c r="G11" i="3"/>
  <c r="G3" i="3"/>
  <c r="V3" i="2"/>
  <c r="S7" i="2"/>
  <c r="S6" i="2"/>
  <c r="S13" i="2"/>
  <c r="S3" i="2"/>
  <c r="M6" i="2"/>
  <c r="M3" i="2"/>
  <c r="G12" i="2"/>
  <c r="D5" i="2"/>
  <c r="P12" i="2"/>
  <c r="M5" i="2"/>
  <c r="J13" i="2"/>
  <c r="J3" i="2"/>
  <c r="G6" i="2"/>
  <c r="G9" i="2"/>
  <c r="G8" i="2"/>
  <c r="G3" i="2"/>
  <c r="D13" i="2"/>
  <c r="D11" i="2"/>
  <c r="D3" i="2"/>
  <c r="D4" i="3" l="1"/>
  <c r="D24" i="10" l="1"/>
  <c r="B24" i="10"/>
  <c r="D23" i="10"/>
  <c r="B23" i="10"/>
  <c r="D22" i="10"/>
  <c r="B22" i="10"/>
  <c r="D21" i="10"/>
  <c r="B21" i="10"/>
  <c r="D20" i="10"/>
  <c r="B20" i="10"/>
  <c r="D19" i="10"/>
  <c r="B19" i="10"/>
  <c r="D18" i="10"/>
  <c r="B18" i="10"/>
  <c r="D24" i="1"/>
  <c r="D23" i="1"/>
  <c r="D22" i="1"/>
  <c r="D21" i="1"/>
  <c r="D20" i="1"/>
  <c r="D19" i="1"/>
  <c r="D18" i="1"/>
  <c r="B24" i="1"/>
  <c r="E24" i="1" s="1"/>
  <c r="B23" i="1"/>
  <c r="E23" i="1" s="1"/>
  <c r="B22" i="1"/>
  <c r="E22" i="1" s="1"/>
  <c r="B21" i="1"/>
  <c r="E21" i="1" s="1"/>
  <c r="B20" i="1"/>
  <c r="E20" i="1" s="1"/>
  <c r="B19" i="1"/>
  <c r="E19" i="1" s="1"/>
  <c r="B18" i="1"/>
  <c r="E18" i="1" s="1"/>
  <c r="W4" i="10"/>
  <c r="W5" i="10"/>
  <c r="W6" i="10"/>
  <c r="W7" i="10"/>
  <c r="W8" i="10"/>
  <c r="W9" i="10"/>
  <c r="W10" i="10"/>
  <c r="W11" i="10"/>
  <c r="W12" i="10"/>
  <c r="W13" i="10"/>
  <c r="W3" i="10"/>
  <c r="T4" i="10"/>
  <c r="T5" i="10"/>
  <c r="T6" i="10"/>
  <c r="T7" i="10"/>
  <c r="T8" i="10"/>
  <c r="T9" i="10"/>
  <c r="T10" i="10"/>
  <c r="T11" i="10"/>
  <c r="T12" i="10"/>
  <c r="T13" i="10"/>
  <c r="T3" i="10"/>
  <c r="Q4" i="10"/>
  <c r="Q5" i="10"/>
  <c r="Q6" i="10"/>
  <c r="Q7" i="10"/>
  <c r="Q8" i="10"/>
  <c r="Q9" i="10"/>
  <c r="Q10" i="10"/>
  <c r="Q11" i="10"/>
  <c r="Q12" i="10"/>
  <c r="Q13" i="10"/>
  <c r="Q3" i="10"/>
  <c r="N4" i="10"/>
  <c r="N5" i="10"/>
  <c r="N6" i="10"/>
  <c r="N7" i="10"/>
  <c r="N8" i="10"/>
  <c r="N9" i="10"/>
  <c r="N10" i="10"/>
  <c r="N11" i="10"/>
  <c r="N12" i="10"/>
  <c r="N13" i="10"/>
  <c r="N3" i="10"/>
  <c r="K4" i="10"/>
  <c r="K5" i="10"/>
  <c r="K6" i="10"/>
  <c r="K7" i="10"/>
  <c r="K8" i="10"/>
  <c r="K9" i="10"/>
  <c r="K10" i="10"/>
  <c r="K11" i="10"/>
  <c r="K12" i="10"/>
  <c r="K13" i="10"/>
  <c r="K3" i="10"/>
  <c r="H4" i="10"/>
  <c r="H5" i="10"/>
  <c r="H6" i="10"/>
  <c r="H7" i="10"/>
  <c r="H8" i="10"/>
  <c r="H9" i="10"/>
  <c r="H10" i="10"/>
  <c r="H11" i="10"/>
  <c r="H12" i="10"/>
  <c r="H13" i="10"/>
  <c r="H3" i="10"/>
  <c r="E5" i="10"/>
  <c r="E6" i="10"/>
  <c r="E7" i="10"/>
  <c r="E8" i="10"/>
  <c r="E9" i="10"/>
  <c r="E10" i="10"/>
  <c r="E11" i="10"/>
  <c r="E12" i="10"/>
  <c r="E13" i="10"/>
  <c r="E4" i="10"/>
  <c r="E3" i="10"/>
  <c r="F18" i="1" l="1"/>
</calcChain>
</file>

<file path=xl/sharedStrings.xml><?xml version="1.0" encoding="utf-8"?>
<sst xmlns="http://schemas.openxmlformats.org/spreadsheetml/2006/main" count="243" uniqueCount="54">
  <si>
    <t>شرح</t>
  </si>
  <si>
    <t>انجام</t>
  </si>
  <si>
    <t>عدم انجام</t>
  </si>
  <si>
    <t>فروش</t>
  </si>
  <si>
    <t>بهای تمام شده</t>
  </si>
  <si>
    <t>سود ناخالص</t>
  </si>
  <si>
    <t>هزینه های عمومی اداری</t>
  </si>
  <si>
    <t>سایر اقلام عملیاتی</t>
  </si>
  <si>
    <t>سود عملیاتی</t>
  </si>
  <si>
    <t>هرینه های مالی</t>
  </si>
  <si>
    <t>سایر اقلام غیر عملیاتی</t>
  </si>
  <si>
    <t>سود قبل از کسر مالیات</t>
  </si>
  <si>
    <t xml:space="preserve">مالیات </t>
  </si>
  <si>
    <t>سود خالص</t>
  </si>
  <si>
    <t>سال</t>
  </si>
  <si>
    <t>جریان مالی</t>
  </si>
  <si>
    <t>ارزش فعلی</t>
  </si>
  <si>
    <t>NPV</t>
  </si>
  <si>
    <t>تفاوت انجام افزایش سرمایه و عدم انجام افزایش سرمایه</t>
  </si>
  <si>
    <t>AW</t>
  </si>
  <si>
    <t>FW</t>
  </si>
  <si>
    <t>C</t>
  </si>
  <si>
    <t>B</t>
  </si>
  <si>
    <t>حالت کلی : افزایش سرمایه - عدم افزایش سرمایه</t>
  </si>
  <si>
    <t>C0</t>
  </si>
  <si>
    <t>B/C Ratio
متعارف</t>
  </si>
  <si>
    <t>اختلاف</t>
  </si>
  <si>
    <t xml:space="preserve">استهلاک </t>
  </si>
  <si>
    <t>طبق داده گزارش نرخ تنزیل 22% می باشد .</t>
  </si>
  <si>
    <t xml:space="preserve">نرخ تنزیل </t>
  </si>
  <si>
    <t>ارزش خالص فعلی NPV</t>
  </si>
  <si>
    <t>نرخ بازده داخلی IRR</t>
  </si>
  <si>
    <t xml:space="preserve">دوره بازگشت سرمایه </t>
  </si>
  <si>
    <t xml:space="preserve">دوره بازگشت سرمایه تنزیل شده </t>
  </si>
  <si>
    <t>3,1</t>
  </si>
  <si>
    <t>با استفاده از دستور PV  در جدول بالا ارزش فعلی تمام فعالیت ها در تمام بازه زمانی مد نظر به دست اورده شده است.</t>
  </si>
  <si>
    <t>NPW</t>
  </si>
  <si>
    <t>IRR</t>
  </si>
  <si>
    <t>با دستور IRR  و داشتن جریان مالی IRR به دست آمده با عدد گزارش شده برابری می کند.</t>
  </si>
  <si>
    <t>PMT</t>
  </si>
  <si>
    <t xml:space="preserve">(P=A/I) ارزش فعلی </t>
  </si>
  <si>
    <t>نرخ</t>
  </si>
  <si>
    <t xml:space="preserve">با ارزش </t>
  </si>
  <si>
    <t xml:space="preserve">بدون ارزش </t>
  </si>
  <si>
    <t>NPV درآمد ها</t>
  </si>
  <si>
    <t>NPER</t>
  </si>
  <si>
    <t>N</t>
  </si>
  <si>
    <t>تعداد روز های گذشته</t>
  </si>
  <si>
    <t>در کل سه سال و یک ماه</t>
  </si>
  <si>
    <t>اصلاح شده</t>
  </si>
  <si>
    <t>وااضح است سود این فعالیت از هزینه های آن بیشتر و طبیعتا به صرفه می باشد.</t>
  </si>
  <si>
    <t>طبق گزارش</t>
  </si>
  <si>
    <t xml:space="preserve">ارزش سالیانه با دستور PMT  و دوره  7و نرخ تنزیل 22%  محاسبه شد </t>
  </si>
  <si>
    <t>ارزش آتی با دستور FV محاسبه گردید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</si>
</sst>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_);[Red]\(0\)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A00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/>
      <bottom style="thin">
        <color rgb="FF7F7F7F"/>
      </bottom>
      <diagonal/>
    </border>
  </borders>
  <cellStyleXfs count="2">
    <xf numFmtId="0" fontId="0" fillId="0" borderId="0"/>
    <xf numFmtId="0" fontId="1" fillId="3" borderId="1" applyNumberFormat="0" applyAlignment="0" applyProtection="0"/>
  </cellStyleXfs>
  <cellXfs count="64">
    <xf numFmtId="0" fontId="0" fillId="0" borderId="0" xfId="0"/>
    <xf numFmtId="164" fontId="0" fillId="4" borderId="0" xfId="0" applyNumberFormat="1" applyFill="1" applyAlignment="1">
      <alignment vertical="top"/>
    </xf>
    <xf numFmtId="164" fontId="2" fillId="5" borderId="1" xfId="1" applyNumberFormat="1" applyFont="1" applyFill="1" applyAlignment="1">
      <alignment horizontal="center" vertical="top"/>
    </xf>
    <xf numFmtId="164" fontId="2" fillId="5" borderId="1" xfId="1" applyNumberFormat="1" applyFont="1" applyFill="1" applyAlignment="1">
      <alignment vertical="top"/>
    </xf>
    <xf numFmtId="164" fontId="2" fillId="5" borderId="1" xfId="1" applyNumberFormat="1" applyFont="1" applyFill="1" applyAlignment="1">
      <alignment horizontal="center" vertical="top" wrapText="1"/>
    </xf>
    <xf numFmtId="0" fontId="0" fillId="4" borderId="0" xfId="0" applyFill="1"/>
    <xf numFmtId="164" fontId="1" fillId="7" borderId="1" xfId="1" applyNumberFormat="1" applyFill="1" applyAlignment="1">
      <alignment vertical="top"/>
    </xf>
    <xf numFmtId="0" fontId="1" fillId="7" borderId="1" xfId="1" applyFill="1"/>
    <xf numFmtId="0" fontId="3" fillId="4" borderId="0" xfId="0" applyFont="1" applyFill="1"/>
    <xf numFmtId="8" fontId="3" fillId="4" borderId="0" xfId="0" applyNumberFormat="1" applyFont="1" applyFill="1"/>
    <xf numFmtId="38" fontId="1" fillId="6" borderId="1" xfId="1" applyNumberFormat="1" applyFill="1" applyAlignment="1">
      <alignment vertical="top"/>
    </xf>
    <xf numFmtId="38" fontId="1" fillId="2" borderId="1" xfId="1" applyNumberFormat="1" applyFill="1" applyAlignment="1">
      <alignment vertical="top"/>
    </xf>
    <xf numFmtId="9" fontId="3" fillId="4" borderId="0" xfId="0" applyNumberFormat="1" applyFont="1" applyFill="1"/>
    <xf numFmtId="38" fontId="3" fillId="4" borderId="0" xfId="0" applyNumberFormat="1" applyFont="1" applyFill="1"/>
    <xf numFmtId="38" fontId="3" fillId="7" borderId="0" xfId="0" applyNumberFormat="1" applyFont="1" applyFill="1"/>
    <xf numFmtId="0" fontId="1" fillId="6" borderId="1" xfId="1" applyFill="1"/>
    <xf numFmtId="8" fontId="1" fillId="6" borderId="1" xfId="1" applyNumberFormat="1" applyFill="1"/>
    <xf numFmtId="0" fontId="2" fillId="5" borderId="1" xfId="1" applyFont="1" applyFill="1"/>
    <xf numFmtId="0" fontId="1" fillId="6" borderId="1" xfId="1" applyFill="1" applyAlignment="1">
      <alignment horizontal="center"/>
    </xf>
    <xf numFmtId="9" fontId="1" fillId="6" borderId="1" xfId="1" applyNumberFormat="1" applyFill="1" applyAlignment="1">
      <alignment horizontal="center"/>
    </xf>
    <xf numFmtId="3" fontId="1" fillId="6" borderId="1" xfId="1" applyNumberFormat="1" applyFill="1" applyAlignment="1">
      <alignment horizontal="center"/>
    </xf>
    <xf numFmtId="0" fontId="2" fillId="5" borderId="1" xfId="1" applyFont="1" applyFill="1" applyAlignment="1">
      <alignment horizontal="center"/>
    </xf>
    <xf numFmtId="8" fontId="1" fillId="7" borderId="1" xfId="1" applyNumberFormat="1" applyFill="1"/>
    <xf numFmtId="0" fontId="1" fillId="4" borderId="1" xfId="1" applyFill="1"/>
    <xf numFmtId="0" fontId="0" fillId="8" borderId="0" xfId="0" applyFill="1"/>
    <xf numFmtId="164" fontId="1" fillId="7" borderId="1" xfId="1" applyNumberFormat="1" applyFill="1" applyAlignment="1">
      <alignment horizontal="center" vertical="top"/>
    </xf>
    <xf numFmtId="0" fontId="1" fillId="7" borderId="1" xfId="1" applyFill="1" applyAlignment="1">
      <alignment horizontal="center"/>
    </xf>
    <xf numFmtId="8" fontId="1" fillId="7" borderId="1" xfId="1" applyNumberFormat="1" applyFill="1" applyAlignment="1">
      <alignment horizontal="center"/>
    </xf>
    <xf numFmtId="38" fontId="1" fillId="7" borderId="1" xfId="1" applyNumberFormat="1" applyFill="1" applyAlignment="1">
      <alignment horizontal="center"/>
    </xf>
    <xf numFmtId="9" fontId="1" fillId="7" borderId="1" xfId="1" applyNumberFormat="1" applyFill="1" applyAlignment="1">
      <alignment horizontal="center"/>
    </xf>
    <xf numFmtId="38" fontId="0" fillId="4" borderId="0" xfId="0" applyNumberFormat="1" applyFill="1" applyAlignment="1">
      <alignment vertical="top"/>
    </xf>
    <xf numFmtId="40" fontId="1" fillId="6" borderId="1" xfId="1" applyNumberFormat="1" applyFill="1"/>
    <xf numFmtId="164" fontId="7" fillId="5" borderId="1" xfId="1" applyNumberFormat="1" applyFont="1" applyFill="1" applyAlignment="1">
      <alignment horizontal="right" vertical="top" wrapText="1"/>
    </xf>
    <xf numFmtId="164" fontId="2" fillId="5" borderId="1" xfId="1" applyNumberFormat="1" applyFont="1" applyFill="1" applyAlignment="1">
      <alignment horizontal="right" vertical="top"/>
    </xf>
    <xf numFmtId="38" fontId="1" fillId="2" borderId="1" xfId="1" applyNumberFormat="1" applyFill="1" applyAlignment="1">
      <alignment horizontal="right" vertical="top"/>
    </xf>
    <xf numFmtId="38" fontId="2" fillId="5" borderId="1" xfId="1" applyNumberFormat="1" applyFont="1" applyFill="1" applyAlignment="1">
      <alignment horizontal="center" vertical="top"/>
    </xf>
    <xf numFmtId="38" fontId="2" fillId="7" borderId="1" xfId="1" applyNumberFormat="1" applyFont="1" applyFill="1" applyAlignment="1">
      <alignment horizontal="center" vertical="top" wrapText="1"/>
    </xf>
    <xf numFmtId="0" fontId="3" fillId="8" borderId="0" xfId="0" applyFont="1" applyFill="1"/>
    <xf numFmtId="0" fontId="2" fillId="4" borderId="0" xfId="0" applyFont="1" applyFill="1"/>
    <xf numFmtId="3" fontId="1" fillId="7" borderId="1" xfId="1" applyNumberFormat="1" applyFill="1" applyAlignment="1">
      <alignment horizontal="center"/>
    </xf>
    <xf numFmtId="9" fontId="5" fillId="6" borderId="1" xfId="1" applyNumberFormat="1" applyFont="1" applyFill="1" applyAlignment="1">
      <alignment horizontal="center"/>
    </xf>
    <xf numFmtId="0" fontId="1" fillId="9" borderId="1" xfId="1" applyFill="1"/>
    <xf numFmtId="8" fontId="2" fillId="5" borderId="1" xfId="1" applyNumberFormat="1" applyFont="1" applyFill="1"/>
    <xf numFmtId="0" fontId="1" fillId="8" borderId="1" xfId="1" applyFill="1"/>
    <xf numFmtId="38" fontId="1" fillId="9" borderId="1" xfId="1" applyNumberFormat="1" applyFill="1"/>
    <xf numFmtId="38" fontId="1" fillId="6" borderId="1" xfId="1" applyNumberFormat="1" applyFill="1" applyAlignment="1">
      <alignment horizontal="center"/>
    </xf>
    <xf numFmtId="164" fontId="2" fillId="5" borderId="1" xfId="1" applyNumberFormat="1" applyFont="1" applyFill="1" applyAlignment="1">
      <alignment horizontal="center" vertical="top"/>
    </xf>
    <xf numFmtId="164" fontId="2" fillId="5" borderId="3" xfId="1" applyNumberFormat="1" applyFont="1" applyFill="1" applyBorder="1" applyAlignment="1">
      <alignment horizontal="center" vertical="top"/>
    </xf>
    <xf numFmtId="164" fontId="2" fillId="5" borderId="4" xfId="1" applyNumberFormat="1" applyFont="1" applyFill="1" applyBorder="1" applyAlignment="1">
      <alignment horizontal="center" vertical="top"/>
    </xf>
    <xf numFmtId="0" fontId="4" fillId="8" borderId="2" xfId="0" applyFont="1" applyFill="1" applyBorder="1" applyAlignment="1">
      <alignment horizontal="center" vertical="top"/>
    </xf>
    <xf numFmtId="0" fontId="4" fillId="8" borderId="0" xfId="0" applyFont="1" applyFill="1" applyBorder="1" applyAlignment="1">
      <alignment horizontal="center" vertical="top"/>
    </xf>
    <xf numFmtId="0" fontId="0" fillId="8" borderId="2" xfId="0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2" fillId="5" borderId="5" xfId="1" applyNumberFormat="1" applyFont="1" applyFill="1" applyBorder="1" applyAlignment="1">
      <alignment horizontal="center" vertical="top"/>
    </xf>
    <xf numFmtId="164" fontId="2" fillId="5" borderId="6" xfId="1" applyNumberFormat="1" applyFont="1" applyFill="1" applyBorder="1" applyAlignment="1">
      <alignment horizontal="center" vertical="top"/>
    </xf>
    <xf numFmtId="0" fontId="0" fillId="8" borderId="9" xfId="0" applyFill="1" applyBorder="1" applyAlignment="1">
      <alignment horizontal="center"/>
    </xf>
    <xf numFmtId="38" fontId="1" fillId="6" borderId="1" xfId="1" applyNumberFormat="1" applyFill="1" applyAlignment="1">
      <alignment horizontal="center" vertical="top"/>
    </xf>
    <xf numFmtId="40" fontId="1" fillId="6" borderId="1" xfId="1" applyNumberFormat="1" applyFill="1" applyAlignment="1">
      <alignment horizontal="center" vertical="top"/>
    </xf>
    <xf numFmtId="0" fontId="0" fillId="4" borderId="0" xfId="0" applyFill="1"/>
    <xf numFmtId="0" fontId="6" fillId="8" borderId="0" xfId="0" applyFont="1" applyFill="1" applyAlignment="1">
      <alignment horizontal="center" wrapText="1"/>
    </xf>
    <xf numFmtId="38" fontId="2" fillId="5" borderId="0" xfId="0" applyNumberFormat="1" applyFont="1" applyFill="1" applyAlignment="1">
      <alignment horizontal="center" vertical="top"/>
    </xf>
    <xf numFmtId="0" fontId="0" fillId="8" borderId="7" xfId="0" applyFill="1" applyBorder="1" applyAlignment="1">
      <alignment horizontal="center" vertical="top" wrapText="1"/>
    </xf>
    <xf numFmtId="0" fontId="0" fillId="8" borderId="8" xfId="0" applyFill="1" applyBorder="1" applyAlignment="1">
      <alignment horizontal="center" vertical="top" wrapText="1"/>
    </xf>
    <xf numFmtId="0" fontId="1" fillId="7" borderId="1" xfId="1" applyFill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A0065"/>
      <color rgb="FFFFFFDD"/>
      <color rgb="FF0037A4"/>
      <color rgb="FFE6CD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'i)نمودار'!$B$1</c:f>
              <c:strCache>
                <c:ptCount val="1"/>
                <c:pt idx="0">
                  <c:v>ارزش فعلی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'i)نمودار'!$A$2:$A$101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'i)نمودار'!$B$2:$B$101</c:f>
              <c:numCache>
                <c:formatCode>#,##0.00_);[Red]\(#,##0.00\)</c:formatCode>
                <c:ptCount val="100"/>
                <c:pt idx="0">
                  <c:v>3857814.6466538142</c:v>
                </c:pt>
                <c:pt idx="1">
                  <c:v>3582520.6436186461</c:v>
                </c:pt>
                <c:pt idx="2">
                  <c:v>3322523.7200444816</c:v>
                </c:pt>
                <c:pt idx="3">
                  <c:v>3076766.5049092155</c:v>
                </c:pt>
                <c:pt idx="4">
                  <c:v>2844276.8889176659</c:v>
                </c:pt>
                <c:pt idx="5">
                  <c:v>2624160.26485579</c:v>
                </c:pt>
                <c:pt idx="6">
                  <c:v>2415592.5489937291</c:v>
                </c:pt>
                <c:pt idx="7">
                  <c:v>2217813.897788926</c:v>
                </c:pt>
                <c:pt idx="8">
                  <c:v>2030123.0443042126</c:v>
                </c:pt>
                <c:pt idx="9">
                  <c:v>1851872.1876289779</c:v>
                </c:pt>
                <c:pt idx="10">
                  <c:v>1682462.3763489146</c:v>
                </c:pt>
                <c:pt idx="11">
                  <c:v>1521339.3339005029</c:v>
                </c:pt>
                <c:pt idx="12">
                  <c:v>1367989.6795988316</c:v>
                </c:pt>
                <c:pt idx="13">
                  <c:v>1221937.5043515824</c:v>
                </c:pt>
                <c:pt idx="14">
                  <c:v>1082741.2646630937</c:v>
                </c:pt>
                <c:pt idx="15">
                  <c:v>949990.962571715</c:v>
                </c:pt>
                <c:pt idx="16">
                  <c:v>823305.5827225484</c:v>
                </c:pt>
                <c:pt idx="17">
                  <c:v>702330.76091605332</c:v>
                </c:pt>
                <c:pt idx="18">
                  <c:v>586736.66124481615</c:v>
                </c:pt>
                <c:pt idx="19">
                  <c:v>476216.04138088739</c:v>
                </c:pt>
                <c:pt idx="20">
                  <c:v>370482.4877448529</c:v>
                </c:pt>
                <c:pt idx="21">
                  <c:v>269268.80420928868</c:v>
                </c:pt>
                <c:pt idx="22">
                  <c:v>172325.53969376627</c:v>
                </c:pt>
                <c:pt idx="23">
                  <c:v>79419.641522152349</c:v>
                </c:pt>
                <c:pt idx="24">
                  <c:v>-9666.777241599746</c:v>
                </c:pt>
                <c:pt idx="25">
                  <c:v>-95137.567065647338</c:v>
                </c:pt>
                <c:pt idx="26">
                  <c:v>-177183.57735040411</c:v>
                </c:pt>
                <c:pt idx="27">
                  <c:v>-255983.60652557481</c:v>
                </c:pt>
                <c:pt idx="28">
                  <c:v>-331705.27456415119</c:v>
                </c:pt>
                <c:pt idx="29">
                  <c:v>-404505.82487503346</c:v>
                </c:pt>
                <c:pt idx="30">
                  <c:v>-474532.86185767641</c:v>
                </c:pt>
                <c:pt idx="31">
                  <c:v>-541925.02979498776</c:v>
                </c:pt>
                <c:pt idx="32">
                  <c:v>-606812.63821668504</c:v>
                </c:pt>
                <c:pt idx="33">
                  <c:v>-669318.23837743793</c:v>
                </c:pt>
                <c:pt idx="34">
                  <c:v>-729557.15505612874</c:v>
                </c:pt>
                <c:pt idx="35">
                  <c:v>-787637.9774891031</c:v>
                </c:pt>
                <c:pt idx="36">
                  <c:v>-843663.01289643534</c:v>
                </c:pt>
                <c:pt idx="37">
                  <c:v>-897728.70574174076</c:v>
                </c:pt>
                <c:pt idx="38">
                  <c:v>-949926.02557925042</c:v>
                </c:pt>
                <c:pt idx="39">
                  <c:v>-1000340.8260831549</c:v>
                </c:pt>
                <c:pt idx="40">
                  <c:v>-1049054.1776209367</c:v>
                </c:pt>
                <c:pt idx="41">
                  <c:v>-1096142.675521594</c:v>
                </c:pt>
                <c:pt idx="42">
                  <c:v>-1141678.7259992636</c:v>
                </c:pt>
                <c:pt idx="43">
                  <c:v>-1185730.8115204424</c:v>
                </c:pt>
                <c:pt idx="44">
                  <c:v>-1228363.7372470656</c:v>
                </c:pt>
                <c:pt idx="45">
                  <c:v>-1269638.860046457</c:v>
                </c:pt>
                <c:pt idx="46">
                  <c:v>-1309614.3014310645</c:v>
                </c:pt>
                <c:pt idx="47">
                  <c:v>-1348345.1456747218</c:v>
                </c:pt>
                <c:pt idx="48">
                  <c:v>-1385883.6242466522</c:v>
                </c:pt>
                <c:pt idx="49">
                  <c:v>-1422279.2876085965</c:v>
                </c:pt>
                <c:pt idx="50">
                  <c:v>-1457579.1653332519</c:v>
                </c:pt>
                <c:pt idx="51">
                  <c:v>-1491827.9154229246</c:v>
                </c:pt>
                <c:pt idx="52">
                  <c:v>-1525067.9636350565</c:v>
                </c:pt>
                <c:pt idx="53">
                  <c:v>-1557339.633555504</c:v>
                </c:pt>
                <c:pt idx="54">
                  <c:v>-1588681.2681004154</c:v>
                </c:pt>
                <c:pt idx="55">
                  <c:v>-1619129.3430728349</c:v>
                </c:pt>
                <c:pt idx="56">
                  <c:v>-1648718.5733501499</c:v>
                </c:pt>
                <c:pt idx="57">
                  <c:v>-1677482.0122328394</c:v>
                </c:pt>
                <c:pt idx="58">
                  <c:v>-1705451.1444432086</c:v>
                </c:pt>
                <c:pt idx="59">
                  <c:v>-1732655.9732246399</c:v>
                </c:pt>
                <c:pt idx="60">
                  <c:v>-1759125.1019568499</c:v>
                </c:pt>
                <c:pt idx="61">
                  <c:v>-1784885.8106706964</c:v>
                </c:pt>
                <c:pt idx="62">
                  <c:v>-1809964.1278166471</c:v>
                </c:pt>
                <c:pt idx="63">
                  <c:v>-1834384.8976141643</c:v>
                </c:pt>
                <c:pt idx="64">
                  <c:v>-1858171.8432844877</c:v>
                </c:pt>
                <c:pt idx="65">
                  <c:v>-1881347.6264466823</c:v>
                </c:pt>
                <c:pt idx="66">
                  <c:v>-1903933.9029359</c:v>
                </c:pt>
                <c:pt idx="67">
                  <c:v>-1925951.3752837307</c:v>
                </c:pt>
                <c:pt idx="68">
                  <c:v>-1947419.8420827899</c:v>
                </c:pt>
                <c:pt idx="69">
                  <c:v>-1968358.2444415861</c:v>
                </c:pt>
                <c:pt idx="70">
                  <c:v>-1988784.7097206665</c:v>
                </c:pt>
                <c:pt idx="71">
                  <c:v>-2008716.5927273645</c:v>
                </c:pt>
                <c:pt idx="72">
                  <c:v>-2028170.5145337307</c:v>
                </c:pt>
                <c:pt idx="73">
                  <c:v>-2047162.3990705493</c:v>
                </c:pt>
                <c:pt idx="74">
                  <c:v>-2065707.5076395529</c:v>
                </c:pt>
                <c:pt idx="75">
                  <c:v>-2083820.4714759502</c:v>
                </c:pt>
                <c:pt idx="76">
                  <c:v>-2101515.3224842008</c:v>
                </c:pt>
                <c:pt idx="77">
                  <c:v>-2118805.52226143</c:v>
                </c:pt>
                <c:pt idx="78">
                  <c:v>-2135703.9895150205</c:v>
                </c:pt>
                <c:pt idx="79">
                  <c:v>-2152223.1259736372</c:v>
                </c:pt>
                <c:pt idx="80">
                  <c:v>-2168374.840884163</c:v>
                </c:pt>
                <c:pt idx="81">
                  <c:v>-2184170.5741808363</c:v>
                </c:pt>
                <c:pt idx="82">
                  <c:v>-2199621.3184070219</c:v>
                </c:pt>
                <c:pt idx="83">
                  <c:v>-2214737.6394647537</c:v>
                </c:pt>
                <c:pt idx="84">
                  <c:v>-2229529.6962621594</c:v>
                </c:pt>
                <c:pt idx="85">
                  <c:v>-2244007.2593242684</c:v>
                </c:pt>
                <c:pt idx="86">
                  <c:v>-2258179.7284284518</c:v>
                </c:pt>
                <c:pt idx="87">
                  <c:v>-2272056.1493217023</c:v>
                </c:pt>
                <c:pt idx="88">
                  <c:v>-2285645.229573328</c:v>
                </c:pt>
                <c:pt idx="89">
                  <c:v>-2298955.3536131312</c:v>
                </c:pt>
                <c:pt idx="90">
                  <c:v>-2311994.5970019912</c:v>
                </c:pt>
                <c:pt idx="91">
                  <c:v>-2324770.7399787637</c:v>
                </c:pt>
                <c:pt idx="92">
                  <c:v>-2337291.2803246719</c:v>
                </c:pt>
                <c:pt idx="93">
                  <c:v>-2349563.4455837212</c:v>
                </c:pt>
                <c:pt idx="94">
                  <c:v>-2361594.2046753545</c:v>
                </c:pt>
                <c:pt idx="95">
                  <c:v>-2373390.2789332308</c:v>
                </c:pt>
                <c:pt idx="96">
                  <c:v>-2384958.1526019946</c:v>
                </c:pt>
                <c:pt idx="97">
                  <c:v>-2396304.0828219075</c:v>
                </c:pt>
                <c:pt idx="98">
                  <c:v>-2407434.1091294112</c:v>
                </c:pt>
                <c:pt idx="99">
                  <c:v>-2418354.0625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C-40E1-8F14-EDB5D88C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61416"/>
        <c:axId val="574061744"/>
      </c:scatterChart>
      <c:valAx>
        <c:axId val="57406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61744"/>
        <c:crosses val="autoZero"/>
        <c:crossBetween val="midCat"/>
      </c:valAx>
      <c:valAx>
        <c:axId val="5740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6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0</xdr:row>
      <xdr:rowOff>30480</xdr:rowOff>
    </xdr:from>
    <xdr:to>
      <xdr:col>15</xdr:col>
      <xdr:colOff>586740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30A82-2AA2-051F-521E-BB6ECF23C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292C-7D12-4741-B469-10DB189159F5}">
  <dimension ref="A1:W24"/>
  <sheetViews>
    <sheetView rightToLeft="1" topLeftCell="A4" zoomScaleNormal="100" workbookViewId="0">
      <selection activeCell="F15" sqref="F15:G20"/>
    </sheetView>
  </sheetViews>
  <sheetFormatPr defaultRowHeight="14.4" x14ac:dyDescent="0.3"/>
  <cols>
    <col min="1" max="23" width="20.77734375" style="8" customWidth="1"/>
    <col min="24" max="16384" width="8.88671875" style="8"/>
  </cols>
  <sheetData>
    <row r="1" spans="1:23" ht="30" customHeight="1" x14ac:dyDescent="0.3">
      <c r="A1" s="46" t="s">
        <v>0</v>
      </c>
      <c r="B1" s="46">
        <v>1399</v>
      </c>
      <c r="C1" s="46">
        <v>1400</v>
      </c>
      <c r="D1" s="46"/>
      <c r="E1" s="4" t="s">
        <v>18</v>
      </c>
      <c r="F1" s="46">
        <v>1401</v>
      </c>
      <c r="G1" s="46"/>
      <c r="H1" s="4" t="s">
        <v>18</v>
      </c>
      <c r="I1" s="46">
        <v>1402</v>
      </c>
      <c r="J1" s="46"/>
      <c r="K1" s="4" t="s">
        <v>18</v>
      </c>
      <c r="L1" s="46">
        <v>1403</v>
      </c>
      <c r="M1" s="46"/>
      <c r="N1" s="4" t="s">
        <v>18</v>
      </c>
      <c r="O1" s="46">
        <v>1404</v>
      </c>
      <c r="P1" s="46"/>
      <c r="Q1" s="4" t="s">
        <v>18</v>
      </c>
      <c r="R1" s="46">
        <v>1405</v>
      </c>
      <c r="S1" s="46"/>
      <c r="T1" s="4" t="s">
        <v>18</v>
      </c>
      <c r="U1" s="46">
        <v>1406</v>
      </c>
      <c r="V1" s="46"/>
      <c r="W1" s="4" t="s">
        <v>18</v>
      </c>
    </row>
    <row r="2" spans="1:23" ht="30" customHeight="1" x14ac:dyDescent="0.3">
      <c r="A2" s="46"/>
      <c r="B2" s="46"/>
      <c r="C2" s="3" t="s">
        <v>1</v>
      </c>
      <c r="D2" s="3" t="s">
        <v>2</v>
      </c>
      <c r="E2" s="3"/>
      <c r="F2" s="3" t="s">
        <v>1</v>
      </c>
      <c r="G2" s="3" t="s">
        <v>2</v>
      </c>
      <c r="H2" s="3"/>
      <c r="I2" s="3" t="s">
        <v>1</v>
      </c>
      <c r="J2" s="3" t="s">
        <v>2</v>
      </c>
      <c r="K2" s="3"/>
      <c r="L2" s="3" t="s">
        <v>1</v>
      </c>
      <c r="M2" s="3" t="s">
        <v>2</v>
      </c>
      <c r="N2" s="3"/>
      <c r="O2" s="3" t="s">
        <v>1</v>
      </c>
      <c r="P2" s="3" t="s">
        <v>2</v>
      </c>
      <c r="Q2" s="3"/>
      <c r="R2" s="3" t="s">
        <v>1</v>
      </c>
      <c r="S2" s="3" t="s">
        <v>2</v>
      </c>
      <c r="T2" s="3"/>
      <c r="U2" s="3" t="s">
        <v>1</v>
      </c>
      <c r="V2" s="3" t="s">
        <v>2</v>
      </c>
      <c r="W2" s="3"/>
    </row>
    <row r="3" spans="1:23" x14ac:dyDescent="0.3">
      <c r="A3" s="3" t="s">
        <v>3</v>
      </c>
      <c r="B3" s="10">
        <v>66794489</v>
      </c>
      <c r="C3" s="10">
        <v>88251296</v>
      </c>
      <c r="D3" s="10">
        <v>88251296</v>
      </c>
      <c r="E3" s="11">
        <f>C3-D3</f>
        <v>0</v>
      </c>
      <c r="F3" s="10">
        <v>100026544</v>
      </c>
      <c r="G3" s="10">
        <v>100026544</v>
      </c>
      <c r="H3" s="11">
        <f>F3-G3</f>
        <v>0</v>
      </c>
      <c r="I3" s="10">
        <v>110029198</v>
      </c>
      <c r="J3" s="10">
        <v>110029198</v>
      </c>
      <c r="K3" s="11">
        <f>I3-J3</f>
        <v>0</v>
      </c>
      <c r="L3" s="10">
        <v>121032118</v>
      </c>
      <c r="M3" s="10">
        <v>121032118</v>
      </c>
      <c r="N3" s="11">
        <f>L3-M3</f>
        <v>0</v>
      </c>
      <c r="O3" s="10">
        <v>133135330</v>
      </c>
      <c r="P3" s="10">
        <v>133135330</v>
      </c>
      <c r="Q3" s="11">
        <f>O3-P3</f>
        <v>0</v>
      </c>
      <c r="R3" s="10">
        <v>146448863</v>
      </c>
      <c r="S3" s="10">
        <v>146448863</v>
      </c>
      <c r="T3" s="11">
        <f>R3-S3</f>
        <v>0</v>
      </c>
      <c r="U3" s="10">
        <v>161093749</v>
      </c>
      <c r="V3" s="10">
        <v>161093749</v>
      </c>
      <c r="W3" s="11">
        <f>U3-V3</f>
        <v>0</v>
      </c>
    </row>
    <row r="4" spans="1:23" x14ac:dyDescent="0.3">
      <c r="A4" s="3" t="s">
        <v>4</v>
      </c>
      <c r="B4" s="10">
        <v>-17811098</v>
      </c>
      <c r="C4" s="10">
        <v>-68996254</v>
      </c>
      <c r="D4" s="10">
        <v>-68996254</v>
      </c>
      <c r="E4" s="11">
        <f>C4-D4</f>
        <v>0</v>
      </c>
      <c r="F4" s="10">
        <v>-76383579</v>
      </c>
      <c r="G4" s="10">
        <v>-76383579</v>
      </c>
      <c r="H4" s="11">
        <f t="shared" ref="H4:H13" si="0">F4-G4</f>
        <v>0</v>
      </c>
      <c r="I4" s="10">
        <v>-84752655</v>
      </c>
      <c r="J4" s="10">
        <v>-84752655</v>
      </c>
      <c r="K4" s="11">
        <f t="shared" ref="K4:K13" si="1">I4-J4</f>
        <v>0</v>
      </c>
      <c r="L4" s="10">
        <v>-93891233</v>
      </c>
      <c r="M4" s="10">
        <v>-93891233</v>
      </c>
      <c r="N4" s="11">
        <f t="shared" ref="N4:N13" si="2">L4-M4</f>
        <v>0</v>
      </c>
      <c r="O4" s="10">
        <v>-104092787</v>
      </c>
      <c r="P4" s="10">
        <v>-104092787</v>
      </c>
      <c r="Q4" s="11">
        <f t="shared" ref="Q4:Q13" si="3">O4-P4</f>
        <v>0</v>
      </c>
      <c r="R4" s="10">
        <v>-115497552</v>
      </c>
      <c r="S4" s="10">
        <v>-115497552</v>
      </c>
      <c r="T4" s="11">
        <f t="shared" ref="T4:T13" si="4">R4-S4</f>
        <v>0</v>
      </c>
      <c r="U4" s="10">
        <v>-128267600</v>
      </c>
      <c r="V4" s="10">
        <v>-128267600</v>
      </c>
      <c r="W4" s="11">
        <f t="shared" ref="W4:W13" si="5">U4-V4</f>
        <v>0</v>
      </c>
    </row>
    <row r="5" spans="1:23" x14ac:dyDescent="0.3">
      <c r="A5" s="3" t="s">
        <v>5</v>
      </c>
      <c r="B5" s="10">
        <v>6587521</v>
      </c>
      <c r="C5" s="10">
        <v>19255042</v>
      </c>
      <c r="D5" s="10">
        <v>19255042</v>
      </c>
      <c r="E5" s="11">
        <f t="shared" ref="E5:E13" si="6">C5-D5</f>
        <v>0</v>
      </c>
      <c r="F5" s="10">
        <v>23642965</v>
      </c>
      <c r="G5" s="10">
        <v>23642965</v>
      </c>
      <c r="H5" s="11">
        <f t="shared" si="0"/>
        <v>0</v>
      </c>
      <c r="I5" s="10">
        <v>25276543</v>
      </c>
      <c r="J5" s="10">
        <v>25276543</v>
      </c>
      <c r="K5" s="11">
        <f t="shared" si="1"/>
        <v>0</v>
      </c>
      <c r="L5" s="10">
        <v>27140885</v>
      </c>
      <c r="M5" s="10">
        <v>27140885</v>
      </c>
      <c r="N5" s="11">
        <f t="shared" si="2"/>
        <v>0</v>
      </c>
      <c r="O5" s="10">
        <v>29042543</v>
      </c>
      <c r="P5" s="10">
        <v>29042543</v>
      </c>
      <c r="Q5" s="11">
        <f t="shared" si="3"/>
        <v>0</v>
      </c>
      <c r="R5" s="10">
        <v>30951311</v>
      </c>
      <c r="S5" s="10">
        <v>30951311</v>
      </c>
      <c r="T5" s="11">
        <f t="shared" si="4"/>
        <v>0</v>
      </c>
      <c r="U5" s="10">
        <v>32826149</v>
      </c>
      <c r="V5" s="10">
        <v>32826149</v>
      </c>
      <c r="W5" s="11">
        <f t="shared" si="5"/>
        <v>0</v>
      </c>
    </row>
    <row r="6" spans="1:23" x14ac:dyDescent="0.3">
      <c r="A6" s="3" t="s">
        <v>6</v>
      </c>
      <c r="B6" s="10">
        <v>-1565732</v>
      </c>
      <c r="C6" s="10">
        <v>-3410539</v>
      </c>
      <c r="D6" s="10">
        <v>-3410539</v>
      </c>
      <c r="E6" s="11">
        <f t="shared" si="6"/>
        <v>0</v>
      </c>
      <c r="F6" s="10">
        <v>-3758158</v>
      </c>
      <c r="G6" s="10">
        <v>-3758158</v>
      </c>
      <c r="H6" s="11">
        <f t="shared" si="0"/>
        <v>0</v>
      </c>
      <c r="I6" s="10">
        <v>-3523501</v>
      </c>
      <c r="J6" s="10">
        <v>-3523501</v>
      </c>
      <c r="K6" s="11">
        <f t="shared" si="1"/>
        <v>0</v>
      </c>
      <c r="L6" s="10">
        <v>-4019753</v>
      </c>
      <c r="M6" s="10">
        <v>-4019753</v>
      </c>
      <c r="N6" s="11">
        <f t="shared" si="2"/>
        <v>0</v>
      </c>
      <c r="O6" s="10">
        <v>-4601730</v>
      </c>
      <c r="P6" s="10">
        <v>-4601730</v>
      </c>
      <c r="Q6" s="11">
        <f t="shared" si="3"/>
        <v>0</v>
      </c>
      <c r="R6" s="10">
        <v>-5287031</v>
      </c>
      <c r="S6" s="10">
        <v>-5287031</v>
      </c>
      <c r="T6" s="11">
        <f t="shared" si="4"/>
        <v>0</v>
      </c>
      <c r="U6" s="10">
        <v>-6097270</v>
      </c>
      <c r="V6" s="10">
        <v>-6097270</v>
      </c>
      <c r="W6" s="11">
        <f t="shared" si="5"/>
        <v>0</v>
      </c>
    </row>
    <row r="7" spans="1:23" x14ac:dyDescent="0.3">
      <c r="A7" s="3" t="s">
        <v>7</v>
      </c>
      <c r="B7" s="10">
        <v>291689</v>
      </c>
      <c r="C7" s="10">
        <v>-2317</v>
      </c>
      <c r="D7" s="10">
        <v>-2317</v>
      </c>
      <c r="E7" s="11">
        <f t="shared" si="6"/>
        <v>0</v>
      </c>
      <c r="F7" s="10">
        <v>-2317</v>
      </c>
      <c r="G7" s="10">
        <v>-2317</v>
      </c>
      <c r="H7" s="11">
        <f t="shared" si="0"/>
        <v>0</v>
      </c>
      <c r="I7" s="10">
        <v>-2317</v>
      </c>
      <c r="J7" s="10">
        <v>-2317</v>
      </c>
      <c r="K7" s="11">
        <f t="shared" si="1"/>
        <v>0</v>
      </c>
      <c r="L7" s="10">
        <v>-2317</v>
      </c>
      <c r="M7" s="10">
        <v>-2317</v>
      </c>
      <c r="N7" s="11">
        <f t="shared" si="2"/>
        <v>0</v>
      </c>
      <c r="O7" s="10">
        <v>-2317</v>
      </c>
      <c r="P7" s="10">
        <v>-2317</v>
      </c>
      <c r="Q7" s="11">
        <f t="shared" si="3"/>
        <v>0</v>
      </c>
      <c r="R7" s="10">
        <v>-2317</v>
      </c>
      <c r="S7" s="10">
        <v>-2317</v>
      </c>
      <c r="T7" s="11">
        <f t="shared" si="4"/>
        <v>0</v>
      </c>
      <c r="U7" s="10">
        <v>-2317</v>
      </c>
      <c r="V7" s="10">
        <v>-2317</v>
      </c>
      <c r="W7" s="11">
        <f t="shared" si="5"/>
        <v>0</v>
      </c>
    </row>
    <row r="8" spans="1:23" x14ac:dyDescent="0.3">
      <c r="A8" s="3" t="s">
        <v>8</v>
      </c>
      <c r="B8" s="10">
        <v>5313478</v>
      </c>
      <c r="C8" s="10">
        <v>15842186</v>
      </c>
      <c r="D8" s="10">
        <v>15842186</v>
      </c>
      <c r="E8" s="11">
        <f t="shared" si="6"/>
        <v>0</v>
      </c>
      <c r="F8" s="10">
        <v>19882490</v>
      </c>
      <c r="G8" s="10">
        <v>19882490</v>
      </c>
      <c r="H8" s="11">
        <f t="shared" si="0"/>
        <v>0</v>
      </c>
      <c r="I8" s="10">
        <v>21750725</v>
      </c>
      <c r="J8" s="10">
        <v>21750725</v>
      </c>
      <c r="K8" s="11">
        <f t="shared" si="1"/>
        <v>0</v>
      </c>
      <c r="L8" s="10">
        <v>23118815</v>
      </c>
      <c r="M8" s="10">
        <v>23118815</v>
      </c>
      <c r="N8" s="11">
        <f t="shared" si="2"/>
        <v>0</v>
      </c>
      <c r="O8" s="10">
        <v>24438495</v>
      </c>
      <c r="P8" s="10">
        <v>24438495</v>
      </c>
      <c r="Q8" s="11">
        <f t="shared" si="3"/>
        <v>0</v>
      </c>
      <c r="R8" s="10">
        <v>25661962</v>
      </c>
      <c r="S8" s="10">
        <v>25661962</v>
      </c>
      <c r="T8" s="11">
        <f t="shared" si="4"/>
        <v>0</v>
      </c>
      <c r="U8" s="10">
        <v>26726562</v>
      </c>
      <c r="V8" s="10">
        <v>26726562</v>
      </c>
      <c r="W8" s="11">
        <f t="shared" si="5"/>
        <v>0</v>
      </c>
    </row>
    <row r="9" spans="1:23" x14ac:dyDescent="0.3">
      <c r="A9" s="3" t="s">
        <v>9</v>
      </c>
      <c r="B9" s="10">
        <v>0</v>
      </c>
      <c r="C9" s="10">
        <v>0</v>
      </c>
      <c r="D9" s="10">
        <v>-770000</v>
      </c>
      <c r="E9" s="11">
        <f t="shared" si="6"/>
        <v>770000</v>
      </c>
      <c r="F9" s="10">
        <v>0</v>
      </c>
      <c r="G9" s="10">
        <v>-770000</v>
      </c>
      <c r="H9" s="11">
        <f t="shared" si="0"/>
        <v>770000</v>
      </c>
      <c r="I9" s="10">
        <v>0</v>
      </c>
      <c r="J9" s="10">
        <v>-770000</v>
      </c>
      <c r="K9" s="11">
        <f t="shared" si="1"/>
        <v>770000</v>
      </c>
      <c r="L9" s="10">
        <v>0</v>
      </c>
      <c r="M9" s="10">
        <v>-770000</v>
      </c>
      <c r="N9" s="11">
        <f t="shared" si="2"/>
        <v>770000</v>
      </c>
      <c r="O9" s="10">
        <v>0</v>
      </c>
      <c r="P9" s="10">
        <v>-770000</v>
      </c>
      <c r="Q9" s="11">
        <f t="shared" si="3"/>
        <v>770000</v>
      </c>
      <c r="R9" s="10">
        <v>0</v>
      </c>
      <c r="S9" s="10">
        <v>-770000</v>
      </c>
      <c r="T9" s="11">
        <f t="shared" si="4"/>
        <v>770000</v>
      </c>
      <c r="U9" s="10">
        <v>0</v>
      </c>
      <c r="V9" s="10">
        <v>-770000</v>
      </c>
      <c r="W9" s="11">
        <f t="shared" si="5"/>
        <v>770000</v>
      </c>
    </row>
    <row r="10" spans="1:23" x14ac:dyDescent="0.3">
      <c r="A10" s="3" t="s">
        <v>10</v>
      </c>
      <c r="B10" s="10">
        <v>981110</v>
      </c>
      <c r="C10" s="10">
        <v>1479081</v>
      </c>
      <c r="D10" s="10">
        <v>1212276</v>
      </c>
      <c r="E10" s="11">
        <f t="shared" si="6"/>
        <v>266805</v>
      </c>
      <c r="F10" s="10">
        <v>1227787</v>
      </c>
      <c r="G10" s="10">
        <v>722005</v>
      </c>
      <c r="H10" s="11">
        <f t="shared" si="0"/>
        <v>505782</v>
      </c>
      <c r="I10" s="10">
        <v>1239977</v>
      </c>
      <c r="J10" s="10">
        <v>767228</v>
      </c>
      <c r="K10" s="11">
        <f t="shared" si="1"/>
        <v>472749</v>
      </c>
      <c r="L10" s="10">
        <v>1551404</v>
      </c>
      <c r="M10" s="10">
        <v>1118576</v>
      </c>
      <c r="N10" s="11">
        <f t="shared" si="2"/>
        <v>432828</v>
      </c>
      <c r="O10" s="10">
        <v>1980878</v>
      </c>
      <c r="P10" s="10">
        <v>1617456</v>
      </c>
      <c r="Q10" s="11">
        <f t="shared" si="3"/>
        <v>363422</v>
      </c>
      <c r="R10" s="10">
        <v>2120844</v>
      </c>
      <c r="S10" s="10">
        <v>1821528</v>
      </c>
      <c r="T10" s="11">
        <f t="shared" si="4"/>
        <v>299316</v>
      </c>
      <c r="U10" s="10">
        <v>2190675</v>
      </c>
      <c r="V10" s="10">
        <v>1944669</v>
      </c>
      <c r="W10" s="11">
        <f t="shared" si="5"/>
        <v>246006</v>
      </c>
    </row>
    <row r="11" spans="1:23" x14ac:dyDescent="0.3">
      <c r="A11" s="3" t="s">
        <v>11</v>
      </c>
      <c r="B11" s="10">
        <v>6294588</v>
      </c>
      <c r="C11" s="10">
        <v>17321267</v>
      </c>
      <c r="D11" s="10">
        <v>16284462</v>
      </c>
      <c r="E11" s="11">
        <f t="shared" si="6"/>
        <v>1036805</v>
      </c>
      <c r="F11" s="10">
        <v>21110277</v>
      </c>
      <c r="G11" s="10">
        <v>19834495</v>
      </c>
      <c r="H11" s="11">
        <f t="shared" si="0"/>
        <v>1275782</v>
      </c>
      <c r="I11" s="10">
        <v>22990702</v>
      </c>
      <c r="J11" s="10">
        <v>21747953</v>
      </c>
      <c r="K11" s="11">
        <f t="shared" si="1"/>
        <v>1242749</v>
      </c>
      <c r="L11" s="10">
        <v>24670218</v>
      </c>
      <c r="M11" s="10">
        <v>23467391</v>
      </c>
      <c r="N11" s="11">
        <f t="shared" si="2"/>
        <v>1202827</v>
      </c>
      <c r="O11" s="10">
        <v>26419373</v>
      </c>
      <c r="P11" s="10">
        <v>25285951</v>
      </c>
      <c r="Q11" s="11">
        <f t="shared" si="3"/>
        <v>1133422</v>
      </c>
      <c r="R11" s="10">
        <v>27782806</v>
      </c>
      <c r="S11" s="10">
        <v>26713490</v>
      </c>
      <c r="T11" s="11">
        <f t="shared" si="4"/>
        <v>1069316</v>
      </c>
      <c r="U11" s="10">
        <v>28917237</v>
      </c>
      <c r="V11" s="10">
        <v>27901232</v>
      </c>
      <c r="W11" s="11">
        <f t="shared" si="5"/>
        <v>1016005</v>
      </c>
    </row>
    <row r="12" spans="1:23" x14ac:dyDescent="0.3">
      <c r="A12" s="3" t="s">
        <v>12</v>
      </c>
      <c r="B12" s="10">
        <v>-258312</v>
      </c>
      <c r="C12" s="10">
        <v>-710816</v>
      </c>
      <c r="D12" s="10">
        <v>-668268</v>
      </c>
      <c r="E12" s="11">
        <f t="shared" si="6"/>
        <v>-42548</v>
      </c>
      <c r="F12" s="10">
        <v>-866306</v>
      </c>
      <c r="G12" s="10">
        <v>-813952</v>
      </c>
      <c r="H12" s="11">
        <f t="shared" si="0"/>
        <v>-52354</v>
      </c>
      <c r="I12" s="10">
        <v>-943473</v>
      </c>
      <c r="J12" s="10">
        <v>-892474</v>
      </c>
      <c r="K12" s="11">
        <f t="shared" si="1"/>
        <v>-50999</v>
      </c>
      <c r="L12" s="10">
        <v>-1012396</v>
      </c>
      <c r="M12" s="10">
        <v>-963035</v>
      </c>
      <c r="N12" s="11">
        <f t="shared" si="2"/>
        <v>-49361</v>
      </c>
      <c r="O12" s="10">
        <v>-1084176</v>
      </c>
      <c r="P12" s="10">
        <v>-1037664</v>
      </c>
      <c r="Q12" s="11">
        <f t="shared" si="3"/>
        <v>-46512</v>
      </c>
      <c r="R12" s="10">
        <v>-1140128</v>
      </c>
      <c r="S12" s="10">
        <v>-1096246</v>
      </c>
      <c r="T12" s="11">
        <f t="shared" si="4"/>
        <v>-43882</v>
      </c>
      <c r="U12" s="10">
        <v>-1186682</v>
      </c>
      <c r="V12" s="10">
        <v>-1144988</v>
      </c>
      <c r="W12" s="11">
        <f t="shared" si="5"/>
        <v>-41694</v>
      </c>
    </row>
    <row r="13" spans="1:23" x14ac:dyDescent="0.3">
      <c r="A13" s="3" t="s">
        <v>13</v>
      </c>
      <c r="B13" s="10">
        <v>6036276</v>
      </c>
      <c r="C13" s="10">
        <v>16610451</v>
      </c>
      <c r="D13" s="10">
        <v>15616194</v>
      </c>
      <c r="E13" s="11">
        <f t="shared" si="6"/>
        <v>994257</v>
      </c>
      <c r="F13" s="10">
        <v>20243971</v>
      </c>
      <c r="G13" s="10">
        <v>19020544</v>
      </c>
      <c r="H13" s="11">
        <f t="shared" si="0"/>
        <v>1223427</v>
      </c>
      <c r="I13" s="10">
        <v>22047229</v>
      </c>
      <c r="J13" s="10">
        <v>20855478</v>
      </c>
      <c r="K13" s="11">
        <f t="shared" si="1"/>
        <v>1191751</v>
      </c>
      <c r="L13" s="10">
        <v>23657822</v>
      </c>
      <c r="M13" s="10">
        <v>22504355</v>
      </c>
      <c r="N13" s="11">
        <f t="shared" si="2"/>
        <v>1153467</v>
      </c>
      <c r="O13" s="10">
        <v>25335196</v>
      </c>
      <c r="P13" s="10">
        <v>24248287</v>
      </c>
      <c r="Q13" s="11">
        <f t="shared" si="3"/>
        <v>1086909</v>
      </c>
      <c r="R13" s="10">
        <v>26642678</v>
      </c>
      <c r="S13" s="10">
        <v>25617244</v>
      </c>
      <c r="T13" s="11">
        <f t="shared" si="4"/>
        <v>1025434</v>
      </c>
      <c r="U13" s="10">
        <v>27730556</v>
      </c>
      <c r="V13" s="10">
        <v>26756244</v>
      </c>
      <c r="W13" s="11">
        <f t="shared" si="5"/>
        <v>974312</v>
      </c>
    </row>
    <row r="14" spans="1:23" x14ac:dyDescent="0.3">
      <c r="B14" s="12"/>
      <c r="C14" s="12"/>
      <c r="D14" s="12"/>
    </row>
    <row r="15" spans="1:23" x14ac:dyDescent="0.3">
      <c r="F15" s="37" t="s">
        <v>51</v>
      </c>
    </row>
    <row r="16" spans="1:23" x14ac:dyDescent="0.3">
      <c r="A16" s="17" t="s">
        <v>14</v>
      </c>
      <c r="B16" s="17" t="s">
        <v>26</v>
      </c>
      <c r="C16" s="17" t="s">
        <v>27</v>
      </c>
      <c r="D16" s="17" t="s">
        <v>15</v>
      </c>
      <c r="F16" s="21" t="s">
        <v>29</v>
      </c>
      <c r="G16" s="19">
        <v>0.22</v>
      </c>
    </row>
    <row r="17" spans="1:10" x14ac:dyDescent="0.3">
      <c r="A17" s="17">
        <v>1399</v>
      </c>
      <c r="B17" s="15">
        <v>-3500000</v>
      </c>
      <c r="C17" s="15">
        <v>0</v>
      </c>
      <c r="D17" s="15">
        <v>-3500000</v>
      </c>
      <c r="F17" s="21" t="s">
        <v>30</v>
      </c>
      <c r="G17" s="20">
        <v>269269</v>
      </c>
      <c r="I17" s="9"/>
      <c r="J17" s="9"/>
    </row>
    <row r="18" spans="1:10" x14ac:dyDescent="0.3">
      <c r="A18" s="17">
        <v>1400</v>
      </c>
      <c r="B18" s="15">
        <f>16610451-15616194</f>
        <v>994257</v>
      </c>
      <c r="C18" s="15">
        <v>0</v>
      </c>
      <c r="D18" s="15">
        <f>16610451-15616194</f>
        <v>994257</v>
      </c>
      <c r="F18" s="21" t="s">
        <v>31</v>
      </c>
      <c r="G18" s="19">
        <v>0.25</v>
      </c>
      <c r="I18" s="9"/>
      <c r="J18" s="9"/>
    </row>
    <row r="19" spans="1:10" x14ac:dyDescent="0.3">
      <c r="A19" s="17">
        <v>1401</v>
      </c>
      <c r="B19" s="15">
        <f>20243971-19020544</f>
        <v>1223427</v>
      </c>
      <c r="C19" s="15">
        <v>0</v>
      </c>
      <c r="D19" s="15">
        <f>20243971-19020544</f>
        <v>1223427</v>
      </c>
      <c r="F19" s="21" t="s">
        <v>32</v>
      </c>
      <c r="G19" s="18" t="s">
        <v>34</v>
      </c>
      <c r="I19" s="9"/>
    </row>
    <row r="20" spans="1:10" x14ac:dyDescent="0.3">
      <c r="A20" s="17">
        <v>1402</v>
      </c>
      <c r="B20" s="15">
        <f>22047229-20855478</f>
        <v>1191751</v>
      </c>
      <c r="C20" s="15">
        <v>0</v>
      </c>
      <c r="D20" s="15">
        <f>22047229-20855478</f>
        <v>1191751</v>
      </c>
      <c r="F20" s="21" t="s">
        <v>33</v>
      </c>
      <c r="G20" s="18">
        <v>6</v>
      </c>
      <c r="I20" s="9"/>
    </row>
    <row r="21" spans="1:10" x14ac:dyDescent="0.3">
      <c r="A21" s="17">
        <v>1403</v>
      </c>
      <c r="B21" s="15">
        <f>23657822-22504355</f>
        <v>1153467</v>
      </c>
      <c r="C21" s="15">
        <v>0</v>
      </c>
      <c r="D21" s="15">
        <f>23657822-22504355</f>
        <v>1153467</v>
      </c>
      <c r="I21" s="9"/>
    </row>
    <row r="22" spans="1:10" x14ac:dyDescent="0.3">
      <c r="A22" s="17">
        <v>1404</v>
      </c>
      <c r="B22" s="15">
        <f>25335196-24248287</f>
        <v>1086909</v>
      </c>
      <c r="C22" s="15">
        <v>0</v>
      </c>
      <c r="D22" s="15">
        <f>25335196-24248287</f>
        <v>1086909</v>
      </c>
      <c r="I22" s="9"/>
    </row>
    <row r="23" spans="1:10" x14ac:dyDescent="0.3">
      <c r="A23" s="17">
        <v>1405</v>
      </c>
      <c r="B23" s="15">
        <f>26642678-25617244</f>
        <v>1025434</v>
      </c>
      <c r="C23" s="15">
        <v>0</v>
      </c>
      <c r="D23" s="15">
        <f>26642678-25617244</f>
        <v>1025434</v>
      </c>
      <c r="I23" s="9"/>
    </row>
    <row r="24" spans="1:10" x14ac:dyDescent="0.3">
      <c r="A24" s="17">
        <v>1406</v>
      </c>
      <c r="B24" s="15">
        <f>27730556-26756244</f>
        <v>974312</v>
      </c>
      <c r="C24" s="15">
        <v>0</v>
      </c>
      <c r="D24" s="15">
        <f>27730556-26756244</f>
        <v>974312</v>
      </c>
      <c r="I24" s="13"/>
    </row>
  </sheetData>
  <mergeCells count="9">
    <mergeCell ref="U1:V1"/>
    <mergeCell ref="L1:M1"/>
    <mergeCell ref="O1:P1"/>
    <mergeCell ref="R1:S1"/>
    <mergeCell ref="A1:A2"/>
    <mergeCell ref="B1:B2"/>
    <mergeCell ref="C1:D1"/>
    <mergeCell ref="F1:G1"/>
    <mergeCell ref="I1:J1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A6E3-7E1A-4921-9AB4-3C4AF5B9A59D}">
  <dimension ref="A1:V27"/>
  <sheetViews>
    <sheetView rightToLeft="1" zoomScale="95" zoomScaleNormal="95" workbookViewId="0">
      <selection activeCell="F21" sqref="F21"/>
    </sheetView>
  </sheetViews>
  <sheetFormatPr defaultRowHeight="14.4" x14ac:dyDescent="0.3"/>
  <cols>
    <col min="1" max="24" width="20.77734375" style="1" customWidth="1"/>
    <col min="25" max="16384" width="8.88671875" style="1"/>
  </cols>
  <sheetData>
    <row r="1" spans="1:22" ht="30" customHeight="1" x14ac:dyDescent="0.3">
      <c r="A1" s="2" t="s">
        <v>0</v>
      </c>
      <c r="B1" s="47">
        <v>1400</v>
      </c>
      <c r="C1" s="48"/>
      <c r="D1" s="4" t="s">
        <v>18</v>
      </c>
      <c r="E1" s="47">
        <v>1401</v>
      </c>
      <c r="F1" s="48"/>
      <c r="G1" s="4" t="s">
        <v>18</v>
      </c>
      <c r="H1" s="47">
        <v>1402</v>
      </c>
      <c r="I1" s="48"/>
      <c r="J1" s="4" t="s">
        <v>18</v>
      </c>
      <c r="K1" s="47">
        <v>1403</v>
      </c>
      <c r="L1" s="48"/>
      <c r="M1" s="4" t="s">
        <v>18</v>
      </c>
      <c r="N1" s="47">
        <v>1404</v>
      </c>
      <c r="O1" s="48"/>
      <c r="P1" s="4" t="s">
        <v>18</v>
      </c>
      <c r="Q1" s="47">
        <v>1405</v>
      </c>
      <c r="R1" s="48"/>
      <c r="S1" s="4" t="s">
        <v>18</v>
      </c>
      <c r="T1" s="47">
        <v>1406</v>
      </c>
      <c r="U1" s="48"/>
      <c r="V1" s="4" t="s">
        <v>18</v>
      </c>
    </row>
    <row r="2" spans="1:22" ht="30" customHeight="1" x14ac:dyDescent="0.3">
      <c r="A2" s="2"/>
      <c r="B2" s="3" t="s">
        <v>1</v>
      </c>
      <c r="C2" s="3" t="s">
        <v>2</v>
      </c>
      <c r="D2" s="3"/>
      <c r="E2" s="3" t="s">
        <v>1</v>
      </c>
      <c r="F2" s="3" t="s">
        <v>2</v>
      </c>
      <c r="G2" s="3"/>
      <c r="H2" s="3" t="s">
        <v>1</v>
      </c>
      <c r="I2" s="3" t="s">
        <v>2</v>
      </c>
      <c r="J2" s="3"/>
      <c r="K2" s="3" t="s">
        <v>1</v>
      </c>
      <c r="L2" s="3" t="s">
        <v>2</v>
      </c>
      <c r="M2" s="3"/>
      <c r="N2" s="3" t="s">
        <v>1</v>
      </c>
      <c r="O2" s="3" t="s">
        <v>2</v>
      </c>
      <c r="P2" s="3"/>
      <c r="Q2" s="3" t="s">
        <v>1</v>
      </c>
      <c r="R2" s="3" t="s">
        <v>2</v>
      </c>
      <c r="S2" s="3"/>
      <c r="T2" s="3" t="s">
        <v>1</v>
      </c>
      <c r="U2" s="3" t="s">
        <v>2</v>
      </c>
      <c r="V2" s="3"/>
    </row>
    <row r="3" spans="1:22" x14ac:dyDescent="0.3">
      <c r="A3" s="3" t="s">
        <v>3</v>
      </c>
      <c r="B3" s="10">
        <f>PV(0.22,0,,-'صورت سود و زیان'!C3)</f>
        <v>88251296</v>
      </c>
      <c r="C3" s="10">
        <f>PV(0.22,0,,-'صورت سود و زیان'!D3)</f>
        <v>88251296</v>
      </c>
      <c r="D3" s="11">
        <f>B3-C3</f>
        <v>0</v>
      </c>
      <c r="E3" s="10">
        <f>PV(0.22,1,,-'صورت سود و زیان'!F3)</f>
        <v>81988970.491803274</v>
      </c>
      <c r="F3" s="10">
        <f>PV(0.22,1,,-'صورت سود و زیان'!G3)</f>
        <v>81988970.491803274</v>
      </c>
      <c r="G3" s="11">
        <f>E3-F3</f>
        <v>0</v>
      </c>
      <c r="H3" s="10">
        <f>PV(0.22,2,,-'صورت سود و زیان'!I3)</f>
        <v>73924481.322225213</v>
      </c>
      <c r="I3" s="10">
        <f>PV(0.22,2,,-'صورت سود و زیان'!J3)</f>
        <v>73924481.322225213</v>
      </c>
      <c r="J3" s="11">
        <f>H3-I3</f>
        <v>0</v>
      </c>
      <c r="K3" s="10">
        <f>PV(0.22,3,,-'صورت سود و زیان'!L3)</f>
        <v>66653220.974442795</v>
      </c>
      <c r="L3" s="10">
        <f>PV(0.22,3,,-'صورت سود و زیان'!M3)</f>
        <v>66653220.974442795</v>
      </c>
      <c r="M3" s="11">
        <f>K3-L3</f>
        <v>0</v>
      </c>
      <c r="N3" s="10">
        <f>PV(0.22,4,,-'صورت سود و زیان'!O3)</f>
        <v>60097166.542646281</v>
      </c>
      <c r="O3" s="10">
        <f>PV(0.22,4,,-'صورت سود و زیان'!P3)</f>
        <v>60097166.542646281</v>
      </c>
      <c r="P3" s="11">
        <f>N3-O3</f>
        <v>0</v>
      </c>
      <c r="Q3" s="10">
        <f>PV(0.22,5,,-'صورت سود و زیان'!R3)</f>
        <v>54185969.833533533</v>
      </c>
      <c r="R3" s="10">
        <f>PV(0.22,5,,-'صورت سود و زیان'!S3)</f>
        <v>54185969.833533533</v>
      </c>
      <c r="S3" s="11">
        <f>Q3-R3</f>
        <v>0</v>
      </c>
      <c r="T3" s="10">
        <f>PV(0.22,6,,-'صورت سود و زیان'!U3)</f>
        <v>48856202.217940256</v>
      </c>
      <c r="U3" s="10">
        <f>PV(0.22,6,,-'صورت سود و زیان'!V3)</f>
        <v>48856202.217940256</v>
      </c>
      <c r="V3" s="11">
        <f>T3-U3</f>
        <v>0</v>
      </c>
    </row>
    <row r="4" spans="1:22" x14ac:dyDescent="0.3">
      <c r="A4" s="3" t="s">
        <v>4</v>
      </c>
      <c r="B4" s="10">
        <f>PV(0.22,0,,-'صورت سود و زیان'!C4)</f>
        <v>-68996254</v>
      </c>
      <c r="C4" s="10">
        <f>PV(0.22,0,,-'صورت سود و زیان'!D4)</f>
        <v>-68996254</v>
      </c>
      <c r="D4" s="11">
        <f t="shared" ref="D4:D13" si="0">B4-C4</f>
        <v>0</v>
      </c>
      <c r="E4" s="10">
        <f>PV(0.22,1,,-'صورت سود و زیان'!F4)</f>
        <v>-62609490.983606562</v>
      </c>
      <c r="F4" s="10">
        <f>PV(0.22,1,,-'صورت سود و زیان'!G4)</f>
        <v>-62609490.983606562</v>
      </c>
      <c r="G4" s="11">
        <f t="shared" ref="G4:G13" si="1">E4-F4</f>
        <v>0</v>
      </c>
      <c r="H4" s="10">
        <f>PV(0.22,2,,-'صورت سود و زیان'!I4)</f>
        <v>-56942122.41332975</v>
      </c>
      <c r="I4" s="10">
        <f>PV(0.22,2,,-'صورت سود و زیان'!J4)</f>
        <v>-56942122.41332975</v>
      </c>
      <c r="J4" s="11">
        <f t="shared" ref="J4:J13" si="2">H4-I4</f>
        <v>0</v>
      </c>
      <c r="K4" s="10">
        <f>PV(0.22,3,,-'صورت سود و زیان'!L4)</f>
        <v>-51706548.675880365</v>
      </c>
      <c r="L4" s="10">
        <f>PV(0.22,3,,-'صورت سود و زیان'!M4)</f>
        <v>-51706548.675880365</v>
      </c>
      <c r="M4" s="11">
        <f t="shared" ref="M4:M13" si="3">K4-L4</f>
        <v>0</v>
      </c>
      <c r="N4" s="10">
        <f>PV(0.22,4,,-'صورت سود و زیان'!O4)</f>
        <v>-46987389.119230829</v>
      </c>
      <c r="O4" s="10">
        <f>PV(0.22,4,,-'صورت سود و زیان'!P4)</f>
        <v>-46987389.119230829</v>
      </c>
      <c r="P4" s="11">
        <f t="shared" ref="P4:P13" si="4">N4-O4</f>
        <v>0</v>
      </c>
      <c r="Q4" s="10">
        <f>PV(0.22,5,,-'صورت سود و زیان'!R4)</f>
        <v>-42734007.900894187</v>
      </c>
      <c r="R4" s="10">
        <f>PV(0.22,5,,-'صورت سود و زیان'!S4)</f>
        <v>-42734007.900894187</v>
      </c>
      <c r="S4" s="11">
        <f t="shared" ref="S4:S13" si="5">Q4-R4</f>
        <v>0</v>
      </c>
      <c r="T4" s="10">
        <f>PV(0.22,6,,-'صورت سود و زیان'!U4)</f>
        <v>-38900750.913741998</v>
      </c>
      <c r="U4" s="10">
        <f>PV(0.22,6,,-'صورت سود و زیان'!V4)</f>
        <v>-38900750.913741998</v>
      </c>
      <c r="V4" s="11">
        <f t="shared" ref="V4:V13" si="6">T4-U4</f>
        <v>0</v>
      </c>
    </row>
    <row r="5" spans="1:22" x14ac:dyDescent="0.3">
      <c r="A5" s="3" t="s">
        <v>5</v>
      </c>
      <c r="B5" s="10">
        <f>PV(0.22,0,,-'صورت سود و زیان'!C5)</f>
        <v>19255042</v>
      </c>
      <c r="C5" s="10">
        <f>PV(0.22,0,,-'صورت سود و زیان'!D5)</f>
        <v>19255042</v>
      </c>
      <c r="D5" s="11">
        <f t="shared" si="0"/>
        <v>0</v>
      </c>
      <c r="E5" s="10">
        <f>PV(0.22,1,,-'صورت سود و زیان'!F5)</f>
        <v>19379479.508196723</v>
      </c>
      <c r="F5" s="10">
        <f>PV(0.22,1,,-'صورت سود و زیان'!G5)</f>
        <v>19379479.508196723</v>
      </c>
      <c r="G5" s="11">
        <f t="shared" si="1"/>
        <v>0</v>
      </c>
      <c r="H5" s="10">
        <f>PV(0.22,2,,-'صورت سود و زیان'!I5)</f>
        <v>16982358.908895459</v>
      </c>
      <c r="I5" s="10">
        <f>PV(0.22,2,,-'صورت سود و زیان'!J5)</f>
        <v>16982358.908895459</v>
      </c>
      <c r="J5" s="11">
        <f t="shared" si="2"/>
        <v>0</v>
      </c>
      <c r="K5" s="10">
        <f>PV(0.22,3,,-'صورت سود و زیان'!L5)</f>
        <v>14946672.298562435</v>
      </c>
      <c r="L5" s="10">
        <f>PV(0.22,3,,-'صورت سود و زیان'!M5)</f>
        <v>14946672.298562435</v>
      </c>
      <c r="M5" s="11">
        <f t="shared" si="3"/>
        <v>0</v>
      </c>
      <c r="N5" s="10">
        <f>PV(0.22,4,,-'صورت سود و زیان'!O5)</f>
        <v>13109777.423415452</v>
      </c>
      <c r="O5" s="10">
        <f>PV(0.22,4,,-'صورت سود و زیان'!P5)</f>
        <v>13109777.423415452</v>
      </c>
      <c r="P5" s="11">
        <f t="shared" si="4"/>
        <v>0</v>
      </c>
      <c r="Q5" s="10">
        <f>PV(0.22,5,,-'صورت سود و زیان'!R5)</f>
        <v>11451961.932639344</v>
      </c>
      <c r="R5" s="10">
        <f>PV(0.22,5,,-'صورت سود و زیان'!S5)</f>
        <v>11451961.932639344</v>
      </c>
      <c r="S5" s="11">
        <f t="shared" si="5"/>
        <v>0</v>
      </c>
      <c r="T5" s="10">
        <f>PV(0.22,6,,-'صورت سود و زیان'!U5)</f>
        <v>9955451.3041982614</v>
      </c>
      <c r="U5" s="10">
        <f>PV(0.22,6,,-'صورت سود و زیان'!V5)</f>
        <v>9955451.3041982614</v>
      </c>
      <c r="V5" s="11">
        <f t="shared" si="6"/>
        <v>0</v>
      </c>
    </row>
    <row r="6" spans="1:22" x14ac:dyDescent="0.3">
      <c r="A6" s="3" t="s">
        <v>6</v>
      </c>
      <c r="B6" s="10">
        <f>PV(0.22,0,,-'صورت سود و زیان'!C6)</f>
        <v>-3410539</v>
      </c>
      <c r="C6" s="10">
        <f>PV(0.22,0,,-'صورت سود و زیان'!D6)</f>
        <v>-3410539</v>
      </c>
      <c r="D6" s="11">
        <f t="shared" si="0"/>
        <v>0</v>
      </c>
      <c r="E6" s="10">
        <f>PV(0.22,1,,-'صورت سود و زیان'!F6)</f>
        <v>-3080457.3770491802</v>
      </c>
      <c r="F6" s="10">
        <f>PV(0.22,1,,-'صورت سود و زیان'!G6)</f>
        <v>-3080457.3770491802</v>
      </c>
      <c r="G6" s="11">
        <f t="shared" si="1"/>
        <v>0</v>
      </c>
      <c r="H6" s="10">
        <f>PV(0.22,2,,-'صورت سود و زیان'!I6)</f>
        <v>-2367307.8473528624</v>
      </c>
      <c r="I6" s="10">
        <f>PV(0.22,2,,-'صورت سود و زیان'!J6)</f>
        <v>-2367307.8473528624</v>
      </c>
      <c r="J6" s="11">
        <f t="shared" si="2"/>
        <v>0</v>
      </c>
      <c r="K6" s="10">
        <f>PV(0.22,3,,-'صورت سود و زیان'!L6)</f>
        <v>-2213705.6625884986</v>
      </c>
      <c r="L6" s="10">
        <f>PV(0.22,3,,-'صورت سود و زیان'!M6)</f>
        <v>-2213705.6625884986</v>
      </c>
      <c r="M6" s="11">
        <f t="shared" si="3"/>
        <v>0</v>
      </c>
      <c r="N6" s="10">
        <f>PV(0.22,4,,-'صورت سود و زیان'!O6)</f>
        <v>-2077216.7252245641</v>
      </c>
      <c r="O6" s="10">
        <f>PV(0.22,4,,-'صورت سود و زیان'!P6)</f>
        <v>-2077216.7252245641</v>
      </c>
      <c r="P6" s="11">
        <f t="shared" si="4"/>
        <v>0</v>
      </c>
      <c r="Q6" s="10">
        <f>PV(0.22,5,,-'صورت سود و زیان'!R6)</f>
        <v>-1956197.5177298347</v>
      </c>
      <c r="R6" s="10">
        <f>PV(0.22,5,,-'صورت سود و زیان'!S6)</f>
        <v>-1956197.5177298347</v>
      </c>
      <c r="S6" s="11">
        <f t="shared" si="5"/>
        <v>0</v>
      </c>
      <c r="T6" s="10">
        <f>PV(0.22,6,,-'صورت سود و زیان'!U6)</f>
        <v>-1849168.313150255</v>
      </c>
      <c r="U6" s="10">
        <f>PV(0.22,6,,-'صورت سود و زیان'!V6)</f>
        <v>-1849168.313150255</v>
      </c>
      <c r="V6" s="11">
        <f t="shared" si="6"/>
        <v>0</v>
      </c>
    </row>
    <row r="7" spans="1:22" x14ac:dyDescent="0.3">
      <c r="A7" s="3" t="s">
        <v>7</v>
      </c>
      <c r="B7" s="10">
        <f>PV(0.22,0,,-'صورت سود و زیان'!C7)</f>
        <v>-2317</v>
      </c>
      <c r="C7" s="10">
        <f>PV(0.22,0,,-'صورت سود و زیان'!D7)</f>
        <v>-2317</v>
      </c>
      <c r="D7" s="11">
        <f t="shared" si="0"/>
        <v>0</v>
      </c>
      <c r="E7" s="10">
        <f>PV(0.22,1,,-'صورت سود و زیان'!F7)</f>
        <v>-1899.1803278688526</v>
      </c>
      <c r="F7" s="10">
        <f>PV(0.22,1,,-'صورت سود و زیان'!G7)</f>
        <v>-1899.1803278688526</v>
      </c>
      <c r="G7" s="11">
        <f t="shared" si="1"/>
        <v>0</v>
      </c>
      <c r="H7" s="10">
        <f>PV(0.22,2,,-'صورت سود و زیان'!I7)</f>
        <v>-1556.7051867777479</v>
      </c>
      <c r="I7" s="10">
        <f>PV(0.22,2,,-'صورت سود و زیان'!J7)</f>
        <v>-1556.7051867777479</v>
      </c>
      <c r="J7" s="11">
        <f t="shared" si="2"/>
        <v>0</v>
      </c>
      <c r="K7" s="10">
        <f>PV(0.22,3,,-'صورت سود و زیان'!L7)</f>
        <v>-1275.9878580145476</v>
      </c>
      <c r="L7" s="10">
        <f>PV(0.22,3,,-'صورت سود و زیان'!M7)</f>
        <v>-1275.9878580145476</v>
      </c>
      <c r="M7" s="11">
        <f t="shared" si="3"/>
        <v>0</v>
      </c>
      <c r="N7" s="10">
        <f>PV(0.22,4,,-'صورت سود و زیان'!O7)</f>
        <v>-1045.8916868971703</v>
      </c>
      <c r="O7" s="10">
        <f>PV(0.22,4,,-'صورت سود و زیان'!P7)</f>
        <v>-1045.8916868971703</v>
      </c>
      <c r="P7" s="11">
        <f t="shared" si="4"/>
        <v>0</v>
      </c>
      <c r="Q7" s="10">
        <f>PV(0.22,5,,-'صورت سود و زیان'!R7)</f>
        <v>-857.28826794850022</v>
      </c>
      <c r="R7" s="10">
        <f>PV(0.22,5,,-'صورت سود و زیان'!S7)</f>
        <v>-857.28826794850022</v>
      </c>
      <c r="S7" s="11">
        <f t="shared" si="5"/>
        <v>0</v>
      </c>
      <c r="T7" s="10">
        <f>PV(0.22,6,,-'صورت سود و زیان'!U7)</f>
        <v>-702.69530159713133</v>
      </c>
      <c r="U7" s="10">
        <f>PV(0.22,6,,-'صورت سود و زیان'!V7)</f>
        <v>-702.69530159713133</v>
      </c>
      <c r="V7" s="11">
        <f t="shared" si="6"/>
        <v>0</v>
      </c>
    </row>
    <row r="8" spans="1:22" x14ac:dyDescent="0.3">
      <c r="A8" s="3" t="s">
        <v>8</v>
      </c>
      <c r="B8" s="10">
        <f>PV(0.22,0,,-'صورت سود و زیان'!C8)</f>
        <v>15842186</v>
      </c>
      <c r="C8" s="10">
        <f>PV(0.22,0,,-'صورت سود و زیان'!D8)</f>
        <v>15842186</v>
      </c>
      <c r="D8" s="11">
        <f t="shared" si="0"/>
        <v>0</v>
      </c>
      <c r="E8" s="10">
        <f>PV(0.22,1,,-'صورت سود و زیان'!F8)</f>
        <v>16297122.950819673</v>
      </c>
      <c r="F8" s="10">
        <f>PV(0.22,1,,-'صورت سود و زیان'!G8)</f>
        <v>16297122.950819673</v>
      </c>
      <c r="G8" s="11">
        <f t="shared" si="1"/>
        <v>0</v>
      </c>
      <c r="H8" s="10">
        <f>PV(0.22,2,,-'صورت سود و زیان'!I8)</f>
        <v>14613494.356355818</v>
      </c>
      <c r="I8" s="10">
        <f>PV(0.22,2,,-'صورت سود و زیان'!J8)</f>
        <v>14613494.356355818</v>
      </c>
      <c r="J8" s="11">
        <f t="shared" si="2"/>
        <v>0</v>
      </c>
      <c r="K8" s="10">
        <f>PV(0.22,3,,-'صورت سود و زیان'!L8)</f>
        <v>12731690.648115922</v>
      </c>
      <c r="L8" s="10">
        <f>PV(0.22,3,,-'صورت سود و زیان'!M8)</f>
        <v>12731690.648115922</v>
      </c>
      <c r="M8" s="11">
        <f t="shared" si="3"/>
        <v>0</v>
      </c>
      <c r="N8" s="10">
        <f>PV(0.22,4,,-'صورت سود و زیان'!O8)</f>
        <v>11031514.355104903</v>
      </c>
      <c r="O8" s="10">
        <f>PV(0.22,4,,-'صورت سود و زیان'!P8)</f>
        <v>11031514.355104903</v>
      </c>
      <c r="P8" s="11">
        <f t="shared" si="4"/>
        <v>0</v>
      </c>
      <c r="Q8" s="10">
        <f>PV(0.22,5,,-'صورت سود و زیان'!R8)</f>
        <v>9494906.7566423081</v>
      </c>
      <c r="R8" s="10">
        <f>PV(0.22,5,,-'صورت سود و زیان'!S8)</f>
        <v>9494906.7566423081</v>
      </c>
      <c r="S8" s="11">
        <f t="shared" si="5"/>
        <v>0</v>
      </c>
      <c r="T8" s="10">
        <f>PV(0.22,6,,-'صورت سود و زیان'!U8)</f>
        <v>8105580.2957464093</v>
      </c>
      <c r="U8" s="10">
        <f>PV(0.22,6,,-'صورت سود و زیان'!V8)</f>
        <v>8105580.2957464093</v>
      </c>
      <c r="V8" s="11">
        <f t="shared" si="6"/>
        <v>0</v>
      </c>
    </row>
    <row r="9" spans="1:22" x14ac:dyDescent="0.3">
      <c r="A9" s="3" t="s">
        <v>9</v>
      </c>
      <c r="B9" s="10">
        <f>PV(0.22,0,,-'صورت سود و زیان'!C9)</f>
        <v>0</v>
      </c>
      <c r="C9" s="10">
        <f>PV(0.22,0,,-'صورت سود و زیان'!D9)</f>
        <v>-770000</v>
      </c>
      <c r="D9" s="11">
        <f t="shared" si="0"/>
        <v>770000</v>
      </c>
      <c r="E9" s="10">
        <f>PV(0.22,1,,-'صورت سود و زیان'!F9)</f>
        <v>0</v>
      </c>
      <c r="F9" s="10">
        <f>PV(0.22,1,,-'صورت سود و زیان'!G9)</f>
        <v>-631147.5409836066</v>
      </c>
      <c r="G9" s="11">
        <f t="shared" si="1"/>
        <v>631147.5409836066</v>
      </c>
      <c r="H9" s="10">
        <f>PV(0.22,2,,-'صورت سود و زیان'!I9)</f>
        <v>0</v>
      </c>
      <c r="I9" s="10">
        <f>PV(0.22,2,,-'صورت سود و زیان'!J9)</f>
        <v>-517334.04998656275</v>
      </c>
      <c r="J9" s="11">
        <f t="shared" si="2"/>
        <v>517334.04998656275</v>
      </c>
      <c r="K9" s="10">
        <f>PV(0.22,3,,-'صورت سود و زیان'!L9)</f>
        <v>0</v>
      </c>
      <c r="L9" s="10">
        <f>PV(0.22,3,,-'صورت سود و زیان'!M9)</f>
        <v>-424044.3032676744</v>
      </c>
      <c r="M9" s="11">
        <f t="shared" si="3"/>
        <v>424044.3032676744</v>
      </c>
      <c r="N9" s="10">
        <f>PV(0.22,4,,-'صورت سود و زیان'!O9)</f>
        <v>0</v>
      </c>
      <c r="O9" s="10">
        <f>PV(0.22,4,,-'صورت سود و زیان'!P9)</f>
        <v>-347577.29776038893</v>
      </c>
      <c r="P9" s="11">
        <f t="shared" si="4"/>
        <v>347577.29776038893</v>
      </c>
      <c r="Q9" s="10">
        <f>PV(0.22,5,,-'صورت سود و زیان'!R9)</f>
        <v>0</v>
      </c>
      <c r="R9" s="10">
        <f>PV(0.22,5,,-'صورت سود و زیان'!S9)</f>
        <v>-284899.42439376138</v>
      </c>
      <c r="S9" s="11">
        <f t="shared" si="5"/>
        <v>284899.42439376138</v>
      </c>
      <c r="T9" s="10">
        <f>PV(0.22,6,,-'صورت سود و زیان'!U9)</f>
        <v>0</v>
      </c>
      <c r="U9" s="10">
        <f>PV(0.22,6,,-'صورت سود و زیان'!V9)</f>
        <v>-233524.11835554213</v>
      </c>
      <c r="V9" s="11">
        <f t="shared" si="6"/>
        <v>233524.11835554213</v>
      </c>
    </row>
    <row r="10" spans="1:22" x14ac:dyDescent="0.3">
      <c r="A10" s="3" t="s">
        <v>10</v>
      </c>
      <c r="B10" s="10">
        <f>PV(0.22,0,,-'صورت سود و زیان'!C10)</f>
        <v>1479081</v>
      </c>
      <c r="C10" s="10">
        <f>PV(0.22,0,,-'صورت سود و زیان'!D10)</f>
        <v>1212276</v>
      </c>
      <c r="D10" s="11">
        <f t="shared" si="0"/>
        <v>266805</v>
      </c>
      <c r="E10" s="10">
        <f>PV(0.22,1,,-'صورت سود و زیان'!F10)</f>
        <v>1006382.7868852459</v>
      </c>
      <c r="F10" s="10">
        <f>PV(0.22,1,,-'صورت سود و زیان'!G10)</f>
        <v>591807.37704918033</v>
      </c>
      <c r="G10" s="11">
        <f t="shared" si="1"/>
        <v>414575.40983606561</v>
      </c>
      <c r="H10" s="10">
        <f>PV(0.22,2,,-'صورت سود و زیان'!I10)</f>
        <v>833093.92636388075</v>
      </c>
      <c r="I10" s="10">
        <f>PV(0.22,2,,-'صورت سود و زیان'!J10)</f>
        <v>515471.64740661113</v>
      </c>
      <c r="J10" s="11">
        <f t="shared" si="2"/>
        <v>317622.27895726962</v>
      </c>
      <c r="K10" s="10">
        <f>PV(0.22,3,,-'صورت سود و زیان'!L10)</f>
        <v>854368.86787880934</v>
      </c>
      <c r="L10" s="10">
        <f>PV(0.22,3,,-'صورت سود و زیان'!M10)</f>
        <v>616007.50723628851</v>
      </c>
      <c r="M10" s="11">
        <f t="shared" si="3"/>
        <v>238361.36064252083</v>
      </c>
      <c r="N10" s="10">
        <f>PV(0.22,4,,-'صورت سود و زیان'!O10)</f>
        <v>894166.52264026448</v>
      </c>
      <c r="O10" s="10">
        <f>PV(0.22,4,,-'صورت سود و زیان'!P10)</f>
        <v>730118.16328094492</v>
      </c>
      <c r="P10" s="11">
        <f t="shared" si="4"/>
        <v>164048.35935931955</v>
      </c>
      <c r="Q10" s="10">
        <f>PV(0.22,5,,-'صورت سود و زیان'!R10)</f>
        <v>784710.69458306814</v>
      </c>
      <c r="R10" s="10">
        <f>PV(0.22,5,,-'صورت سود و زیان'!S10)</f>
        <v>673963.99833392131</v>
      </c>
      <c r="S10" s="11">
        <f t="shared" si="5"/>
        <v>110746.69624914683</v>
      </c>
      <c r="T10" s="10">
        <f>PV(0.22,6,,-'صورت سود و زیان'!U10)</f>
        <v>664383.69867341209</v>
      </c>
      <c r="U10" s="10">
        <f>PV(0.22,6,,-'صورت سود و زیان'!V10)</f>
        <v>589775.4723614984</v>
      </c>
      <c r="V10" s="11">
        <f t="shared" si="6"/>
        <v>74608.226311913691</v>
      </c>
    </row>
    <row r="11" spans="1:22" x14ac:dyDescent="0.3">
      <c r="A11" s="3" t="s">
        <v>11</v>
      </c>
      <c r="B11" s="10">
        <f>PV(0.22,0,,-'صورت سود و زیان'!C11)</f>
        <v>17321267</v>
      </c>
      <c r="C11" s="10">
        <f>PV(0.22,0,,-'صورت سود و زیان'!D11)</f>
        <v>16284462</v>
      </c>
      <c r="D11" s="11">
        <f t="shared" si="0"/>
        <v>1036805</v>
      </c>
      <c r="E11" s="10">
        <f>PV(0.22,1,,-'صورت سود و زیان'!F11)</f>
        <v>17303505.737704918</v>
      </c>
      <c r="F11" s="10">
        <f>PV(0.22,1,,-'صورت سود و زیان'!G11)</f>
        <v>16257782.786885247</v>
      </c>
      <c r="G11" s="11">
        <f t="shared" si="1"/>
        <v>1045722.9508196712</v>
      </c>
      <c r="H11" s="10">
        <f>PV(0.22,2,,-'صورت سود و زیان'!I11)</f>
        <v>15446588.2827197</v>
      </c>
      <c r="I11" s="10">
        <f>PV(0.22,2,,-'صورت سود و زیان'!J11)</f>
        <v>14611631.953775868</v>
      </c>
      <c r="J11" s="11">
        <f t="shared" si="2"/>
        <v>834956.32894383185</v>
      </c>
      <c r="K11" s="10">
        <f>PV(0.22,3,,-'صورت سود و زیان'!L11)</f>
        <v>13586058.965287844</v>
      </c>
      <c r="L11" s="10">
        <f>PV(0.22,3,,-'صورت سود و زیان'!M11)</f>
        <v>12923653.852084536</v>
      </c>
      <c r="M11" s="11">
        <f t="shared" si="3"/>
        <v>662405.11320330761</v>
      </c>
      <c r="N11" s="10">
        <f>PV(0.22,4,,-'صورت سود و زیان'!O11)</f>
        <v>11925680.877745168</v>
      </c>
      <c r="O11" s="10">
        <f>PV(0.22,4,,-'صورت سود و زیان'!P11)</f>
        <v>11414055.220625458</v>
      </c>
      <c r="P11" s="11">
        <f t="shared" si="4"/>
        <v>511625.65711971</v>
      </c>
      <c r="Q11" s="10">
        <f>PV(0.22,5,,-'صورت سود و زیان'!R11)</f>
        <v>10279617.451225378</v>
      </c>
      <c r="R11" s="10">
        <f>PV(0.22,5,,-'صورت سود و زیان'!S11)</f>
        <v>9883971.3305824678</v>
      </c>
      <c r="S11" s="11">
        <f t="shared" si="5"/>
        <v>395646.12064290978</v>
      </c>
      <c r="T11" s="10">
        <f>PV(0.22,6,,-'صورت سود و زیان'!U11)</f>
        <v>8769963.9944198206</v>
      </c>
      <c r="U11" s="10">
        <f>PV(0.22,6,,-'صورت سود و زیان'!V11)</f>
        <v>8461831.953030441</v>
      </c>
      <c r="V11" s="11">
        <f t="shared" si="6"/>
        <v>308132.04138937965</v>
      </c>
    </row>
    <row r="12" spans="1:22" x14ac:dyDescent="0.3">
      <c r="A12" s="3" t="s">
        <v>12</v>
      </c>
      <c r="B12" s="10">
        <f>PV(0.22,0,,-'صورت سود و زیان'!C12)</f>
        <v>-710816</v>
      </c>
      <c r="C12" s="10">
        <f>PV(0.22,0,,-'صورت سود و زیان'!D12)</f>
        <v>-668268</v>
      </c>
      <c r="D12" s="11">
        <f t="shared" si="0"/>
        <v>-42548</v>
      </c>
      <c r="E12" s="10">
        <f>PV(0.22,1,,-'صورت سود و زیان'!F12)</f>
        <v>-710086.88524590165</v>
      </c>
      <c r="F12" s="10">
        <f>PV(0.22,1,,-'صورت سود و زیان'!G12)</f>
        <v>-667173.7704918033</v>
      </c>
      <c r="G12" s="11">
        <f t="shared" si="1"/>
        <v>-42913.114754098351</v>
      </c>
      <c r="H12" s="10">
        <f>PV(0.22,2,,-'صورت سود و زیان'!I12)</f>
        <v>-633884.03654931474</v>
      </c>
      <c r="I12" s="10">
        <f>PV(0.22,2,,-'صورت سود و زیان'!J12)</f>
        <v>-599619.72588013974</v>
      </c>
      <c r="J12" s="11">
        <f t="shared" si="2"/>
        <v>-34264.310669175</v>
      </c>
      <c r="K12" s="10">
        <f>PV(0.22,3,,-'صورت سود و زیان'!L12)</f>
        <v>-557533.44993633835</v>
      </c>
      <c r="L12" s="10">
        <f>PV(0.22,3,,-'صورت سود و زیان'!M12)</f>
        <v>-530350.0072693309</v>
      </c>
      <c r="M12" s="11">
        <f t="shared" si="3"/>
        <v>-27183.442667007446</v>
      </c>
      <c r="N12" s="10">
        <f>PV(0.22,4,,-'صورت سود و زیان'!O12)</f>
        <v>-489396.05763203558</v>
      </c>
      <c r="O12" s="10">
        <f>PV(0.22,4,,-'صورت سود و زیان'!P12)</f>
        <v>-468400.58325095609</v>
      </c>
      <c r="P12" s="11">
        <f t="shared" si="4"/>
        <v>-20995.47438107949</v>
      </c>
      <c r="Q12" s="10">
        <f>PV(0.22,5,,-'صورت سود و زیان'!R12)</f>
        <v>-421846.50770806544</v>
      </c>
      <c r="R12" s="10">
        <f>PV(0.22,5,,-'صورت سود و زیان'!S12)</f>
        <v>-405610.20051164069</v>
      </c>
      <c r="S12" s="11">
        <f t="shared" si="5"/>
        <v>-16236.30719642475</v>
      </c>
      <c r="T12" s="10">
        <f>PV(0.22,6,,-'صورت سود و زیان'!U12)</f>
        <v>-359894.63353037852</v>
      </c>
      <c r="U12" s="10">
        <f>PV(0.22,6,,-'صورت سود و زیان'!V12)</f>
        <v>-347249.75743853959</v>
      </c>
      <c r="V12" s="11">
        <f t="shared" si="6"/>
        <v>-12644.876091838931</v>
      </c>
    </row>
    <row r="13" spans="1:22" x14ac:dyDescent="0.3">
      <c r="A13" s="3" t="s">
        <v>13</v>
      </c>
      <c r="B13" s="10">
        <f>PV(0.22,0,,-'صورت سود و زیان'!C13)</f>
        <v>16610451</v>
      </c>
      <c r="C13" s="10">
        <f>PV(0.22,0,,-'صورت سود و زیان'!D13)</f>
        <v>15616194</v>
      </c>
      <c r="D13" s="11">
        <f t="shared" si="0"/>
        <v>994257</v>
      </c>
      <c r="E13" s="10">
        <f>PV(0.22,1,,-'صورت سود و زیان'!F13)</f>
        <v>16593418.852459017</v>
      </c>
      <c r="F13" s="10">
        <f>PV(0.22,1,,-'صورت سود و زیان'!G13)</f>
        <v>15590609.836065574</v>
      </c>
      <c r="G13" s="11">
        <f t="shared" si="1"/>
        <v>1002809.0163934436</v>
      </c>
      <c r="H13" s="10">
        <f>PV(0.22,2,,-'صورت سود و زیان'!I13)</f>
        <v>14812704.246170385</v>
      </c>
      <c r="I13" s="10">
        <f>PV(0.22,2,,-'صورت سود و زیان'!J13)</f>
        <v>14012011.556033324</v>
      </c>
      <c r="J13" s="11">
        <f t="shared" si="2"/>
        <v>800692.69013706036</v>
      </c>
      <c r="K13" s="10">
        <f>PV(0.22,3,,-'صورت سود و زیان'!L13)</f>
        <v>13028525.515351506</v>
      </c>
      <c r="L13" s="10">
        <f>PV(0.22,3,,-'صورت سود و زیان'!M13)</f>
        <v>12393303.294108318</v>
      </c>
      <c r="M13" s="11">
        <f t="shared" si="3"/>
        <v>635222.22124318779</v>
      </c>
      <c r="N13" s="10">
        <f>PV(0.22,4,,-'صورت سود و زیان'!O13)</f>
        <v>11436284.368714044</v>
      </c>
      <c r="O13" s="10">
        <f>PV(0.22,4,,-'صورت سود و زیان'!P13)</f>
        <v>10945654.637374504</v>
      </c>
      <c r="P13" s="11">
        <f t="shared" si="4"/>
        <v>490629.73133954033</v>
      </c>
      <c r="Q13" s="10">
        <f>PV(0.22,5,,-'صورت سود و زیان'!R13)</f>
        <v>9857770.9435173105</v>
      </c>
      <c r="R13" s="10">
        <f>PV(0.22,5,,-'صورت سود و زیان'!S13)</f>
        <v>9478361.1300708279</v>
      </c>
      <c r="S13" s="11">
        <f t="shared" si="5"/>
        <v>379409.81344648264</v>
      </c>
      <c r="T13" s="10">
        <f>PV(0.22,6,,-'صورت سود و زیان'!U13)</f>
        <v>8410069.6641675178</v>
      </c>
      <c r="U13" s="10">
        <f>PV(0.22,6,,-'صورت سود و زیان'!V13)</f>
        <v>8114582.1955919014</v>
      </c>
      <c r="V13" s="11">
        <f t="shared" si="6"/>
        <v>295487.46857561637</v>
      </c>
    </row>
    <row r="14" spans="1:22" x14ac:dyDescent="0.3">
      <c r="A14" s="51" t="s">
        <v>35</v>
      </c>
      <c r="B14" s="51"/>
      <c r="C14" s="51"/>
      <c r="D14" s="51"/>
    </row>
    <row r="16" spans="1:22" x14ac:dyDescent="0.3">
      <c r="A16" s="17" t="s">
        <v>14</v>
      </c>
      <c r="B16" s="17" t="s">
        <v>26</v>
      </c>
      <c r="C16" s="17" t="s">
        <v>27</v>
      </c>
      <c r="D16" s="17" t="s">
        <v>15</v>
      </c>
      <c r="E16" s="3" t="s">
        <v>16</v>
      </c>
      <c r="G16" s="37" t="s">
        <v>51</v>
      </c>
      <c r="H16" s="8"/>
    </row>
    <row r="17" spans="1:8" x14ac:dyDescent="0.3">
      <c r="A17" s="17">
        <v>1399</v>
      </c>
      <c r="B17" s="15">
        <v>-3500000</v>
      </c>
      <c r="C17" s="15">
        <v>0</v>
      </c>
      <c r="D17" s="15">
        <v>-3500000</v>
      </c>
      <c r="E17" s="15">
        <v>-3500000</v>
      </c>
      <c r="F17" s="6" t="s">
        <v>17</v>
      </c>
      <c r="G17" s="21" t="s">
        <v>29</v>
      </c>
      <c r="H17" s="19">
        <v>0.22</v>
      </c>
    </row>
    <row r="18" spans="1:8" x14ac:dyDescent="0.3">
      <c r="A18" s="17">
        <v>1400</v>
      </c>
      <c r="B18" s="15">
        <f>16610451-15616194</f>
        <v>994257</v>
      </c>
      <c r="C18" s="15">
        <v>0</v>
      </c>
      <c r="D18" s="15">
        <f>16610451-15616194</f>
        <v>994257</v>
      </c>
      <c r="E18" s="16">
        <f>PV(22%,1,,-B18)</f>
        <v>814964.75409836066</v>
      </c>
      <c r="F18" s="14">
        <f>SUM(E17:E24)</f>
        <v>269268.80420928804</v>
      </c>
      <c r="G18" s="21" t="s">
        <v>30</v>
      </c>
      <c r="H18" s="39">
        <v>269269</v>
      </c>
    </row>
    <row r="19" spans="1:8" x14ac:dyDescent="0.3">
      <c r="A19" s="17">
        <v>1401</v>
      </c>
      <c r="B19" s="15">
        <f>20243971-19020544</f>
        <v>1223427</v>
      </c>
      <c r="C19" s="15">
        <v>0</v>
      </c>
      <c r="D19" s="15">
        <f>20243971-19020544</f>
        <v>1223427</v>
      </c>
      <c r="E19" s="16">
        <f>PV(22%,2,,-B19)</f>
        <v>821974.60360118246</v>
      </c>
      <c r="F19" s="8"/>
      <c r="G19" s="21" t="s">
        <v>31</v>
      </c>
      <c r="H19" s="19">
        <v>0.25</v>
      </c>
    </row>
    <row r="20" spans="1:8" x14ac:dyDescent="0.3">
      <c r="A20" s="17">
        <v>1402</v>
      </c>
      <c r="B20" s="15">
        <f>22047229-20855478</f>
        <v>1191751</v>
      </c>
      <c r="C20" s="15">
        <v>0</v>
      </c>
      <c r="D20" s="15">
        <f>22047229-20855478</f>
        <v>1191751</v>
      </c>
      <c r="E20" s="16">
        <f>PV(22%,3,,-B20)</f>
        <v>656305.48371890164</v>
      </c>
      <c r="F20" s="8"/>
      <c r="G20" s="21" t="s">
        <v>32</v>
      </c>
      <c r="H20" s="18" t="s">
        <v>34</v>
      </c>
    </row>
    <row r="21" spans="1:8" x14ac:dyDescent="0.3">
      <c r="A21" s="17">
        <v>1403</v>
      </c>
      <c r="B21" s="15">
        <f>23657822-22504355</f>
        <v>1153467</v>
      </c>
      <c r="C21" s="15">
        <v>0</v>
      </c>
      <c r="D21" s="15">
        <f>23657822-22504355</f>
        <v>1153467</v>
      </c>
      <c r="E21" s="16">
        <f>PV(0.22,4,,-B21)</f>
        <v>520673.95183867856</v>
      </c>
      <c r="F21" s="8"/>
      <c r="G21" s="21" t="s">
        <v>33</v>
      </c>
      <c r="H21" s="18">
        <v>6</v>
      </c>
    </row>
    <row r="22" spans="1:8" x14ac:dyDescent="0.3">
      <c r="A22" s="17">
        <v>1404</v>
      </c>
      <c r="B22" s="15">
        <f>25335196-24248287</f>
        <v>1086909</v>
      </c>
      <c r="C22" s="15">
        <v>0</v>
      </c>
      <c r="D22" s="15">
        <f>25335196-24248287</f>
        <v>1086909</v>
      </c>
      <c r="E22" s="16">
        <f>PV(0.22,5,,-B22)</f>
        <v>402155.51749142702</v>
      </c>
      <c r="F22" s="8"/>
      <c r="G22" s="8"/>
      <c r="H22" s="9"/>
    </row>
    <row r="23" spans="1:8" x14ac:dyDescent="0.3">
      <c r="A23" s="17">
        <v>1405</v>
      </c>
      <c r="B23" s="15">
        <f>26642678-25617244</f>
        <v>1025434</v>
      </c>
      <c r="C23" s="15">
        <v>0</v>
      </c>
      <c r="D23" s="15">
        <f>26642678-25617244</f>
        <v>1025434</v>
      </c>
      <c r="E23" s="16">
        <f>PV(0.22,6,,-B23)</f>
        <v>310991.65036597016</v>
      </c>
      <c r="F23" s="8"/>
      <c r="G23" s="8"/>
      <c r="H23" s="9"/>
    </row>
    <row r="24" spans="1:8" ht="14.4" customHeight="1" x14ac:dyDescent="0.3">
      <c r="A24" s="17">
        <v>1406</v>
      </c>
      <c r="B24" s="15">
        <f>27730556-26756244</f>
        <v>974312</v>
      </c>
      <c r="C24" s="15">
        <v>0</v>
      </c>
      <c r="D24" s="15">
        <f>27730556-26756244</f>
        <v>974312</v>
      </c>
      <c r="E24" s="16">
        <f>PV(0.22,7,,-B24)</f>
        <v>242202.84309476789</v>
      </c>
      <c r="F24" s="8"/>
      <c r="G24" s="8"/>
      <c r="H24" s="9"/>
    </row>
    <row r="25" spans="1:8" x14ac:dyDescent="0.3">
      <c r="A25" s="49" t="s">
        <v>28</v>
      </c>
      <c r="B25" s="49"/>
      <c r="C25" s="8"/>
      <c r="F25" s="8"/>
      <c r="G25" s="8"/>
      <c r="H25" s="9"/>
    </row>
    <row r="26" spans="1:8" x14ac:dyDescent="0.3">
      <c r="A26" s="50"/>
      <c r="B26" s="50"/>
      <c r="E26" s="8"/>
      <c r="F26" s="8"/>
      <c r="G26" s="8"/>
      <c r="H26" s="9"/>
    </row>
    <row r="27" spans="1:8" x14ac:dyDescent="0.3">
      <c r="E27" s="8"/>
      <c r="F27" s="8"/>
      <c r="G27" s="8"/>
      <c r="H27" s="13"/>
    </row>
  </sheetData>
  <mergeCells count="9">
    <mergeCell ref="Q1:R1"/>
    <mergeCell ref="T1:U1"/>
    <mergeCell ref="A25:B26"/>
    <mergeCell ref="A14:D14"/>
    <mergeCell ref="B1:C1"/>
    <mergeCell ref="E1:F1"/>
    <mergeCell ref="H1:I1"/>
    <mergeCell ref="K1:L1"/>
    <mergeCell ref="N1:O1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ACCB-4E42-4749-90EE-27336E6FE77C}">
  <dimension ref="A1:V24"/>
  <sheetViews>
    <sheetView rightToLeft="1" workbookViewId="0">
      <selection activeCell="F20" sqref="F20"/>
    </sheetView>
  </sheetViews>
  <sheetFormatPr defaultRowHeight="14.4" x14ac:dyDescent="0.3"/>
  <cols>
    <col min="1" max="22" width="20.77734375" style="5" customWidth="1"/>
    <col min="23" max="16384" width="8.88671875" style="5"/>
  </cols>
  <sheetData>
    <row r="1" spans="1:22" ht="30" customHeight="1" x14ac:dyDescent="0.3">
      <c r="A1" s="53" t="s">
        <v>0</v>
      </c>
      <c r="B1" s="47">
        <v>1400</v>
      </c>
      <c r="C1" s="48"/>
      <c r="D1" s="4" t="s">
        <v>18</v>
      </c>
      <c r="E1" s="47">
        <v>1401</v>
      </c>
      <c r="F1" s="48"/>
      <c r="G1" s="4" t="s">
        <v>18</v>
      </c>
      <c r="H1" s="47">
        <v>1402</v>
      </c>
      <c r="I1" s="48"/>
      <c r="J1" s="4" t="s">
        <v>18</v>
      </c>
      <c r="K1" s="47">
        <v>1403</v>
      </c>
      <c r="L1" s="48"/>
      <c r="M1" s="4" t="s">
        <v>18</v>
      </c>
      <c r="N1" s="47">
        <v>1404</v>
      </c>
      <c r="O1" s="48"/>
      <c r="P1" s="4" t="s">
        <v>18</v>
      </c>
      <c r="Q1" s="47">
        <v>1405</v>
      </c>
      <c r="R1" s="48"/>
      <c r="S1" s="4" t="s">
        <v>18</v>
      </c>
      <c r="T1" s="47">
        <v>1406</v>
      </c>
      <c r="U1" s="48"/>
      <c r="V1" s="4" t="s">
        <v>18</v>
      </c>
    </row>
    <row r="2" spans="1:22" ht="30" customHeight="1" x14ac:dyDescent="0.3">
      <c r="A2" s="54"/>
      <c r="B2" s="3" t="s">
        <v>1</v>
      </c>
      <c r="C2" s="3" t="s">
        <v>2</v>
      </c>
      <c r="D2" s="3"/>
      <c r="E2" s="3" t="s">
        <v>1</v>
      </c>
      <c r="F2" s="3" t="s">
        <v>2</v>
      </c>
      <c r="G2" s="3"/>
      <c r="H2" s="3" t="s">
        <v>1</v>
      </c>
      <c r="I2" s="3" t="s">
        <v>2</v>
      </c>
      <c r="J2" s="3"/>
      <c r="K2" s="3" t="s">
        <v>1</v>
      </c>
      <c r="L2" s="3" t="s">
        <v>2</v>
      </c>
      <c r="M2" s="3"/>
      <c r="N2" s="3" t="s">
        <v>1</v>
      </c>
      <c r="O2" s="3" t="s">
        <v>2</v>
      </c>
      <c r="P2" s="3"/>
      <c r="Q2" s="3" t="s">
        <v>1</v>
      </c>
      <c r="R2" s="3" t="s">
        <v>2</v>
      </c>
      <c r="S2" s="3"/>
      <c r="T2" s="3" t="s">
        <v>1</v>
      </c>
      <c r="U2" s="3" t="s">
        <v>2</v>
      </c>
      <c r="V2" s="3"/>
    </row>
    <row r="3" spans="1:22" x14ac:dyDescent="0.3">
      <c r="A3" s="3" t="s">
        <v>3</v>
      </c>
      <c r="B3" s="10">
        <f>PMT(0.22,7,-'a)ارزش فعلی'!B3)</f>
        <v>25838421.903915748</v>
      </c>
      <c r="C3" s="10">
        <f>PMT(0.22,7,-'a)ارزش فعلی'!C3)</f>
        <v>25838421.903915748</v>
      </c>
      <c r="D3" s="11">
        <f>B3-C3</f>
        <v>0</v>
      </c>
      <c r="E3" s="10">
        <f>PMT(0.22,7,-'a)ارزش فعلی'!E3)</f>
        <v>24004923.520158973</v>
      </c>
      <c r="F3" s="10">
        <f>PMT(0.22,7,-'a)ارزش فعلی'!F3)</f>
        <v>24004923.520158973</v>
      </c>
      <c r="G3" s="11">
        <f>E3-F3</f>
        <v>0</v>
      </c>
      <c r="H3" s="10">
        <f>PMT(0.22,7,-'a)ارزش فعلی'!H3)</f>
        <v>21643783.423098899</v>
      </c>
      <c r="I3" s="10">
        <f>PMT(0.22,7,-'a)ارزش فعلی'!I3)</f>
        <v>21643783.423098899</v>
      </c>
      <c r="J3" s="11">
        <f>H3-I3</f>
        <v>0</v>
      </c>
      <c r="K3" s="10">
        <f>PMT(0.22,7,-'a)ارزش فعلی'!K3)</f>
        <v>19514886.725205477</v>
      </c>
      <c r="L3" s="10">
        <f>PMT(0.22,7,-'a)ارزش فعلی'!L3)</f>
        <v>19514886.725205477</v>
      </c>
      <c r="M3" s="11">
        <f>K3-L3</f>
        <v>0</v>
      </c>
      <c r="N3" s="10">
        <f>PMT(0.22,7,-'a)ارزش فعلی'!N3)</f>
        <v>17595389.696699571</v>
      </c>
      <c r="O3" s="10">
        <f>PMT(0.22,7,-'a)ارزش فعلی'!O3)</f>
        <v>17595389.696699571</v>
      </c>
      <c r="P3" s="11">
        <f>N3-O3</f>
        <v>0</v>
      </c>
      <c r="Q3" s="10">
        <f>PMT(0.22,7,-'a)ارزش فعلی'!Q3)</f>
        <v>15864695.628171746</v>
      </c>
      <c r="R3" s="10">
        <f>PMT(0.22,7,-'a)ارزش فعلی'!R3)</f>
        <v>15864695.628171746</v>
      </c>
      <c r="S3" s="11">
        <f>Q3-R3</f>
        <v>0</v>
      </c>
      <c r="T3" s="10">
        <f>PMT(0.22,7,-'a)ارزش فعلی'!T3)</f>
        <v>14304233.736467332</v>
      </c>
      <c r="U3" s="10">
        <f>PMT(0.22,7,-'a)ارزش فعلی'!U3)</f>
        <v>14304233.736467332</v>
      </c>
      <c r="V3" s="11">
        <f>T3-U3</f>
        <v>0</v>
      </c>
    </row>
    <row r="4" spans="1:22" x14ac:dyDescent="0.3">
      <c r="A4" s="3" t="s">
        <v>4</v>
      </c>
      <c r="B4" s="10">
        <f>PMT(0.22,7,-'a)ارزش فعلی'!B4)</f>
        <v>-20200885.442427207</v>
      </c>
      <c r="C4" s="10">
        <f>PMT(0.22,7,-'a)ارزش فعلی'!C4)</f>
        <v>-20200885.442427207</v>
      </c>
      <c r="D4" s="11">
        <f t="shared" ref="D4:D13" si="0">B4-C4</f>
        <v>0</v>
      </c>
      <c r="E4" s="10">
        <f>PMT(0.22,7,-'a)ارزش فعلی'!E4)</f>
        <v>-18330953.95249306</v>
      </c>
      <c r="F4" s="10">
        <f>PMT(0.22,7,-'a)ارزش فعلی'!F4)</f>
        <v>-18330953.95249306</v>
      </c>
      <c r="G4" s="11">
        <f t="shared" ref="G4:G13" si="1">E4-F4</f>
        <v>0</v>
      </c>
      <c r="H4" s="10">
        <f>PMT(0.22,7,-'a)ارزش فعلی'!H4)</f>
        <v>-16671648.459644504</v>
      </c>
      <c r="I4" s="10">
        <f>PMT(0.22,7,-'a)ارزش فعلی'!I4)</f>
        <v>-16671648.459644504</v>
      </c>
      <c r="J4" s="11">
        <f t="shared" ref="J4:J13" si="2">H4-I4</f>
        <v>0</v>
      </c>
      <c r="K4" s="10">
        <f>PMT(0.22,7,-'a)ارزش فعلی'!K4)</f>
        <v>-15138764.87301391</v>
      </c>
      <c r="L4" s="10">
        <f>PMT(0.22,7,-'a)ارزش فعلی'!L4)</f>
        <v>-15138764.87301391</v>
      </c>
      <c r="M4" s="11">
        <f t="shared" ref="M4:M13" si="3">K4-L4</f>
        <v>0</v>
      </c>
      <c r="N4" s="10">
        <f>PMT(0.22,7,-'a)ارزش فعلی'!N4)</f>
        <v>-13757078.244223701</v>
      </c>
      <c r="O4" s="10">
        <f>PMT(0.22,7,-'a)ارزش فعلی'!O4)</f>
        <v>-13757078.244223701</v>
      </c>
      <c r="P4" s="11">
        <f t="shared" ref="P4:P13" si="4">N4-O4</f>
        <v>0</v>
      </c>
      <c r="Q4" s="10">
        <f>PMT(0.22,7,-'a)ارزش فعلی'!Q4)</f>
        <v>-12511763.292275878</v>
      </c>
      <c r="R4" s="10">
        <f>PMT(0.22,7,-'a)ارزش فعلی'!R4)</f>
        <v>-12511763.292275878</v>
      </c>
      <c r="S4" s="11">
        <f t="shared" ref="S4:S13" si="5">Q4-R4</f>
        <v>0</v>
      </c>
      <c r="T4" s="10">
        <f>PMT(0.22,7,-'a)ارزش فعلی'!T4)</f>
        <v>-11389453.300361751</v>
      </c>
      <c r="U4" s="10">
        <f>PMT(0.22,7,-'a)ارزش فعلی'!U4)</f>
        <v>-11389453.300361751</v>
      </c>
      <c r="V4" s="11">
        <f t="shared" ref="V4:V13" si="6">T4-U4</f>
        <v>0</v>
      </c>
    </row>
    <row r="5" spans="1:22" x14ac:dyDescent="0.3">
      <c r="A5" s="3" t="s">
        <v>5</v>
      </c>
      <c r="B5" s="10">
        <f>PMT(0.22,7,-'a)ارزش فعلی'!B5)</f>
        <v>5637536.4614885384</v>
      </c>
      <c r="C5" s="10">
        <f>PMT(0.22,7,-'a)ارزش فعلی'!C5)</f>
        <v>5637536.4614885384</v>
      </c>
      <c r="D5" s="11">
        <f t="shared" si="0"/>
        <v>0</v>
      </c>
      <c r="E5" s="10">
        <f>PMT(0.22,7,-'a)ارزش فعلی'!E5)</f>
        <v>5673969.5676659131</v>
      </c>
      <c r="F5" s="10">
        <f>PMT(0.22,7,-'a)ارزش فعلی'!F5)</f>
        <v>5673969.5676659131</v>
      </c>
      <c r="G5" s="11">
        <f t="shared" si="1"/>
        <v>0</v>
      </c>
      <c r="H5" s="10">
        <f>PMT(0.22,7,-'a)ارزش فعلی'!H5)</f>
        <v>4972134.9634543965</v>
      </c>
      <c r="I5" s="10">
        <f>PMT(0.22,7,-'a)ارزش فعلی'!I5)</f>
        <v>4972134.9634543965</v>
      </c>
      <c r="J5" s="11">
        <f t="shared" si="2"/>
        <v>0</v>
      </c>
      <c r="K5" s="10">
        <f>PMT(0.22,7,-'a)ارزش فعلی'!K5)</f>
        <v>4376121.8521915684</v>
      </c>
      <c r="L5" s="10">
        <f>PMT(0.22,7,-'a)ارزش فعلی'!L5)</f>
        <v>4376121.8521915684</v>
      </c>
      <c r="M5" s="11">
        <f t="shared" si="3"/>
        <v>0</v>
      </c>
      <c r="N5" s="10">
        <f>PMT(0.22,7,-'a)ارزش فعلی'!N5)</f>
        <v>3838311.4524758705</v>
      </c>
      <c r="O5" s="10">
        <f>PMT(0.22,7,-'a)ارزش فعلی'!O5)</f>
        <v>3838311.4524758705</v>
      </c>
      <c r="P5" s="11">
        <f t="shared" si="4"/>
        <v>0</v>
      </c>
      <c r="Q5" s="10">
        <f>PMT(0.22,7,-'a)ارزش فعلی'!Q5)</f>
        <v>3352932.3358958685</v>
      </c>
      <c r="R5" s="10">
        <f>PMT(0.22,7,-'a)ارزش فعلی'!R5)</f>
        <v>3352932.3358958685</v>
      </c>
      <c r="S5" s="11">
        <f t="shared" si="5"/>
        <v>0</v>
      </c>
      <c r="T5" s="10">
        <f>PMT(0.22,7,-'a)ارزش فعلی'!T5)</f>
        <v>2914780.4361055833</v>
      </c>
      <c r="U5" s="10">
        <f>PMT(0.22,7,-'a)ارزش فعلی'!U5)</f>
        <v>2914780.4361055833</v>
      </c>
      <c r="V5" s="11">
        <f t="shared" si="6"/>
        <v>0</v>
      </c>
    </row>
    <row r="6" spans="1:22" x14ac:dyDescent="0.3">
      <c r="A6" s="3" t="s">
        <v>6</v>
      </c>
      <c r="B6" s="10">
        <f>PMT(0.22,7,-'a)ارزش فعلی'!B6)</f>
        <v>-998545.62591079564</v>
      </c>
      <c r="C6" s="10">
        <f>PMT(0.22,7,-'a)ارزش فعلی'!C6)</f>
        <v>-998545.62591079564</v>
      </c>
      <c r="D6" s="11">
        <f t="shared" si="0"/>
        <v>0</v>
      </c>
      <c r="E6" s="10">
        <f>PMT(0.22,7,-'a)ارزش فعلی'!E6)</f>
        <v>-901903.55238779017</v>
      </c>
      <c r="F6" s="10">
        <f>PMT(0.22,7,-'a)ارزش فعلی'!F6)</f>
        <v>-901903.55238779017</v>
      </c>
      <c r="G6" s="11">
        <f t="shared" si="1"/>
        <v>0</v>
      </c>
      <c r="H6" s="10">
        <f>PMT(0.22,7,-'a)ارزش فعلی'!H6)</f>
        <v>-693105.95661228395</v>
      </c>
      <c r="I6" s="10">
        <f>PMT(0.22,7,-'a)ارزش فعلی'!I6)</f>
        <v>-693105.95661228395</v>
      </c>
      <c r="J6" s="11">
        <f t="shared" si="2"/>
        <v>0</v>
      </c>
      <c r="K6" s="10">
        <f>PMT(0.22,7,-'a)ارزش فعلی'!K6)</f>
        <v>-648133.94786915055</v>
      </c>
      <c r="L6" s="10">
        <f>PMT(0.22,7,-'a)ارزش فعلی'!L6)</f>
        <v>-648133.94786915055</v>
      </c>
      <c r="M6" s="11">
        <f t="shared" si="3"/>
        <v>0</v>
      </c>
      <c r="N6" s="10">
        <f>PMT(0.22,7,-'a)ارزش فعلی'!N6)</f>
        <v>-608172.39592971548</v>
      </c>
      <c r="O6" s="10">
        <f>PMT(0.22,7,-'a)ارزش فعلی'!O6)</f>
        <v>-608172.39592971548</v>
      </c>
      <c r="P6" s="11">
        <f t="shared" si="4"/>
        <v>0</v>
      </c>
      <c r="Q6" s="10">
        <f>PMT(0.22,7,-'a)ارزش فعلی'!Q6)</f>
        <v>-572740.10786760761</v>
      </c>
      <c r="R6" s="10">
        <f>PMT(0.22,7,-'a)ارزش فعلی'!R6)</f>
        <v>-572740.10786760761</v>
      </c>
      <c r="S6" s="11">
        <f t="shared" si="5"/>
        <v>0</v>
      </c>
      <c r="T6" s="10">
        <f>PMT(0.22,7,-'a)ارزش فعلی'!T6)</f>
        <v>-541403.84574667865</v>
      </c>
      <c r="U6" s="10">
        <f>PMT(0.22,7,-'a)ارزش فعلی'!U6)</f>
        <v>-541403.84574667865</v>
      </c>
      <c r="V6" s="11">
        <f t="shared" si="6"/>
        <v>0</v>
      </c>
    </row>
    <row r="7" spans="1:22" x14ac:dyDescent="0.3">
      <c r="A7" s="3" t="s">
        <v>7</v>
      </c>
      <c r="B7" s="10">
        <f>PMT(0.22,7,-'a)ارزش فعلی'!B7)</f>
        <v>-678.37670680068857</v>
      </c>
      <c r="C7" s="10">
        <f>PMT(0.22,7,-'a)ارزش فعلی'!C7)</f>
        <v>-678.37670680068857</v>
      </c>
      <c r="D7" s="11">
        <f t="shared" si="0"/>
        <v>0</v>
      </c>
      <c r="E7" s="10">
        <f>PMT(0.22,7,-'a)ارزش فعلی'!E7)</f>
        <v>-556.04648098417101</v>
      </c>
      <c r="F7" s="10">
        <f>PMT(0.22,7,-'a)ارزش فعلی'!F7)</f>
        <v>-556.04648098417101</v>
      </c>
      <c r="G7" s="11">
        <f t="shared" si="1"/>
        <v>0</v>
      </c>
      <c r="H7" s="10">
        <f>PMT(0.22,7,-'a)ارزش فعلی'!H7)</f>
        <v>-455.77580408538603</v>
      </c>
      <c r="I7" s="10">
        <f>PMT(0.22,7,-'a)ارزش فعلی'!I7)</f>
        <v>-455.77580408538603</v>
      </c>
      <c r="J7" s="11">
        <f t="shared" si="2"/>
        <v>0</v>
      </c>
      <c r="K7" s="10">
        <f>PMT(0.22,7,-'a)ارزش فعلی'!K7)</f>
        <v>-373.58672466015253</v>
      </c>
      <c r="L7" s="10">
        <f>PMT(0.22,7,-'a)ارزش فعلی'!L7)</f>
        <v>-373.58672466015253</v>
      </c>
      <c r="M7" s="11">
        <f t="shared" si="3"/>
        <v>0</v>
      </c>
      <c r="N7" s="10">
        <f>PMT(0.22,7,-'a)ارزش فعلی'!N7)</f>
        <v>-306.21862677061688</v>
      </c>
      <c r="O7" s="10">
        <f>PMT(0.22,7,-'a)ارزش فعلی'!O7)</f>
        <v>-306.21862677061688</v>
      </c>
      <c r="P7" s="11">
        <f t="shared" si="4"/>
        <v>0</v>
      </c>
      <c r="Q7" s="10">
        <f>PMT(0.22,7,-'a)ارزش فعلی'!Q7)</f>
        <v>-250.99887440214499</v>
      </c>
      <c r="R7" s="10">
        <f>PMT(0.22,7,-'a)ارزش فعلی'!R7)</f>
        <v>-250.99887440214499</v>
      </c>
      <c r="S7" s="11">
        <f t="shared" si="5"/>
        <v>0</v>
      </c>
      <c r="T7" s="10">
        <f>PMT(0.22,7,-'a)ارزش فعلی'!T7)</f>
        <v>-205.73678229684015</v>
      </c>
      <c r="U7" s="10">
        <f>PMT(0.22,7,-'a)ارزش فعلی'!U7)</f>
        <v>-205.73678229684015</v>
      </c>
      <c r="V7" s="11">
        <f t="shared" si="6"/>
        <v>0</v>
      </c>
    </row>
    <row r="8" spans="1:22" x14ac:dyDescent="0.3">
      <c r="A8" s="3" t="s">
        <v>8</v>
      </c>
      <c r="B8" s="10">
        <f>PMT(0.22,7,-'a)ارزش فعلی'!B8)</f>
        <v>4638312.4588709427</v>
      </c>
      <c r="C8" s="10">
        <f>PMT(0.22,7,-'a)ارزش فعلی'!C8)</f>
        <v>4638312.4588709427</v>
      </c>
      <c r="D8" s="11">
        <f t="shared" si="0"/>
        <v>0</v>
      </c>
      <c r="E8" s="10">
        <f>PMT(0.22,7,-'a)ارزش فعلی'!E8)</f>
        <v>4771509.9687971389</v>
      </c>
      <c r="F8" s="10">
        <f>PMT(0.22,7,-'a)ارزش فعلی'!F8)</f>
        <v>4771509.9687971389</v>
      </c>
      <c r="G8" s="11">
        <f t="shared" si="1"/>
        <v>0</v>
      </c>
      <c r="H8" s="10">
        <f>PMT(0.22,7,-'a)ارزش فعلی'!H8)</f>
        <v>4278573.2310380265</v>
      </c>
      <c r="I8" s="10">
        <f>PMT(0.22,7,-'a)ارزش فعلی'!I8)</f>
        <v>4278573.2310380265</v>
      </c>
      <c r="J8" s="11">
        <f t="shared" si="2"/>
        <v>0</v>
      </c>
      <c r="K8" s="10">
        <f>PMT(0.22,7,-'a)ارزش فعلی'!K8)</f>
        <v>3727614.3175977571</v>
      </c>
      <c r="L8" s="10">
        <f>PMT(0.22,7,-'a)ارزش فعلی'!L8)</f>
        <v>3727614.3175977571</v>
      </c>
      <c r="M8" s="11">
        <f t="shared" si="3"/>
        <v>0</v>
      </c>
      <c r="N8" s="10">
        <f>PMT(0.22,7,-'a)ارزش فعلی'!N8)</f>
        <v>3229832.705757698</v>
      </c>
      <c r="O8" s="10">
        <f>PMT(0.22,7,-'a)ارزش فعلی'!O8)</f>
        <v>3229832.705757698</v>
      </c>
      <c r="P8" s="11">
        <f t="shared" si="4"/>
        <v>0</v>
      </c>
      <c r="Q8" s="10">
        <f>PMT(0.22,7,-'a)ارزش فعلی'!Q8)</f>
        <v>2779941.120824608</v>
      </c>
      <c r="R8" s="10">
        <f>PMT(0.22,7,-'a)ارزش فعلی'!R8)</f>
        <v>2779941.120824608</v>
      </c>
      <c r="S8" s="11">
        <f t="shared" si="5"/>
        <v>0</v>
      </c>
      <c r="T8" s="10">
        <f>PMT(0.22,7,-'a)ارزش فعلی'!T8)</f>
        <v>2373170.853576608</v>
      </c>
      <c r="U8" s="10">
        <f>PMT(0.22,7,-'a)ارزش فعلی'!U8)</f>
        <v>2373170.853576608</v>
      </c>
      <c r="V8" s="11">
        <f t="shared" si="6"/>
        <v>0</v>
      </c>
    </row>
    <row r="9" spans="1:22" x14ac:dyDescent="0.3">
      <c r="A9" s="3" t="s">
        <v>9</v>
      </c>
      <c r="B9" s="10">
        <f>PMT(0.22,7,-'a)ارزش فعلی'!B9)</f>
        <v>0</v>
      </c>
      <c r="C9" s="10">
        <f>PMT(0.22,7,-'a)ارزش فعلی'!C9)</f>
        <v>-225442.41011503246</v>
      </c>
      <c r="D9" s="11">
        <f t="shared" si="0"/>
        <v>225442.41011503246</v>
      </c>
      <c r="E9" s="10">
        <f>PMT(0.22,7,-'a)ارزش فعلی'!E9)</f>
        <v>0</v>
      </c>
      <c r="F9" s="10">
        <f>PMT(0.22,7,-'a)ارزش فعلی'!F9)</f>
        <v>-184788.86075002662</v>
      </c>
      <c r="G9" s="11">
        <f t="shared" si="1"/>
        <v>184788.86075002662</v>
      </c>
      <c r="H9" s="10">
        <f>PMT(0.22,7,-'a)ارزش فعلی'!H9)</f>
        <v>0</v>
      </c>
      <c r="I9" s="10">
        <f>PMT(0.22,7,-'a)ارزش فعلی'!I9)</f>
        <v>-151466.27930330049</v>
      </c>
      <c r="J9" s="11">
        <f t="shared" si="2"/>
        <v>151466.27930330049</v>
      </c>
      <c r="K9" s="10">
        <f>PMT(0.22,7,-'a)ارزش فعلی'!K9)</f>
        <v>0</v>
      </c>
      <c r="L9" s="10">
        <f>PMT(0.22,7,-'a)ارزش فعلی'!L9)</f>
        <v>-124152.687953525</v>
      </c>
      <c r="M9" s="11">
        <f t="shared" si="3"/>
        <v>124152.687953525</v>
      </c>
      <c r="N9" s="10">
        <f>PMT(0.22,7,-'a)ارزش فعلی'!N9)</f>
        <v>0</v>
      </c>
      <c r="O9" s="10">
        <f>PMT(0.22,7,-'a)ارزش فعلی'!O9)</f>
        <v>-101764.4983225615</v>
      </c>
      <c r="P9" s="11">
        <f t="shared" si="4"/>
        <v>101764.4983225615</v>
      </c>
      <c r="Q9" s="10">
        <f>PMT(0.22,7,-'a)ارزش فعلی'!Q9)</f>
        <v>0</v>
      </c>
      <c r="R9" s="10">
        <f>PMT(0.22,7,-'a)ارزش فعلی'!R9)</f>
        <v>-83413.523215214329</v>
      </c>
      <c r="S9" s="11">
        <f t="shared" si="5"/>
        <v>83413.523215214329</v>
      </c>
      <c r="T9" s="10">
        <f>PMT(0.22,7,-'a)ارزش فعلی'!T9)</f>
        <v>0</v>
      </c>
      <c r="U9" s="10">
        <f>PMT(0.22,7,-'a)ارزش فعلی'!U9)</f>
        <v>-68371.740340339617</v>
      </c>
      <c r="V9" s="11">
        <f t="shared" si="6"/>
        <v>68371.740340339617</v>
      </c>
    </row>
    <row r="10" spans="1:22" x14ac:dyDescent="0.3">
      <c r="A10" s="3" t="s">
        <v>10</v>
      </c>
      <c r="B10" s="10">
        <f>PMT(0.22,7,-'a)ارزش فعلی'!B10)</f>
        <v>433048.81220175629</v>
      </c>
      <c r="C10" s="10">
        <f>PMT(0.22,7,-'a)ارزش فعلی'!C10)</f>
        <v>354933.01709689753</v>
      </c>
      <c r="D10" s="11">
        <f t="shared" si="0"/>
        <v>78115.795104858757</v>
      </c>
      <c r="E10" s="10">
        <f>PMT(0.22,7,-'a)ارزش فعلی'!E10)</f>
        <v>294651.11814765312</v>
      </c>
      <c r="F10" s="10">
        <f>PMT(0.22,7,-'a)ارزش فعلی'!F10)</f>
        <v>173270.75507249736</v>
      </c>
      <c r="G10" s="11">
        <f t="shared" si="1"/>
        <v>121380.36307515576</v>
      </c>
      <c r="H10" s="10">
        <f>PMT(0.22,7,-'a)ارزش فعلی'!H10)</f>
        <v>243915.19819697231</v>
      </c>
      <c r="I10" s="10">
        <f>PMT(0.22,7,-'a)ارزش فعلی'!I10)</f>
        <v>150921.00069780863</v>
      </c>
      <c r="J10" s="11">
        <f t="shared" si="2"/>
        <v>92994.197499163682</v>
      </c>
      <c r="K10" s="10">
        <f>PMT(0.22,7,-'a)ارزش فعلی'!K10)</f>
        <v>250144.12558681885</v>
      </c>
      <c r="L10" s="10">
        <f>PMT(0.22,7,-'a)ارزش فعلی'!L10)</f>
        <v>180356.12607831453</v>
      </c>
      <c r="M10" s="11">
        <f t="shared" si="3"/>
        <v>69787.999508504319</v>
      </c>
      <c r="N10" s="10">
        <f>PMT(0.22,7,-'a)ارزش فعلی'!N10)</f>
        <v>261796.17650415451</v>
      </c>
      <c r="O10" s="10">
        <f>PMT(0.22,7,-'a)ارزش فعلی'!O10)</f>
        <v>213765.71220625588</v>
      </c>
      <c r="P10" s="11">
        <f t="shared" si="4"/>
        <v>48030.464297898638</v>
      </c>
      <c r="Q10" s="10">
        <f>PMT(0.22,7,-'a)ارزش فعلی'!Q10)</f>
        <v>229749.44185694549</v>
      </c>
      <c r="R10" s="10">
        <f>PMT(0.22,7,-'a)ارزش فعلی'!R10)</f>
        <v>197324.7637859259</v>
      </c>
      <c r="S10" s="11">
        <f t="shared" si="5"/>
        <v>32424.678071019589</v>
      </c>
      <c r="T10" s="10">
        <f>PMT(0.22,7,-'a)ارزش فعلی'!T10)</f>
        <v>194519.82112996563</v>
      </c>
      <c r="U10" s="10">
        <f>PMT(0.22,7,-'a)ارزش فعلی'!U10)</f>
        <v>172675.84924143885</v>
      </c>
      <c r="V10" s="11">
        <f t="shared" si="6"/>
        <v>21843.971888526779</v>
      </c>
    </row>
    <row r="11" spans="1:22" x14ac:dyDescent="0.3">
      <c r="A11" s="3" t="s">
        <v>11</v>
      </c>
      <c r="B11" s="10">
        <f>PMT(0.22,7,-'a)ارزش فعلی'!B11)</f>
        <v>5071361.2710726988</v>
      </c>
      <c r="C11" s="10">
        <f>PMT(0.22,7,-'a)ارزش فعلی'!C11)</f>
        <v>4767803.0658528078</v>
      </c>
      <c r="D11" s="11">
        <f t="shared" si="0"/>
        <v>303558.20521989092</v>
      </c>
      <c r="E11" s="10">
        <f>PMT(0.22,7,-'a)ارزش فعلی'!E11)</f>
        <v>5066161.0869447915</v>
      </c>
      <c r="F11" s="10">
        <f>PMT(0.22,7,-'a)ارزش فعلی'!F11)</f>
        <v>4759991.8631196097</v>
      </c>
      <c r="G11" s="11">
        <f t="shared" si="1"/>
        <v>306169.22382518183</v>
      </c>
      <c r="H11" s="10">
        <f>PMT(0.22,7,-'a)ارزش فعلی'!H11)</f>
        <v>4522488.4292349992</v>
      </c>
      <c r="I11" s="10">
        <f>PMT(0.22,7,-'a)ارزش فعلی'!I11)</f>
        <v>4278027.9524325356</v>
      </c>
      <c r="J11" s="11">
        <f t="shared" si="2"/>
        <v>244460.47680246364</v>
      </c>
      <c r="K11" s="10">
        <f>PMT(0.22,7,-'a)ارزش فعلی'!K11)</f>
        <v>3977758.2819473189</v>
      </c>
      <c r="L11" s="10">
        <f>PMT(0.22,7,-'a)ارزش فعلی'!L11)</f>
        <v>3783817.7557225469</v>
      </c>
      <c r="M11" s="11">
        <f t="shared" si="3"/>
        <v>193940.52622477198</v>
      </c>
      <c r="N11" s="10">
        <f>PMT(0.22,7,-'a)ارزش فعلی'!N11)</f>
        <v>3491628.8822618527</v>
      </c>
      <c r="O11" s="10">
        <f>PMT(0.22,7,-'a)ارزش فعلی'!O11)</f>
        <v>3341833.9196413918</v>
      </c>
      <c r="P11" s="11">
        <f t="shared" si="4"/>
        <v>149794.96262046089</v>
      </c>
      <c r="Q11" s="10">
        <f>PMT(0.22,7,-'a)ارزش فعلی'!Q11)</f>
        <v>3009690.5626815534</v>
      </c>
      <c r="R11" s="10">
        <f>PMT(0.22,7,-'a)ارزش فعلی'!R11)</f>
        <v>2893852.3613953195</v>
      </c>
      <c r="S11" s="11">
        <f t="shared" si="5"/>
        <v>115838.20128623396</v>
      </c>
      <c r="T11" s="10">
        <f>PMT(0.22,7,-'a)ارزش فعلی'!T11)</f>
        <v>2567690.6747065731</v>
      </c>
      <c r="U11" s="10">
        <f>PMT(0.22,7,-'a)ارزش فعلی'!U11)</f>
        <v>2477475.0512721753</v>
      </c>
      <c r="V11" s="11">
        <f t="shared" si="6"/>
        <v>90215.623434397858</v>
      </c>
    </row>
    <row r="12" spans="1:22" x14ac:dyDescent="0.3">
      <c r="A12" s="3" t="s">
        <v>12</v>
      </c>
      <c r="B12" s="10">
        <f>PMT(0.22,7,-'a)ارزش فعلی'!B12)</f>
        <v>-208114.37946535961</v>
      </c>
      <c r="C12" s="10">
        <f>PMT(0.22,7,-'a)ارزش فعلی'!C12)</f>
        <v>-195657.07600357468</v>
      </c>
      <c r="D12" s="11">
        <f t="shared" si="0"/>
        <v>-12457.303461784933</v>
      </c>
      <c r="E12" s="10">
        <f>PMT(0.22,7,-'a)ارزش فعلی'!E12)</f>
        <v>-207900.90753365267</v>
      </c>
      <c r="F12" s="10">
        <f>PMT(0.22,7,-'a)ارزش فعلی'!F12)</f>
        <v>-195336.7049158515</v>
      </c>
      <c r="G12" s="11">
        <f t="shared" si="1"/>
        <v>-12564.202617801173</v>
      </c>
      <c r="H12" s="10">
        <f>PMT(0.22,7,-'a)ارزش فعلی'!H12)</f>
        <v>-185590.05835470499</v>
      </c>
      <c r="I12" s="10">
        <f>PMT(0.22,7,-'a)ارزش فعلی'!I12)</f>
        <v>-175558.07292848546</v>
      </c>
      <c r="J12" s="11">
        <f t="shared" si="2"/>
        <v>-10031.985426219529</v>
      </c>
      <c r="K12" s="10">
        <f>PMT(0.22,7,-'a)ارزش فعلی'!K12)</f>
        <v>-163235.95412129469</v>
      </c>
      <c r="L12" s="10">
        <f>PMT(0.22,7,-'a)ارزش فعلی'!L12)</f>
        <v>-155277.12187444541</v>
      </c>
      <c r="M12" s="11">
        <f t="shared" si="3"/>
        <v>-7958.8322468492843</v>
      </c>
      <c r="N12" s="10">
        <f>PMT(0.22,7,-'a)ارزش فعلی'!N12)</f>
        <v>-143286.52822514469</v>
      </c>
      <c r="O12" s="10">
        <f>PMT(0.22,7,-'a)ارزش فعلی'!O12)</f>
        <v>-137139.42387971745</v>
      </c>
      <c r="P12" s="11">
        <f t="shared" si="4"/>
        <v>-6147.104345427244</v>
      </c>
      <c r="Q12" s="10">
        <f>PMT(0.22,7,-'a)ارزش فعلی'!Q12)</f>
        <v>-123509.21220300764</v>
      </c>
      <c r="R12" s="10">
        <f>PMT(0.22,7,-'a)ارزش فعلی'!R12)</f>
        <v>-118755.50801374787</v>
      </c>
      <c r="S12" s="11">
        <f t="shared" si="5"/>
        <v>-4753.7041892597772</v>
      </c>
      <c r="T12" s="10">
        <f>PMT(0.22,7,-'a)ارزش فعلی'!T12)</f>
        <v>-105370.7968448765</v>
      </c>
      <c r="U12" s="10">
        <f>PMT(0.22,7,-'a)ارزش فعلی'!U12)</f>
        <v>-101668.60029714908</v>
      </c>
      <c r="V12" s="11">
        <f t="shared" si="6"/>
        <v>-3702.1965477274207</v>
      </c>
    </row>
    <row r="13" spans="1:22" x14ac:dyDescent="0.3">
      <c r="A13" s="3" t="s">
        <v>13</v>
      </c>
      <c r="B13" s="10">
        <f>PMT(0.22,7,-'a)ارزش فعلی'!B13)</f>
        <v>4863246.8916073386</v>
      </c>
      <c r="C13" s="10">
        <f>PMT(0.22,7,-'a)ارزش فعلی'!C13)</f>
        <v>4572145.9898492331</v>
      </c>
      <c r="D13" s="11">
        <f t="shared" si="0"/>
        <v>291100.90175810549</v>
      </c>
      <c r="E13" s="10">
        <f>PMT(0.22,7,-'a)ارزش فعلی'!E13)</f>
        <v>4858260.1794111393</v>
      </c>
      <c r="F13" s="10">
        <f>PMT(0.22,7,-'a)ارزش فعلی'!F13)</f>
        <v>4564655.3981892914</v>
      </c>
      <c r="G13" s="11">
        <f t="shared" si="1"/>
        <v>293604.78122184798</v>
      </c>
      <c r="H13" s="10">
        <f>PMT(0.22,7,-'a)ارزش فعلی'!H13)</f>
        <v>4336898.3708802946</v>
      </c>
      <c r="I13" s="10">
        <f>PMT(0.22,7,-'a)ارزش فعلی'!I13)</f>
        <v>4102469.6827945961</v>
      </c>
      <c r="J13" s="11">
        <f t="shared" si="2"/>
        <v>234428.68808569852</v>
      </c>
      <c r="K13" s="10">
        <f>PMT(0.22,7,-'a)ارزش فعلی'!K13)</f>
        <v>3814522.327826025</v>
      </c>
      <c r="L13" s="10">
        <f>PMT(0.22,7,-'a)ارزش فعلی'!L13)</f>
        <v>3628540.4726108448</v>
      </c>
      <c r="M13" s="11">
        <f t="shared" si="3"/>
        <v>185981.8552151802</v>
      </c>
      <c r="N13" s="10">
        <f>PMT(0.22,7,-'a)ارزش فعلی'!N13)</f>
        <v>3348342.2218750217</v>
      </c>
      <c r="O13" s="10">
        <f>PMT(0.22,7,-'a)ارزش فعلی'!O13)</f>
        <v>3204694.4957616748</v>
      </c>
      <c r="P13" s="11">
        <f t="shared" si="4"/>
        <v>143647.72611334687</v>
      </c>
      <c r="Q13" s="10">
        <f>PMT(0.22,7,-'a)ارزش فعلی'!Q13)</f>
        <v>2886181.3504785453</v>
      </c>
      <c r="R13" s="10">
        <f>PMT(0.22,7,-'a)ارزش فعلی'!R13)</f>
        <v>2775096.8533815714</v>
      </c>
      <c r="S13" s="11">
        <f t="shared" si="5"/>
        <v>111084.49709697394</v>
      </c>
      <c r="T13" s="10">
        <f>PMT(0.22,7,-'a)ارزش فعلی'!T13)</f>
        <v>2462319.9666561647</v>
      </c>
      <c r="U13" s="10">
        <f>PMT(0.22,7,-'a)ارزش فعلی'!U13)</f>
        <v>2375806.450975026</v>
      </c>
      <c r="V13" s="11">
        <f t="shared" si="6"/>
        <v>86513.515681138728</v>
      </c>
    </row>
    <row r="15" spans="1:22" x14ac:dyDescent="0.3">
      <c r="G15" s="52" t="s">
        <v>52</v>
      </c>
      <c r="H15" s="52"/>
      <c r="I15" s="52"/>
    </row>
    <row r="16" spans="1:22" x14ac:dyDescent="0.3">
      <c r="A16" s="17" t="s">
        <v>14</v>
      </c>
      <c r="B16" s="17" t="s">
        <v>26</v>
      </c>
      <c r="C16" s="17" t="s">
        <v>27</v>
      </c>
      <c r="D16" s="17" t="s">
        <v>15</v>
      </c>
      <c r="E16" s="3" t="s">
        <v>16</v>
      </c>
      <c r="G16" s="6" t="s">
        <v>17</v>
      </c>
      <c r="H16" s="7" t="s">
        <v>19</v>
      </c>
    </row>
    <row r="17" spans="1:8" x14ac:dyDescent="0.3">
      <c r="A17" s="17">
        <v>1399</v>
      </c>
      <c r="B17" s="15">
        <v>-3500000</v>
      </c>
      <c r="C17" s="15">
        <v>0</v>
      </c>
      <c r="D17" s="15">
        <v>-3500000</v>
      </c>
      <c r="E17" s="15">
        <v>-3500000</v>
      </c>
      <c r="G17" s="14">
        <f>SUM(E17:E24)</f>
        <v>269268.80420928804</v>
      </c>
      <c r="H17" s="22">
        <f>PMT(0.22,7,-G17)</f>
        <v>78837.153493161939</v>
      </c>
    </row>
    <row r="18" spans="1:8" x14ac:dyDescent="0.3">
      <c r="A18" s="17">
        <v>1400</v>
      </c>
      <c r="B18" s="15">
        <f>16610451-15616194</f>
        <v>994257</v>
      </c>
      <c r="C18" s="15">
        <v>0</v>
      </c>
      <c r="D18" s="15">
        <f>16610451-15616194</f>
        <v>994257</v>
      </c>
      <c r="E18" s="16">
        <f>PV(22%,1,,-B18)</f>
        <v>814964.75409836066</v>
      </c>
      <c r="H18" s="38"/>
    </row>
    <row r="19" spans="1:8" x14ac:dyDescent="0.3">
      <c r="A19" s="17">
        <v>1401</v>
      </c>
      <c r="B19" s="15">
        <f>20243971-19020544</f>
        <v>1223427</v>
      </c>
      <c r="C19" s="15">
        <v>0</v>
      </c>
      <c r="D19" s="15">
        <f>20243971-19020544</f>
        <v>1223427</v>
      </c>
      <c r="E19" s="16">
        <f>PV(22%,2,,-B19)</f>
        <v>821974.60360118246</v>
      </c>
    </row>
    <row r="20" spans="1:8" x14ac:dyDescent="0.3">
      <c r="A20" s="17">
        <v>1402</v>
      </c>
      <c r="B20" s="15">
        <f>22047229-20855478</f>
        <v>1191751</v>
      </c>
      <c r="C20" s="15">
        <v>0</v>
      </c>
      <c r="D20" s="15">
        <f>22047229-20855478</f>
        <v>1191751</v>
      </c>
      <c r="E20" s="16">
        <f>PV(22%,3,,-B20)</f>
        <v>656305.48371890164</v>
      </c>
    </row>
    <row r="21" spans="1:8" x14ac:dyDescent="0.3">
      <c r="A21" s="17">
        <v>1403</v>
      </c>
      <c r="B21" s="15">
        <f>23657822-22504355</f>
        <v>1153467</v>
      </c>
      <c r="C21" s="15">
        <v>0</v>
      </c>
      <c r="D21" s="15">
        <f>23657822-22504355</f>
        <v>1153467</v>
      </c>
      <c r="E21" s="16">
        <f>PV(0.22,4,,-B21)</f>
        <v>520673.95183867856</v>
      </c>
    </row>
    <row r="22" spans="1:8" x14ac:dyDescent="0.3">
      <c r="A22" s="17">
        <v>1404</v>
      </c>
      <c r="B22" s="15">
        <f>25335196-24248287</f>
        <v>1086909</v>
      </c>
      <c r="C22" s="15">
        <v>0</v>
      </c>
      <c r="D22" s="15">
        <f>25335196-24248287</f>
        <v>1086909</v>
      </c>
      <c r="E22" s="16">
        <f>PV(0.22,5,,-B22)</f>
        <v>402155.51749142702</v>
      </c>
    </row>
    <row r="23" spans="1:8" x14ac:dyDescent="0.3">
      <c r="A23" s="17">
        <v>1405</v>
      </c>
      <c r="B23" s="15">
        <f>26642678-25617244</f>
        <v>1025434</v>
      </c>
      <c r="C23" s="15">
        <v>0</v>
      </c>
      <c r="D23" s="15">
        <f>26642678-25617244</f>
        <v>1025434</v>
      </c>
      <c r="E23" s="16">
        <f>PV(0.22,6,,-B23)</f>
        <v>310991.65036597016</v>
      </c>
    </row>
    <row r="24" spans="1:8" x14ac:dyDescent="0.3">
      <c r="A24" s="17">
        <v>1406</v>
      </c>
      <c r="B24" s="15">
        <f>27730556-26756244</f>
        <v>974312</v>
      </c>
      <c r="C24" s="15">
        <v>0</v>
      </c>
      <c r="D24" s="15">
        <f>27730556-26756244</f>
        <v>974312</v>
      </c>
      <c r="E24" s="16">
        <f>PV(0.22,7,,-B24)</f>
        <v>242202.84309476789</v>
      </c>
    </row>
  </sheetData>
  <mergeCells count="9">
    <mergeCell ref="N1:O1"/>
    <mergeCell ref="Q1:R1"/>
    <mergeCell ref="T1:U1"/>
    <mergeCell ref="G15:I15"/>
    <mergeCell ref="A1:A2"/>
    <mergeCell ref="B1:C1"/>
    <mergeCell ref="E1:F1"/>
    <mergeCell ref="H1:I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35DC-5094-41D2-B186-F1296D30F41A}">
  <dimension ref="A1:V25"/>
  <sheetViews>
    <sheetView rightToLeft="1" workbookViewId="0">
      <selection activeCell="G22" sqref="G22"/>
    </sheetView>
  </sheetViews>
  <sheetFormatPr defaultRowHeight="14.4" x14ac:dyDescent="0.3"/>
  <cols>
    <col min="1" max="22" width="20.77734375" style="5" customWidth="1"/>
    <col min="23" max="16384" width="8.88671875" style="5"/>
  </cols>
  <sheetData>
    <row r="1" spans="1:22" ht="30" customHeight="1" x14ac:dyDescent="0.3">
      <c r="A1" s="53" t="s">
        <v>0</v>
      </c>
      <c r="B1" s="47">
        <v>1400</v>
      </c>
      <c r="C1" s="48"/>
      <c r="D1" s="4" t="s">
        <v>18</v>
      </c>
      <c r="E1" s="47">
        <v>1401</v>
      </c>
      <c r="F1" s="48"/>
      <c r="G1" s="4" t="s">
        <v>18</v>
      </c>
      <c r="H1" s="47">
        <v>1402</v>
      </c>
      <c r="I1" s="48"/>
      <c r="J1" s="4" t="s">
        <v>18</v>
      </c>
      <c r="K1" s="47">
        <v>1403</v>
      </c>
      <c r="L1" s="48"/>
      <c r="M1" s="4" t="s">
        <v>18</v>
      </c>
      <c r="N1" s="47">
        <v>1404</v>
      </c>
      <c r="O1" s="48"/>
      <c r="P1" s="4" t="s">
        <v>18</v>
      </c>
      <c r="Q1" s="47">
        <v>1405</v>
      </c>
      <c r="R1" s="48"/>
      <c r="S1" s="4" t="s">
        <v>18</v>
      </c>
      <c r="T1" s="47">
        <v>1406</v>
      </c>
      <c r="U1" s="48"/>
      <c r="V1" s="4" t="s">
        <v>18</v>
      </c>
    </row>
    <row r="2" spans="1:22" ht="30" customHeight="1" x14ac:dyDescent="0.3">
      <c r="A2" s="54"/>
      <c r="B2" s="3" t="s">
        <v>1</v>
      </c>
      <c r="C2" s="3" t="s">
        <v>2</v>
      </c>
      <c r="D2" s="3"/>
      <c r="E2" s="3" t="s">
        <v>1</v>
      </c>
      <c r="F2" s="3" t="s">
        <v>2</v>
      </c>
      <c r="G2" s="3"/>
      <c r="H2" s="3" t="s">
        <v>1</v>
      </c>
      <c r="I2" s="3" t="s">
        <v>2</v>
      </c>
      <c r="J2" s="3"/>
      <c r="K2" s="3" t="s">
        <v>1</v>
      </c>
      <c r="L2" s="3" t="s">
        <v>2</v>
      </c>
      <c r="M2" s="3"/>
      <c r="N2" s="3" t="s">
        <v>1</v>
      </c>
      <c r="O2" s="3" t="s">
        <v>2</v>
      </c>
      <c r="P2" s="3"/>
      <c r="Q2" s="3" t="s">
        <v>1</v>
      </c>
      <c r="R2" s="3" t="s">
        <v>2</v>
      </c>
      <c r="S2" s="3"/>
      <c r="T2" s="3" t="s">
        <v>1</v>
      </c>
      <c r="U2" s="3" t="s">
        <v>2</v>
      </c>
      <c r="V2" s="3"/>
    </row>
    <row r="3" spans="1:22" x14ac:dyDescent="0.3">
      <c r="A3" s="3" t="s">
        <v>3</v>
      </c>
      <c r="B3" s="10">
        <f>FV(0.22,6,,-'a)ارزش فعلی'!B3)</f>
        <v>290991347.69685894</v>
      </c>
      <c r="C3" s="10">
        <f>FV(0.22,6,,-'a)ارزش فعلی'!C3)</f>
        <v>290991347.69685894</v>
      </c>
      <c r="D3" s="11">
        <f>B3-C3</f>
        <v>0</v>
      </c>
      <c r="E3" s="10">
        <f>FV(0.22,5,,-'a)ارزش فعلی'!E3)</f>
        <v>221592259.84056059</v>
      </c>
      <c r="F3" s="10">
        <f>FV(0.22,5,,-'a)ارزش فعلی'!F3)</f>
        <v>221592259.84056059</v>
      </c>
      <c r="G3" s="11">
        <f>E3-F3</f>
        <v>0</v>
      </c>
      <c r="H3" s="10">
        <f>FV(0.22,4,,-'a)ارزش فعلی'!H3)</f>
        <v>163767458.30319998</v>
      </c>
      <c r="I3" s="10">
        <f>FV(0.22,4,,-'a)ارزش فعلی'!I3)</f>
        <v>163767458.30319998</v>
      </c>
      <c r="J3" s="11">
        <f>H3-I3</f>
        <v>0</v>
      </c>
      <c r="K3" s="10">
        <f>FV(0.22,3,,-'a)ارزش فعلی'!K3)</f>
        <v>121032118</v>
      </c>
      <c r="L3" s="10">
        <f>FV(0.22,3,,-'a)ارزش فعلی'!L3)</f>
        <v>121032118</v>
      </c>
      <c r="M3" s="11">
        <f>K3-L3</f>
        <v>0</v>
      </c>
      <c r="N3" s="10">
        <f>FV(0.22,2,,-'a)ارزش فعلی'!N3)</f>
        <v>89448622.682074726</v>
      </c>
      <c r="O3" s="10">
        <f>FV(0.22,2,,-'a)ارزش فعلی'!O3)</f>
        <v>89448622.682074726</v>
      </c>
      <c r="P3" s="11">
        <f>N3-O3</f>
        <v>0</v>
      </c>
      <c r="Q3" s="10">
        <f>FV(0.22,1,,-'a)ارزش فعلی'!Q3)</f>
        <v>66106883.19691091</v>
      </c>
      <c r="R3" s="10">
        <f>FV(0.22,1,,-'a)ارزش فعلی'!R3)</f>
        <v>66106883.19691091</v>
      </c>
      <c r="S3" s="11">
        <f>Q3-R3</f>
        <v>0</v>
      </c>
      <c r="T3" s="10">
        <f>FV(0.22,0,,-'a)ارزش فعلی'!T3)</f>
        <v>48856202.217940256</v>
      </c>
      <c r="U3" s="10">
        <f>FV(0.22,0,,-'a)ارزش فعلی'!U3)</f>
        <v>48856202.217940256</v>
      </c>
      <c r="V3" s="11">
        <f>T3-U3</f>
        <v>0</v>
      </c>
    </row>
    <row r="4" spans="1:22" x14ac:dyDescent="0.3">
      <c r="A4" s="3" t="s">
        <v>4</v>
      </c>
      <c r="B4" s="10">
        <f>FV(0.22,6,,-'a)ارزش فعلی'!B4)</f>
        <v>-227501621.47754514</v>
      </c>
      <c r="C4" s="10">
        <f>FV(0.22,6,,-'a)ارزش فعلی'!C4)</f>
        <v>-227501621.47754514</v>
      </c>
      <c r="D4" s="11">
        <f t="shared" ref="D4:D13" si="0">B4-C4</f>
        <v>0</v>
      </c>
      <c r="E4" s="10">
        <f>FV(0.22,5,,-'a)ارزش فعلی'!E4)</f>
        <v>-169215182.37519023</v>
      </c>
      <c r="F4" s="10">
        <f>FV(0.22,5,,-'a)ارزش فعلی'!F4)</f>
        <v>-169215182.37519023</v>
      </c>
      <c r="G4" s="11">
        <f t="shared" ref="G4:G13" si="1">E4-F4</f>
        <v>0</v>
      </c>
      <c r="H4" s="10">
        <f>FV(0.22,4,,-'a)ارزش فعلی'!H4)</f>
        <v>-126145851.70199998</v>
      </c>
      <c r="I4" s="10">
        <f>FV(0.22,4,,-'a)ارزش فعلی'!I4)</f>
        <v>-126145851.70199998</v>
      </c>
      <c r="J4" s="11">
        <f t="shared" ref="J4:J13" si="2">H4-I4</f>
        <v>0</v>
      </c>
      <c r="K4" s="10">
        <f>FV(0.22,3,,-'a)ارزش فعلی'!K4)</f>
        <v>-93891233</v>
      </c>
      <c r="L4" s="10">
        <f>FV(0.22,3,,-'a)ارزش فعلی'!L4)</f>
        <v>-93891233</v>
      </c>
      <c r="M4" s="11">
        <f t="shared" ref="M4:M13" si="3">K4-L4</f>
        <v>0</v>
      </c>
      <c r="N4" s="10">
        <f>FV(0.22,2,,-'a)ارزش فعلی'!N4)</f>
        <v>-69936029.96506317</v>
      </c>
      <c r="O4" s="10">
        <f>FV(0.22,2,,-'a)ارزش فعلی'!O4)</f>
        <v>-69936029.96506317</v>
      </c>
      <c r="P4" s="11">
        <f t="shared" ref="P4:P13" si="4">N4-O4</f>
        <v>0</v>
      </c>
      <c r="Q4" s="10">
        <f>FV(0.22,1,,-'a)ارزش فعلی'!Q4)</f>
        <v>-52135489.639090911</v>
      </c>
      <c r="R4" s="10">
        <f>FV(0.22,1,,-'a)ارزش فعلی'!R4)</f>
        <v>-52135489.639090911</v>
      </c>
      <c r="S4" s="11">
        <f t="shared" ref="S4:S13" si="5">Q4-R4</f>
        <v>0</v>
      </c>
      <c r="T4" s="10">
        <f>FV(0.22,0,,-'a)ارزش فعلی'!T4)</f>
        <v>-38900750.913741998</v>
      </c>
      <c r="U4" s="10">
        <f>FV(0.22,0,,-'a)ارزش فعلی'!U4)</f>
        <v>-38900750.913741998</v>
      </c>
      <c r="V4" s="11">
        <f t="shared" ref="V4:V13" si="6">T4-U4</f>
        <v>0</v>
      </c>
    </row>
    <row r="5" spans="1:22" x14ac:dyDescent="0.3">
      <c r="A5" s="3" t="s">
        <v>5</v>
      </c>
      <c r="B5" s="10">
        <f>FV(0.22,6,,-'a)ارزش فعلی'!B5)</f>
        <v>63489726.219313785</v>
      </c>
      <c r="C5" s="10">
        <f>FV(0.22,6,,-'a)ارزش فعلی'!C5)</f>
        <v>63489726.219313785</v>
      </c>
      <c r="D5" s="11">
        <f t="shared" si="0"/>
        <v>0</v>
      </c>
      <c r="E5" s="10">
        <f>FV(0.22,5,,-'a)ارزش فعلی'!E5)</f>
        <v>52377077.465370394</v>
      </c>
      <c r="F5" s="10">
        <f>FV(0.22,5,,-'a)ارزش فعلی'!F5)</f>
        <v>52377077.465370394</v>
      </c>
      <c r="G5" s="11">
        <f t="shared" si="1"/>
        <v>0</v>
      </c>
      <c r="H5" s="10">
        <f>FV(0.22,4,,-'a)ارزش فعلی'!H5)</f>
        <v>37621606.601199992</v>
      </c>
      <c r="I5" s="10">
        <f>FV(0.22,4,,-'a)ارزش فعلی'!I5)</f>
        <v>37621606.601199992</v>
      </c>
      <c r="J5" s="11">
        <f t="shared" si="2"/>
        <v>0</v>
      </c>
      <c r="K5" s="10">
        <f>FV(0.22,3,,-'a)ارزش فعلی'!K5)</f>
        <v>27140885</v>
      </c>
      <c r="L5" s="10">
        <f>FV(0.22,3,,-'a)ارزش فعلی'!L5)</f>
        <v>27140885</v>
      </c>
      <c r="M5" s="11">
        <f t="shared" si="3"/>
        <v>0</v>
      </c>
      <c r="N5" s="10">
        <f>FV(0.22,2,,-'a)ارزش فعلی'!N5)</f>
        <v>19512592.71701156</v>
      </c>
      <c r="O5" s="10">
        <f>FV(0.22,2,,-'a)ارزش فعلی'!O5)</f>
        <v>19512592.71701156</v>
      </c>
      <c r="P5" s="11">
        <f t="shared" si="4"/>
        <v>0</v>
      </c>
      <c r="Q5" s="10">
        <f>FV(0.22,1,,-'a)ارزش فعلی'!Q5)</f>
        <v>13971393.55782</v>
      </c>
      <c r="R5" s="10">
        <f>FV(0.22,1,,-'a)ارزش فعلی'!R5)</f>
        <v>13971393.55782</v>
      </c>
      <c r="S5" s="11">
        <f t="shared" si="5"/>
        <v>0</v>
      </c>
      <c r="T5" s="10">
        <f>FV(0.22,0,,-'a)ارزش فعلی'!T5)</f>
        <v>9955451.3041982614</v>
      </c>
      <c r="U5" s="10">
        <f>FV(0.22,0,,-'a)ارزش فعلی'!U5)</f>
        <v>9955451.3041982614</v>
      </c>
      <c r="V5" s="11">
        <f t="shared" si="6"/>
        <v>0</v>
      </c>
    </row>
    <row r="6" spans="1:22" x14ac:dyDescent="0.3">
      <c r="A6" s="3" t="s">
        <v>6</v>
      </c>
      <c r="B6" s="10">
        <f>FV(0.22,6,,-'a)ارزش فعلی'!B6)</f>
        <v>-11245583.747378595</v>
      </c>
      <c r="C6" s="10">
        <f>FV(0.22,6,,-'a)ارزش فعلی'!C6)</f>
        <v>-11245583.747378595</v>
      </c>
      <c r="D6" s="11">
        <f t="shared" si="0"/>
        <v>0</v>
      </c>
      <c r="E6" s="10">
        <f>FV(0.22,5,,-'a)ارزش فعلی'!E6)</f>
        <v>-8325577.2993404781</v>
      </c>
      <c r="F6" s="10">
        <f>FV(0.22,5,,-'a)ارزش فعلی'!F6)</f>
        <v>-8325577.2993404781</v>
      </c>
      <c r="G6" s="11">
        <f t="shared" si="1"/>
        <v>0</v>
      </c>
      <c r="H6" s="10">
        <f>FV(0.22,4,,-'a)ارزش فعلی'!H6)</f>
        <v>-5244378.8883999996</v>
      </c>
      <c r="I6" s="10">
        <f>FV(0.22,4,,-'a)ارزش فعلی'!I6)</f>
        <v>-5244378.8883999996</v>
      </c>
      <c r="J6" s="11">
        <f t="shared" si="2"/>
        <v>0</v>
      </c>
      <c r="K6" s="10">
        <f>FV(0.22,3,,-'a)ارزش فعلی'!K6)</f>
        <v>-4019752.9999999995</v>
      </c>
      <c r="L6" s="10">
        <f>FV(0.22,3,,-'a)ارزش فعلی'!L6)</f>
        <v>-4019752.9999999995</v>
      </c>
      <c r="M6" s="11">
        <f t="shared" si="3"/>
        <v>0</v>
      </c>
      <c r="N6" s="10">
        <f>FV(0.22,2,,-'a)ارزش فعلی'!N6)</f>
        <v>-3091729.3738242411</v>
      </c>
      <c r="O6" s="10">
        <f>FV(0.22,2,,-'a)ارزش فعلی'!O6)</f>
        <v>-3091729.3738242411</v>
      </c>
      <c r="P6" s="11">
        <f t="shared" si="4"/>
        <v>0</v>
      </c>
      <c r="Q6" s="10">
        <f>FV(0.22,1,,-'a)ارزش فعلی'!Q6)</f>
        <v>-2386560.9716303982</v>
      </c>
      <c r="R6" s="10">
        <f>FV(0.22,1,,-'a)ارزش فعلی'!R6)</f>
        <v>-2386560.9716303982</v>
      </c>
      <c r="S6" s="11">
        <f t="shared" si="5"/>
        <v>0</v>
      </c>
      <c r="T6" s="10">
        <f>FV(0.22,0,,-'a)ارزش فعلی'!T6)</f>
        <v>-1849168.313150255</v>
      </c>
      <c r="U6" s="10">
        <f>FV(0.22,0,,-'a)ارزش فعلی'!U6)</f>
        <v>-1849168.313150255</v>
      </c>
      <c r="V6" s="11">
        <f t="shared" si="6"/>
        <v>0</v>
      </c>
    </row>
    <row r="7" spans="1:22" x14ac:dyDescent="0.3">
      <c r="A7" s="3" t="s">
        <v>7</v>
      </c>
      <c r="B7" s="10">
        <f>FV(0.22,6,,-'a)ارزش فعلی'!B7)</f>
        <v>-7639.8532732439662</v>
      </c>
      <c r="C7" s="10">
        <f>FV(0.22,6,,-'a)ارزش فعلی'!C7)</f>
        <v>-7639.8532732439662</v>
      </c>
      <c r="D7" s="11">
        <f t="shared" si="0"/>
        <v>0</v>
      </c>
      <c r="E7" s="10">
        <f>FV(0.22,5,,-'a)ارزش فعلی'!E7)</f>
        <v>-5132.9301755199995</v>
      </c>
      <c r="F7" s="10">
        <f>FV(0.22,5,,-'a)ارزش فعلی'!F7)</f>
        <v>-5132.9301755199995</v>
      </c>
      <c r="G7" s="11">
        <f t="shared" si="1"/>
        <v>0</v>
      </c>
      <c r="H7" s="10">
        <f>FV(0.22,4,,-'a)ارزش فعلی'!H7)</f>
        <v>-3448.6227999999996</v>
      </c>
      <c r="I7" s="10">
        <f>FV(0.22,4,,-'a)ارزش فعلی'!I7)</f>
        <v>-3448.6227999999996</v>
      </c>
      <c r="J7" s="11">
        <f t="shared" si="2"/>
        <v>0</v>
      </c>
      <c r="K7" s="10">
        <f>FV(0.22,3,,-'a)ارزش فعلی'!K7)</f>
        <v>-2317</v>
      </c>
      <c r="L7" s="10">
        <f>FV(0.22,3,,-'a)ارزش فعلی'!L7)</f>
        <v>-2317</v>
      </c>
      <c r="M7" s="11">
        <f t="shared" si="3"/>
        <v>0</v>
      </c>
      <c r="N7" s="10">
        <f>FV(0.22,2,,-'a)ارزش فعلی'!N7)</f>
        <v>-1556.7051867777482</v>
      </c>
      <c r="O7" s="10">
        <f>FV(0.22,2,,-'a)ارزش فعلی'!O7)</f>
        <v>-1556.7051867777482</v>
      </c>
      <c r="P7" s="11">
        <f t="shared" si="4"/>
        <v>0</v>
      </c>
      <c r="Q7" s="10">
        <f>FV(0.22,1,,-'a)ارزش فعلی'!Q7)</f>
        <v>-1045.8916868971703</v>
      </c>
      <c r="R7" s="10">
        <f>FV(0.22,1,,-'a)ارزش فعلی'!R7)</f>
        <v>-1045.8916868971703</v>
      </c>
      <c r="S7" s="11">
        <f t="shared" si="5"/>
        <v>0</v>
      </c>
      <c r="T7" s="10">
        <f>FV(0.22,0,,-'a)ارزش فعلی'!T7)</f>
        <v>-702.69530159713133</v>
      </c>
      <c r="U7" s="10">
        <f>FV(0.22,0,,-'a)ارزش فعلی'!U7)</f>
        <v>-702.69530159713133</v>
      </c>
      <c r="V7" s="11">
        <f t="shared" si="6"/>
        <v>0</v>
      </c>
    </row>
    <row r="8" spans="1:22" x14ac:dyDescent="0.3">
      <c r="A8" s="3" t="s">
        <v>8</v>
      </c>
      <c r="B8" s="10">
        <f>FV(0.22,6,,-'a)ارزش فعلی'!B8)</f>
        <v>52236502.618661948</v>
      </c>
      <c r="C8" s="10">
        <f>FV(0.22,6,,-'a)ارزش فعلی'!C8)</f>
        <v>52236502.618661948</v>
      </c>
      <c r="D8" s="11">
        <f t="shared" si="0"/>
        <v>0</v>
      </c>
      <c r="E8" s="10">
        <f>FV(0.22,5,,-'a)ارزش فعلی'!E8)</f>
        <v>44046367.235854395</v>
      </c>
      <c r="F8" s="10">
        <f>FV(0.22,5,,-'a)ارزش فعلی'!F8)</f>
        <v>44046367.235854395</v>
      </c>
      <c r="G8" s="11">
        <f t="shared" si="1"/>
        <v>0</v>
      </c>
      <c r="H8" s="10">
        <f>FV(0.22,4,,-'a)ارزش فعلی'!H8)</f>
        <v>32373779.089999992</v>
      </c>
      <c r="I8" s="10">
        <f>FV(0.22,4,,-'a)ارزش فعلی'!I8)</f>
        <v>32373779.089999992</v>
      </c>
      <c r="J8" s="11">
        <f t="shared" si="2"/>
        <v>0</v>
      </c>
      <c r="K8" s="10">
        <f>FV(0.22,3,,-'a)ارزش فعلی'!K8)</f>
        <v>23118815</v>
      </c>
      <c r="L8" s="10">
        <f>FV(0.22,3,,-'a)ارزش فعلی'!L8)</f>
        <v>23118815</v>
      </c>
      <c r="M8" s="11">
        <f t="shared" si="3"/>
        <v>0</v>
      </c>
      <c r="N8" s="10">
        <f>FV(0.22,2,,-'a)ارزش فعلی'!N8)</f>
        <v>16419305.966138138</v>
      </c>
      <c r="O8" s="10">
        <f>FV(0.22,2,,-'a)ارزش فعلی'!O8)</f>
        <v>16419305.966138138</v>
      </c>
      <c r="P8" s="11">
        <f t="shared" si="4"/>
        <v>0</v>
      </c>
      <c r="Q8" s="10">
        <f>FV(0.22,1,,-'a)ارزش فعلی'!Q8)</f>
        <v>11583786.243103616</v>
      </c>
      <c r="R8" s="10">
        <f>FV(0.22,1,,-'a)ارزش فعلی'!R8)</f>
        <v>11583786.243103616</v>
      </c>
      <c r="S8" s="11">
        <f t="shared" si="5"/>
        <v>0</v>
      </c>
      <c r="T8" s="10">
        <f>FV(0.22,0,,-'a)ارزش فعلی'!T8)</f>
        <v>8105580.2957464093</v>
      </c>
      <c r="U8" s="10">
        <f>FV(0.22,0,,-'a)ارزش فعلی'!U8)</f>
        <v>8105580.2957464093</v>
      </c>
      <c r="V8" s="11">
        <f t="shared" si="6"/>
        <v>0</v>
      </c>
    </row>
    <row r="9" spans="1:22" x14ac:dyDescent="0.3">
      <c r="A9" s="3" t="s">
        <v>9</v>
      </c>
      <c r="B9" s="10">
        <f>FV(0.22,6,,-'a)ارزش فعلی'!B9)</f>
        <v>0</v>
      </c>
      <c r="C9" s="10">
        <f>FV(0.22,6,,-'a)ارزش فعلی'!C9)</f>
        <v>-2538924.0485100793</v>
      </c>
      <c r="D9" s="11">
        <f t="shared" si="0"/>
        <v>2538924.0485100793</v>
      </c>
      <c r="E9" s="10">
        <f>FV(0.22,5,,-'a)ارزش فعلی'!E9)</f>
        <v>0</v>
      </c>
      <c r="F9" s="10">
        <f>FV(0.22,5,,-'a)ارزش فعلی'!F9)</f>
        <v>-1705807.6111999999</v>
      </c>
      <c r="G9" s="11">
        <f t="shared" si="1"/>
        <v>1705807.6111999999</v>
      </c>
      <c r="H9" s="10">
        <f>FV(0.22,4,,-'a)ارزش فعلی'!H9)</f>
        <v>0</v>
      </c>
      <c r="I9" s="10">
        <f>FV(0.22,4,,-'a)ارزش فعلی'!I9)</f>
        <v>-1146067.9999999998</v>
      </c>
      <c r="J9" s="11">
        <f t="shared" si="2"/>
        <v>1146067.9999999998</v>
      </c>
      <c r="K9" s="10">
        <f>FV(0.22,3,,-'a)ارزش فعلی'!K9)</f>
        <v>0</v>
      </c>
      <c r="L9" s="10">
        <f>FV(0.22,3,,-'a)ارزش فعلی'!L9)</f>
        <v>-770000</v>
      </c>
      <c r="M9" s="11">
        <f t="shared" si="3"/>
        <v>770000</v>
      </c>
      <c r="N9" s="10">
        <f>FV(0.22,2,,-'a)ارزش فعلی'!N9)</f>
        <v>0</v>
      </c>
      <c r="O9" s="10">
        <f>FV(0.22,2,,-'a)ارزش فعلی'!O9)</f>
        <v>-517334.04998656287</v>
      </c>
      <c r="P9" s="11">
        <f t="shared" si="4"/>
        <v>517334.04998656287</v>
      </c>
      <c r="Q9" s="10">
        <f>FV(0.22,1,,-'a)ارزش فعلی'!Q9)</f>
        <v>0</v>
      </c>
      <c r="R9" s="10">
        <f>FV(0.22,1,,-'a)ارزش فعلی'!R9)</f>
        <v>-347577.29776038887</v>
      </c>
      <c r="S9" s="11">
        <f t="shared" si="5"/>
        <v>347577.29776038887</v>
      </c>
      <c r="T9" s="10">
        <f>FV(0.22,0,,-'a)ارزش فعلی'!T9)</f>
        <v>0</v>
      </c>
      <c r="U9" s="10">
        <f>FV(0.22,0,,-'a)ارزش فعلی'!U9)</f>
        <v>-233524.11835554213</v>
      </c>
      <c r="V9" s="11">
        <f t="shared" si="6"/>
        <v>233524.11835554213</v>
      </c>
    </row>
    <row r="10" spans="1:22" x14ac:dyDescent="0.3">
      <c r="A10" s="3" t="s">
        <v>10</v>
      </c>
      <c r="B10" s="10">
        <f>FV(0.22,6,,-'a)ارزش فعلی'!B10)</f>
        <v>4876979.637135502</v>
      </c>
      <c r="C10" s="10">
        <f>FV(0.22,6,,-'a)ارزش فعلی'!C10)</f>
        <v>3997242.4543267596</v>
      </c>
      <c r="D10" s="11">
        <f t="shared" si="0"/>
        <v>879737.18280874239</v>
      </c>
      <c r="E10" s="10">
        <f>FV(0.22,5,,-'a)ارزش فعلی'!E10)</f>
        <v>2719958.9734187196</v>
      </c>
      <c r="F10" s="10">
        <f>FV(0.22,5,,-'a)ارزش فعلی'!F10)</f>
        <v>1599482.6289927997</v>
      </c>
      <c r="G10" s="11">
        <f t="shared" si="1"/>
        <v>1120476.3444259199</v>
      </c>
      <c r="H10" s="10">
        <f>FV(0.22,4,,-'a)ارزش فعلی'!H10)</f>
        <v>1845581.7667999999</v>
      </c>
      <c r="I10" s="10">
        <f>FV(0.22,4,,-'a)ارزش فعلی'!I10)</f>
        <v>1141942.1551999997</v>
      </c>
      <c r="J10" s="11">
        <f t="shared" si="2"/>
        <v>703639.61160000018</v>
      </c>
      <c r="K10" s="10">
        <f>FV(0.22,3,,-'a)ارزش فعلی'!K10)</f>
        <v>1551404</v>
      </c>
      <c r="L10" s="10">
        <f>FV(0.22,3,,-'a)ارزش فعلی'!L10)</f>
        <v>1118576</v>
      </c>
      <c r="M10" s="11">
        <f t="shared" si="3"/>
        <v>432828</v>
      </c>
      <c r="N10" s="10">
        <f>FV(0.22,2,,-'a)ارزش فعلی'!N10)</f>
        <v>1330877.4522977695</v>
      </c>
      <c r="O10" s="10">
        <f>FV(0.22,2,,-'a)ارزش فعلی'!O10)</f>
        <v>1086707.8742273585</v>
      </c>
      <c r="P10" s="11">
        <f t="shared" si="4"/>
        <v>244169.57807041099</v>
      </c>
      <c r="Q10" s="10">
        <f>FV(0.22,1,,-'a)ارزش فعلی'!Q10)</f>
        <v>957347.04739134316</v>
      </c>
      <c r="R10" s="10">
        <f>FV(0.22,1,,-'a)ارزش فعلی'!R10)</f>
        <v>822236.07796738402</v>
      </c>
      <c r="S10" s="11">
        <f t="shared" si="5"/>
        <v>135110.96942395915</v>
      </c>
      <c r="T10" s="10">
        <f>FV(0.22,0,,-'a)ارزش فعلی'!T10)</f>
        <v>664383.69867341209</v>
      </c>
      <c r="U10" s="10">
        <f>FV(0.22,0,,-'a)ارزش فعلی'!U10)</f>
        <v>589775.4723614984</v>
      </c>
      <c r="V10" s="11">
        <f t="shared" si="6"/>
        <v>74608.226311913691</v>
      </c>
    </row>
    <row r="11" spans="1:22" x14ac:dyDescent="0.3">
      <c r="A11" s="3" t="s">
        <v>11</v>
      </c>
      <c r="B11" s="10">
        <f>FV(0.22,6,,-'a)ارزش فعلی'!B11)</f>
        <v>57113482.255797453</v>
      </c>
      <c r="C11" s="10">
        <f>FV(0.22,6,,-'a)ارزش فعلی'!C11)</f>
        <v>53694821.024478629</v>
      </c>
      <c r="D11" s="11">
        <f t="shared" si="0"/>
        <v>3418661.231318824</v>
      </c>
      <c r="E11" s="10">
        <f>FV(0.22,5,,-'a)ارزش فعلی'!E11)</f>
        <v>46766326.209273115</v>
      </c>
      <c r="F11" s="10">
        <f>FV(0.22,5,,-'a)ارزش فعلی'!F11)</f>
        <v>43940042.253647193</v>
      </c>
      <c r="G11" s="11">
        <f t="shared" si="1"/>
        <v>2826283.9556259215</v>
      </c>
      <c r="H11" s="10">
        <f>FV(0.22,4,,-'a)ارزش فعلی'!H11)</f>
        <v>34219360.856799997</v>
      </c>
      <c r="I11" s="10">
        <f>FV(0.22,4,,-'a)ارزش فعلی'!I11)</f>
        <v>32369653.245199997</v>
      </c>
      <c r="J11" s="11">
        <f t="shared" si="2"/>
        <v>1849707.6116000004</v>
      </c>
      <c r="K11" s="10">
        <f>FV(0.22,3,,-'a)ارزش فعلی'!K11)</f>
        <v>24670218</v>
      </c>
      <c r="L11" s="10">
        <f>FV(0.22,3,,-'a)ارزش فعلی'!L11)</f>
        <v>23467391</v>
      </c>
      <c r="M11" s="11">
        <f t="shared" si="3"/>
        <v>1202827</v>
      </c>
      <c r="N11" s="10">
        <f>FV(0.22,2,,-'a)ارزش فعلی'!N11)</f>
        <v>17750183.418435909</v>
      </c>
      <c r="O11" s="10">
        <f>FV(0.22,2,,-'a)ارزش فعلی'!O11)</f>
        <v>16988679.790378932</v>
      </c>
      <c r="P11" s="11">
        <f t="shared" si="4"/>
        <v>761503.62805697694</v>
      </c>
      <c r="Q11" s="10">
        <f>FV(0.22,1,,-'a)ارزش فعلی'!Q11)</f>
        <v>12541133.29049496</v>
      </c>
      <c r="R11" s="10">
        <f>FV(0.22,1,,-'a)ارزش فعلی'!R11)</f>
        <v>12058445.023310611</v>
      </c>
      <c r="S11" s="11">
        <f t="shared" si="5"/>
        <v>482688.26718434878</v>
      </c>
      <c r="T11" s="10">
        <f>FV(0.22,0,,-'a)ارزش فعلی'!T11)</f>
        <v>8769963.9944198206</v>
      </c>
      <c r="U11" s="10">
        <f>FV(0.22,0,,-'a)ارزش فعلی'!U11)</f>
        <v>8461831.953030441</v>
      </c>
      <c r="V11" s="11">
        <f t="shared" si="6"/>
        <v>308132.04138937965</v>
      </c>
    </row>
    <row r="12" spans="1:22" x14ac:dyDescent="0.3">
      <c r="A12" s="3" t="s">
        <v>12</v>
      </c>
      <c r="B12" s="10">
        <f>FV(0.22,6,,-'a)ارزش فعلی'!B12)</f>
        <v>-2343776.4109944683</v>
      </c>
      <c r="C12" s="10">
        <f>FV(0.22,6,,-'a)ارزش فعلی'!C12)</f>
        <v>-2203482.7221425115</v>
      </c>
      <c r="D12" s="11">
        <f t="shared" si="0"/>
        <v>-140293.68885195674</v>
      </c>
      <c r="E12" s="10">
        <f>FV(0.22,5,,-'a)ارزش فعلی'!E12)</f>
        <v>-1919157.6213353598</v>
      </c>
      <c r="F12" s="10">
        <f>FV(0.22,5,,-'a)ارزش فعلی'!F12)</f>
        <v>-1803175.9957811199</v>
      </c>
      <c r="G12" s="11">
        <f t="shared" si="1"/>
        <v>-115981.62555423984</v>
      </c>
      <c r="H12" s="10">
        <f>FV(0.22,4,,-'a)ارزش فعلی'!H12)</f>
        <v>-1404265.2131999999</v>
      </c>
      <c r="I12" s="10">
        <f>FV(0.22,4,,-'a)ارزش فعلی'!I12)</f>
        <v>-1328358.3015999997</v>
      </c>
      <c r="J12" s="11">
        <f t="shared" si="2"/>
        <v>-75906.911600000225</v>
      </c>
      <c r="K12" s="10">
        <f>FV(0.22,3,,-'a)ارزش فعلی'!K12)</f>
        <v>-1012396.0000000001</v>
      </c>
      <c r="L12" s="10">
        <f>FV(0.22,3,,-'a)ارزش فعلی'!L12)</f>
        <v>-963034.99999999988</v>
      </c>
      <c r="M12" s="11">
        <f t="shared" si="3"/>
        <v>-49361.000000000233</v>
      </c>
      <c r="N12" s="10">
        <f>FV(0.22,2,,-'a)ارزش فعلی'!N12)</f>
        <v>-728417.09217952169</v>
      </c>
      <c r="O12" s="10">
        <f>FV(0.22,2,,-'a)ارزش فعلی'!O12)</f>
        <v>-697167.42811072303</v>
      </c>
      <c r="P12" s="11">
        <f t="shared" si="4"/>
        <v>-31249.664068798651</v>
      </c>
      <c r="Q12" s="10">
        <f>FV(0.22,1,,-'a)ارزش فعلی'!Q12)</f>
        <v>-514652.73940383981</v>
      </c>
      <c r="R12" s="10">
        <f>FV(0.22,1,,-'a)ارزش فعلی'!R12)</f>
        <v>-494844.44462420163</v>
      </c>
      <c r="S12" s="11">
        <f t="shared" si="5"/>
        <v>-19808.294779638178</v>
      </c>
      <c r="T12" s="10">
        <f>FV(0.22,0,,-'a)ارزش فعلی'!T12)</f>
        <v>-359894.63353037852</v>
      </c>
      <c r="U12" s="10">
        <f>FV(0.22,0,,-'a)ارزش فعلی'!U12)</f>
        <v>-347249.75743853959</v>
      </c>
      <c r="V12" s="11">
        <f t="shared" si="6"/>
        <v>-12644.876091838931</v>
      </c>
    </row>
    <row r="13" spans="1:22" x14ac:dyDescent="0.3">
      <c r="A13" s="3" t="s">
        <v>13</v>
      </c>
      <c r="B13" s="10">
        <f>FV(0.22,6,,-'a)ارزش فعلی'!B13)</f>
        <v>54769705.844802983</v>
      </c>
      <c r="C13" s="10">
        <f>FV(0.22,6,,-'a)ارزش فعلی'!C13)</f>
        <v>51491338.302336119</v>
      </c>
      <c r="D13" s="11">
        <f t="shared" si="0"/>
        <v>3278367.542466864</v>
      </c>
      <c r="E13" s="10">
        <f>FV(0.22,5,,-'a)ارزش فعلی'!E13)</f>
        <v>44847168.587937757</v>
      </c>
      <c r="F13" s="10">
        <f>FV(0.22,5,,-'a)ارزش فعلی'!F13)</f>
        <v>42136868.473200634</v>
      </c>
      <c r="G13" s="11">
        <f t="shared" si="1"/>
        <v>2710300.1147371233</v>
      </c>
      <c r="H13" s="10">
        <f>FV(0.22,4,,-'a)ارزش فعلی'!H13)</f>
        <v>32815095.643599994</v>
      </c>
      <c r="I13" s="10">
        <f>FV(0.22,4,,-'a)ارزش فعلی'!I13)</f>
        <v>31041293.455199994</v>
      </c>
      <c r="J13" s="11">
        <f t="shared" si="2"/>
        <v>1773802.1884000003</v>
      </c>
      <c r="K13" s="10">
        <f>FV(0.22,3,,-'a)ارزش فعلی'!K13)</f>
        <v>23657822</v>
      </c>
      <c r="L13" s="10">
        <f>FV(0.22,3,,-'a)ارزش فعلی'!L13)</f>
        <v>22504355</v>
      </c>
      <c r="M13" s="11">
        <f t="shared" si="3"/>
        <v>1153467</v>
      </c>
      <c r="N13" s="10">
        <f>FV(0.22,2,,-'a)ارزش فعلی'!N13)</f>
        <v>17021765.654393982</v>
      </c>
      <c r="O13" s="10">
        <f>FV(0.22,2,,-'a)ارزش فعلی'!O13)</f>
        <v>16291512.362268211</v>
      </c>
      <c r="P13" s="11">
        <f t="shared" si="4"/>
        <v>730253.29212577082</v>
      </c>
      <c r="Q13" s="10">
        <f>FV(0.22,1,,-'a)ارزش فعلی'!Q13)</f>
        <v>12026480.551091118</v>
      </c>
      <c r="R13" s="10">
        <f>FV(0.22,1,,-'a)ارزش فعلی'!R13)</f>
        <v>11563600.578686411</v>
      </c>
      <c r="S13" s="11">
        <f t="shared" si="5"/>
        <v>462879.97240470722</v>
      </c>
      <c r="T13" s="10">
        <f>FV(0.22,0,,-'a)ارزش فعلی'!T13)</f>
        <v>8410069.6641675178</v>
      </c>
      <c r="U13" s="10">
        <f>FV(0.22,0,,-'a)ارزش فعلی'!U13)</f>
        <v>8114582.1955919014</v>
      </c>
      <c r="V13" s="11">
        <f t="shared" si="6"/>
        <v>295487.46857561637</v>
      </c>
    </row>
    <row r="16" spans="1:22" x14ac:dyDescent="0.3">
      <c r="G16" s="55" t="s">
        <v>53</v>
      </c>
      <c r="H16" s="55"/>
      <c r="I16" s="55"/>
    </row>
    <row r="17" spans="1:9" x14ac:dyDescent="0.3">
      <c r="A17" s="17" t="s">
        <v>14</v>
      </c>
      <c r="B17" s="17" t="s">
        <v>26</v>
      </c>
      <c r="C17" s="17" t="s">
        <v>27</v>
      </c>
      <c r="D17" s="17" t="s">
        <v>15</v>
      </c>
      <c r="E17" s="3" t="s">
        <v>16</v>
      </c>
      <c r="G17" s="25" t="s">
        <v>36</v>
      </c>
      <c r="H17" s="26" t="s">
        <v>19</v>
      </c>
      <c r="I17" s="26" t="s">
        <v>20</v>
      </c>
    </row>
    <row r="18" spans="1:9" x14ac:dyDescent="0.3">
      <c r="A18" s="17">
        <v>1399</v>
      </c>
      <c r="B18" s="15">
        <v>-3500000</v>
      </c>
      <c r="C18" s="15">
        <v>0</v>
      </c>
      <c r="D18" s="15">
        <v>-3500000</v>
      </c>
      <c r="E18" s="15">
        <v>-3500000</v>
      </c>
      <c r="F18" s="23"/>
      <c r="G18" s="28">
        <f>SUM(E18:E25)</f>
        <v>269268.80420928804</v>
      </c>
      <c r="H18" s="27">
        <f>PMT(0.22,7,-G18)</f>
        <v>78837.153493161939</v>
      </c>
      <c r="I18" s="27">
        <f>FV(0.22,7,,-G18)</f>
        <v>1083190.5349026318</v>
      </c>
    </row>
    <row r="19" spans="1:9" x14ac:dyDescent="0.3">
      <c r="A19" s="17">
        <v>1400</v>
      </c>
      <c r="B19" s="15">
        <f>16610451-15616194</f>
        <v>994257</v>
      </c>
      <c r="C19" s="15">
        <v>0</v>
      </c>
      <c r="D19" s="15">
        <f>16610451-15616194</f>
        <v>994257</v>
      </c>
      <c r="E19" s="16">
        <f>PV(22%,1,,-B19)</f>
        <v>814964.75409836066</v>
      </c>
    </row>
    <row r="20" spans="1:9" ht="15" customHeight="1" x14ac:dyDescent="0.3">
      <c r="A20" s="17">
        <v>1401</v>
      </c>
      <c r="B20" s="15">
        <f>20243971-19020544</f>
        <v>1223427</v>
      </c>
      <c r="C20" s="15">
        <v>0</v>
      </c>
      <c r="D20" s="15">
        <f>20243971-19020544</f>
        <v>1223427</v>
      </c>
      <c r="E20" s="16">
        <f>PV(22%,2,,-B20)</f>
        <v>821974.60360118246</v>
      </c>
    </row>
    <row r="21" spans="1:9" x14ac:dyDescent="0.3">
      <c r="A21" s="17">
        <v>1402</v>
      </c>
      <c r="B21" s="15">
        <f>22047229-20855478</f>
        <v>1191751</v>
      </c>
      <c r="C21" s="15">
        <v>0</v>
      </c>
      <c r="D21" s="15">
        <f>22047229-20855478</f>
        <v>1191751</v>
      </c>
      <c r="E21" s="16">
        <f>PV(22%,3,,-B21)</f>
        <v>656305.48371890164</v>
      </c>
    </row>
    <row r="22" spans="1:9" x14ac:dyDescent="0.3">
      <c r="A22" s="17">
        <v>1403</v>
      </c>
      <c r="B22" s="15">
        <f>23657822-22504355</f>
        <v>1153467</v>
      </c>
      <c r="C22" s="15">
        <v>0</v>
      </c>
      <c r="D22" s="15">
        <f>23657822-22504355</f>
        <v>1153467</v>
      </c>
      <c r="E22" s="16">
        <f>PV(0.22,4,,-B22)</f>
        <v>520673.95183867856</v>
      </c>
    </row>
    <row r="23" spans="1:9" x14ac:dyDescent="0.3">
      <c r="A23" s="17">
        <v>1404</v>
      </c>
      <c r="B23" s="15">
        <f>25335196-24248287</f>
        <v>1086909</v>
      </c>
      <c r="C23" s="15">
        <v>0</v>
      </c>
      <c r="D23" s="15">
        <f>25335196-24248287</f>
        <v>1086909</v>
      </c>
      <c r="E23" s="16">
        <f>PV(0.22,5,,-B23)</f>
        <v>402155.51749142702</v>
      </c>
    </row>
    <row r="24" spans="1:9" x14ac:dyDescent="0.3">
      <c r="A24" s="17">
        <v>1405</v>
      </c>
      <c r="B24" s="15">
        <f>26642678-25617244</f>
        <v>1025434</v>
      </c>
      <c r="C24" s="15">
        <v>0</v>
      </c>
      <c r="D24" s="15">
        <f>26642678-25617244</f>
        <v>1025434</v>
      </c>
      <c r="E24" s="16">
        <f>PV(0.22,6,,-B24)</f>
        <v>310991.65036597016</v>
      </c>
    </row>
    <row r="25" spans="1:9" x14ac:dyDescent="0.3">
      <c r="A25" s="17">
        <v>1406</v>
      </c>
      <c r="B25" s="15">
        <f>27730556-26756244</f>
        <v>974312</v>
      </c>
      <c r="C25" s="15">
        <v>0</v>
      </c>
      <c r="D25" s="15">
        <f>27730556-26756244</f>
        <v>974312</v>
      </c>
      <c r="E25" s="16">
        <f>PV(0.22,7,,-B25)</f>
        <v>242202.84309476789</v>
      </c>
    </row>
  </sheetData>
  <mergeCells count="9">
    <mergeCell ref="N1:O1"/>
    <mergeCell ref="Q1:R1"/>
    <mergeCell ref="T1:U1"/>
    <mergeCell ref="G16:I16"/>
    <mergeCell ref="A1:A2"/>
    <mergeCell ref="B1:C1"/>
    <mergeCell ref="E1:F1"/>
    <mergeCell ref="H1:I1"/>
    <mergeCell ref="K1:L1"/>
  </mergeCells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2524-5C91-43DC-BF76-4ECAD21AB845}">
  <dimension ref="A1:N15"/>
  <sheetViews>
    <sheetView rightToLeft="1" workbookViewId="0">
      <selection activeCell="E12" sqref="E12"/>
    </sheetView>
  </sheetViews>
  <sheetFormatPr defaultRowHeight="14.4" x14ac:dyDescent="0.3"/>
  <cols>
    <col min="1" max="6" width="8.88671875" style="30"/>
    <col min="7" max="13" width="20.77734375" style="30" customWidth="1"/>
    <col min="14" max="16384" width="8.88671875" style="30"/>
  </cols>
  <sheetData>
    <row r="1" spans="1:14" x14ac:dyDescent="0.3">
      <c r="A1" s="58"/>
      <c r="B1" s="58"/>
      <c r="C1" s="58"/>
      <c r="D1" s="5"/>
      <c r="F1" s="5"/>
      <c r="G1" s="5"/>
      <c r="H1" s="5"/>
      <c r="I1" s="5"/>
      <c r="J1" s="5"/>
      <c r="K1" s="5"/>
      <c r="L1" s="5"/>
      <c r="M1" s="5"/>
      <c r="N1" s="5"/>
    </row>
    <row r="2" spans="1:14" ht="28.8" x14ac:dyDescent="0.3">
      <c r="A2" s="5"/>
      <c r="B2" s="58"/>
      <c r="C2" s="58"/>
      <c r="D2" s="5"/>
      <c r="G2" s="32" t="s">
        <v>18</v>
      </c>
      <c r="H2" s="32" t="s">
        <v>18</v>
      </c>
      <c r="I2" s="32" t="s">
        <v>18</v>
      </c>
      <c r="J2" s="32" t="s">
        <v>18</v>
      </c>
      <c r="K2" s="32" t="s">
        <v>18</v>
      </c>
      <c r="L2" s="32" t="s">
        <v>18</v>
      </c>
      <c r="M2" s="32" t="s">
        <v>18</v>
      </c>
    </row>
    <row r="3" spans="1:14" x14ac:dyDescent="0.3">
      <c r="G3" s="33">
        <v>1400</v>
      </c>
      <c r="H3" s="33">
        <v>1401</v>
      </c>
      <c r="I3" s="33">
        <v>1402</v>
      </c>
      <c r="J3" s="33">
        <v>1403</v>
      </c>
      <c r="K3" s="33">
        <v>1404</v>
      </c>
      <c r="L3" s="33">
        <v>1405</v>
      </c>
      <c r="M3" s="33">
        <v>1406</v>
      </c>
    </row>
    <row r="4" spans="1:14" x14ac:dyDescent="0.3">
      <c r="A4" s="60" t="s">
        <v>23</v>
      </c>
      <c r="B4" s="60"/>
      <c r="C4" s="60"/>
      <c r="D4" s="60"/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</row>
    <row r="5" spans="1:14" x14ac:dyDescent="0.3">
      <c r="A5" s="35" t="s">
        <v>24</v>
      </c>
      <c r="B5" s="56">
        <v>-3500000</v>
      </c>
      <c r="C5" s="56"/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</row>
    <row r="6" spans="1:14" ht="45.6" customHeight="1" x14ac:dyDescent="0.3">
      <c r="A6" s="35" t="s">
        <v>21</v>
      </c>
      <c r="B6" s="56">
        <f>SUM(G13:M13)</f>
        <v>-327350</v>
      </c>
      <c r="C6" s="56"/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</row>
    <row r="7" spans="1:14" ht="45.6" customHeight="1" x14ac:dyDescent="0.3">
      <c r="A7" s="35" t="s">
        <v>22</v>
      </c>
      <c r="B7" s="56">
        <f>SUM(G10:M12,G14:M14)</f>
        <v>23603371</v>
      </c>
      <c r="C7" s="56"/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</row>
    <row r="8" spans="1:14" ht="28.8" x14ac:dyDescent="0.3">
      <c r="A8" s="36" t="s">
        <v>25</v>
      </c>
      <c r="B8" s="57">
        <f>B7/-(B5+B6)</f>
        <v>6.1670270552732305</v>
      </c>
      <c r="C8" s="57"/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</row>
    <row r="9" spans="1:14" x14ac:dyDescent="0.3">
      <c r="A9" s="36" t="s">
        <v>49</v>
      </c>
      <c r="B9" s="57">
        <f>(B7+B6)/-B5</f>
        <v>6.6502917142857143</v>
      </c>
      <c r="C9" s="57"/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</row>
    <row r="10" spans="1:14" x14ac:dyDescent="0.3">
      <c r="G10" s="34">
        <v>770000</v>
      </c>
      <c r="H10" s="34">
        <v>770000</v>
      </c>
      <c r="I10" s="34">
        <v>770000</v>
      </c>
      <c r="J10" s="34">
        <v>770000</v>
      </c>
      <c r="K10" s="34">
        <v>770000</v>
      </c>
      <c r="L10" s="34">
        <v>770000</v>
      </c>
      <c r="M10" s="34">
        <v>770000</v>
      </c>
    </row>
    <row r="11" spans="1:14" x14ac:dyDescent="0.3">
      <c r="A11" s="5"/>
      <c r="B11" s="58"/>
      <c r="C11" s="58"/>
      <c r="D11" s="5"/>
      <c r="G11" s="34">
        <v>266805</v>
      </c>
      <c r="H11" s="34">
        <v>505782</v>
      </c>
      <c r="I11" s="34">
        <v>472749</v>
      </c>
      <c r="J11" s="34">
        <v>432828</v>
      </c>
      <c r="K11" s="34">
        <v>363422</v>
      </c>
      <c r="L11" s="34">
        <v>299316</v>
      </c>
      <c r="M11" s="34">
        <v>246006</v>
      </c>
    </row>
    <row r="12" spans="1:14" x14ac:dyDescent="0.3">
      <c r="A12" s="5"/>
      <c r="B12" s="58"/>
      <c r="C12" s="58"/>
      <c r="D12" s="5"/>
      <c r="G12" s="34">
        <v>1036805</v>
      </c>
      <c r="H12" s="34">
        <v>1275782</v>
      </c>
      <c r="I12" s="34">
        <v>1242749</v>
      </c>
      <c r="J12" s="34">
        <v>1202827</v>
      </c>
      <c r="K12" s="34">
        <v>1133422</v>
      </c>
      <c r="L12" s="34">
        <v>1069316</v>
      </c>
      <c r="M12" s="34">
        <v>1016005</v>
      </c>
    </row>
    <row r="13" spans="1:14" x14ac:dyDescent="0.3">
      <c r="A13" s="5"/>
      <c r="B13" s="58"/>
      <c r="C13" s="58"/>
      <c r="D13" s="5"/>
      <c r="G13" s="34">
        <v>-42548</v>
      </c>
      <c r="H13" s="34">
        <v>-52354</v>
      </c>
      <c r="I13" s="34">
        <v>-50999</v>
      </c>
      <c r="J13" s="34">
        <v>-49361</v>
      </c>
      <c r="K13" s="34">
        <v>-46512</v>
      </c>
      <c r="L13" s="34">
        <v>-43882</v>
      </c>
      <c r="M13" s="34">
        <v>-41694</v>
      </c>
    </row>
    <row r="14" spans="1:14" ht="14.4" customHeight="1" x14ac:dyDescent="0.3">
      <c r="A14" s="59" t="s">
        <v>50</v>
      </c>
      <c r="B14" s="59"/>
      <c r="C14" s="59"/>
      <c r="D14" s="59"/>
      <c r="G14" s="34">
        <v>994257</v>
      </c>
      <c r="H14" s="34">
        <v>1223427</v>
      </c>
      <c r="I14" s="34">
        <v>1191751</v>
      </c>
      <c r="J14" s="34">
        <v>1153467</v>
      </c>
      <c r="K14" s="34">
        <v>1086909</v>
      </c>
      <c r="L14" s="34">
        <v>1025434</v>
      </c>
      <c r="M14" s="34">
        <v>974312</v>
      </c>
    </row>
    <row r="15" spans="1:14" x14ac:dyDescent="0.3">
      <c r="A15" s="59"/>
      <c r="B15" s="59"/>
      <c r="C15" s="59"/>
      <c r="D15" s="59"/>
    </row>
  </sheetData>
  <mergeCells count="12">
    <mergeCell ref="B12:C12"/>
    <mergeCell ref="B13:C13"/>
    <mergeCell ref="B5:C5"/>
    <mergeCell ref="A14:D15"/>
    <mergeCell ref="A1:C1"/>
    <mergeCell ref="A4:D4"/>
    <mergeCell ref="B2:C2"/>
    <mergeCell ref="B6:C6"/>
    <mergeCell ref="B7:C7"/>
    <mergeCell ref="B8:C8"/>
    <mergeCell ref="B9:C9"/>
    <mergeCell ref="B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0056-5AEE-49A1-B760-15681498A457}">
  <dimension ref="A1:E17"/>
  <sheetViews>
    <sheetView rightToLeft="1" workbookViewId="0">
      <selection activeCell="E27" sqref="E27"/>
    </sheetView>
  </sheetViews>
  <sheetFormatPr defaultRowHeight="14.4" x14ac:dyDescent="0.3"/>
  <cols>
    <col min="1" max="13" width="20.77734375" style="5" customWidth="1"/>
    <col min="14" max="16384" width="8.88671875" style="5"/>
  </cols>
  <sheetData>
    <row r="1" spans="1:5" x14ac:dyDescent="0.3">
      <c r="A1" s="17" t="s">
        <v>14</v>
      </c>
      <c r="B1" s="17" t="s">
        <v>26</v>
      </c>
      <c r="C1" s="17" t="s">
        <v>27</v>
      </c>
      <c r="D1" s="17" t="s">
        <v>15</v>
      </c>
      <c r="E1" s="26" t="s">
        <v>37</v>
      </c>
    </row>
    <row r="2" spans="1:5" x14ac:dyDescent="0.3">
      <c r="A2" s="17">
        <v>1399</v>
      </c>
      <c r="B2" s="15">
        <v>-3500000</v>
      </c>
      <c r="C2" s="15">
        <v>0</v>
      </c>
      <c r="D2" s="15">
        <v>-3500000</v>
      </c>
      <c r="E2" s="29">
        <f>IRR(D2:D9)</f>
        <v>0.24889454240204323</v>
      </c>
    </row>
    <row r="3" spans="1:5" x14ac:dyDescent="0.3">
      <c r="A3" s="17">
        <v>1400</v>
      </c>
      <c r="B3" s="15">
        <f>16610451-15616194</f>
        <v>994257</v>
      </c>
      <c r="C3" s="15">
        <v>0</v>
      </c>
      <c r="D3" s="15">
        <f>16610451-15616194</f>
        <v>994257</v>
      </c>
      <c r="E3" s="61" t="s">
        <v>38</v>
      </c>
    </row>
    <row r="4" spans="1:5" x14ac:dyDescent="0.3">
      <c r="A4" s="17">
        <v>1401</v>
      </c>
      <c r="B4" s="15">
        <f>20243971-19020544</f>
        <v>1223427</v>
      </c>
      <c r="C4" s="15">
        <v>0</v>
      </c>
      <c r="D4" s="15">
        <f>20243971-19020544</f>
        <v>1223427</v>
      </c>
      <c r="E4" s="62"/>
    </row>
    <row r="5" spans="1:5" x14ac:dyDescent="0.3">
      <c r="A5" s="17">
        <v>1402</v>
      </c>
      <c r="B5" s="15">
        <f>22047229-20855478</f>
        <v>1191751</v>
      </c>
      <c r="C5" s="15">
        <v>0</v>
      </c>
      <c r="D5" s="15">
        <f>22047229-20855478</f>
        <v>1191751</v>
      </c>
      <c r="E5" s="62"/>
    </row>
    <row r="6" spans="1:5" x14ac:dyDescent="0.3">
      <c r="A6" s="17">
        <v>1403</v>
      </c>
      <c r="B6" s="15">
        <f>23657822-22504355</f>
        <v>1153467</v>
      </c>
      <c r="C6" s="15">
        <v>0</v>
      </c>
      <c r="D6" s="15">
        <f>23657822-22504355</f>
        <v>1153467</v>
      </c>
      <c r="E6" s="62"/>
    </row>
    <row r="7" spans="1:5" x14ac:dyDescent="0.3">
      <c r="A7" s="17">
        <v>1404</v>
      </c>
      <c r="B7" s="15">
        <f>25335196-24248287</f>
        <v>1086909</v>
      </c>
      <c r="C7" s="15">
        <v>0</v>
      </c>
      <c r="D7" s="15">
        <f>25335196-24248287</f>
        <v>1086909</v>
      </c>
      <c r="E7" s="62"/>
    </row>
    <row r="8" spans="1:5" x14ac:dyDescent="0.3">
      <c r="A8" s="17">
        <v>1405</v>
      </c>
      <c r="B8" s="15">
        <f>26642678-25617244</f>
        <v>1025434</v>
      </c>
      <c r="C8" s="15">
        <v>0</v>
      </c>
      <c r="D8" s="15">
        <f>26642678-25617244</f>
        <v>1025434</v>
      </c>
      <c r="E8" s="62"/>
    </row>
    <row r="9" spans="1:5" x14ac:dyDescent="0.3">
      <c r="A9" s="17">
        <v>1406</v>
      </c>
      <c r="B9" s="15">
        <f>27730556-26756244</f>
        <v>974312</v>
      </c>
      <c r="C9" s="15">
        <v>0</v>
      </c>
      <c r="D9" s="15">
        <f>27730556-26756244</f>
        <v>974312</v>
      </c>
      <c r="E9" s="62"/>
    </row>
    <row r="11" spans="1:5" x14ac:dyDescent="0.3">
      <c r="A11" s="37" t="s">
        <v>51</v>
      </c>
      <c r="B11" s="8"/>
    </row>
    <row r="12" spans="1:5" x14ac:dyDescent="0.3">
      <c r="A12" s="21" t="s">
        <v>29</v>
      </c>
      <c r="B12" s="19">
        <v>0.22</v>
      </c>
    </row>
    <row r="13" spans="1:5" x14ac:dyDescent="0.3">
      <c r="A13" s="21" t="s">
        <v>30</v>
      </c>
      <c r="B13" s="20">
        <v>269269</v>
      </c>
    </row>
    <row r="14" spans="1:5" x14ac:dyDescent="0.3">
      <c r="A14" s="21" t="s">
        <v>31</v>
      </c>
      <c r="B14" s="29">
        <v>0.25</v>
      </c>
    </row>
    <row r="15" spans="1:5" x14ac:dyDescent="0.3">
      <c r="A15" s="21" t="s">
        <v>32</v>
      </c>
      <c r="B15" s="18" t="s">
        <v>34</v>
      </c>
    </row>
    <row r="16" spans="1:5" x14ac:dyDescent="0.3">
      <c r="A16" s="21" t="s">
        <v>33</v>
      </c>
      <c r="B16" s="18">
        <v>6</v>
      </c>
    </row>
    <row r="17" spans="1:3" x14ac:dyDescent="0.3">
      <c r="A17" s="8"/>
      <c r="B17" s="8"/>
      <c r="C17" s="8"/>
    </row>
  </sheetData>
  <mergeCells count="1">
    <mergeCell ref="E3:E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1C38-7D48-476F-B089-EFD283025D72}">
  <dimension ref="A1:H24"/>
  <sheetViews>
    <sheetView rightToLeft="1" workbookViewId="0">
      <selection activeCell="E23" sqref="E23"/>
    </sheetView>
  </sheetViews>
  <sheetFormatPr defaultRowHeight="14.4" x14ac:dyDescent="0.3"/>
  <cols>
    <col min="1" max="19" width="20.77734375" style="5" customWidth="1"/>
    <col min="20" max="16384" width="8.88671875" style="5"/>
  </cols>
  <sheetData>
    <row r="1" spans="1:8" x14ac:dyDescent="0.3">
      <c r="A1" s="17" t="s">
        <v>14</v>
      </c>
      <c r="B1" s="17" t="s">
        <v>26</v>
      </c>
      <c r="C1" s="17" t="s">
        <v>27</v>
      </c>
      <c r="D1" s="17" t="s">
        <v>15</v>
      </c>
      <c r="E1" s="3" t="s">
        <v>16</v>
      </c>
      <c r="F1" s="1"/>
      <c r="G1" s="1"/>
    </row>
    <row r="2" spans="1:8" x14ac:dyDescent="0.3">
      <c r="A2" s="17">
        <v>1399</v>
      </c>
      <c r="B2" s="15">
        <v>-3500000</v>
      </c>
      <c r="C2" s="15">
        <v>0</v>
      </c>
      <c r="D2" s="15">
        <v>-3500000</v>
      </c>
      <c r="E2" s="15">
        <v>-3500000</v>
      </c>
      <c r="F2" s="6" t="s">
        <v>17</v>
      </c>
      <c r="G2" s="1"/>
    </row>
    <row r="3" spans="1:8" x14ac:dyDescent="0.3">
      <c r="A3" s="17">
        <v>1400</v>
      </c>
      <c r="B3" s="15">
        <f>16610451-15616194</f>
        <v>994257</v>
      </c>
      <c r="C3" s="15">
        <v>0</v>
      </c>
      <c r="D3" s="15">
        <f>16610451-15616194</f>
        <v>994257</v>
      </c>
      <c r="E3" s="16">
        <f>PV(22%,1,,-B3)</f>
        <v>814964.75409836066</v>
      </c>
      <c r="F3" s="14">
        <f>SUM(E2:E9)</f>
        <v>269268.80420928804</v>
      </c>
      <c r="G3" s="8"/>
    </row>
    <row r="4" spans="1:8" x14ac:dyDescent="0.3">
      <c r="A4" s="17">
        <v>1401</v>
      </c>
      <c r="B4" s="15">
        <f>20243971-19020544</f>
        <v>1223427</v>
      </c>
      <c r="C4" s="15">
        <v>0</v>
      </c>
      <c r="D4" s="15">
        <f>20243971-19020544</f>
        <v>1223427</v>
      </c>
      <c r="E4" s="16">
        <f>PV(22%,2,,-B4)</f>
        <v>821974.60360118246</v>
      </c>
      <c r="F4" s="8"/>
      <c r="G4" s="8"/>
    </row>
    <row r="5" spans="1:8" x14ac:dyDescent="0.3">
      <c r="A5" s="17">
        <v>1402</v>
      </c>
      <c r="B5" s="15">
        <f>22047229-20855478</f>
        <v>1191751</v>
      </c>
      <c r="C5" s="15">
        <v>0</v>
      </c>
      <c r="D5" s="15">
        <f>22047229-20855478</f>
        <v>1191751</v>
      </c>
      <c r="E5" s="16">
        <f>PV(22%,3,,-B5)</f>
        <v>656305.48371890164</v>
      </c>
      <c r="F5" s="8"/>
      <c r="G5" s="8"/>
    </row>
    <row r="6" spans="1:8" x14ac:dyDescent="0.3">
      <c r="A6" s="17">
        <v>1403</v>
      </c>
      <c r="B6" s="15">
        <f>23657822-22504355</f>
        <v>1153467</v>
      </c>
      <c r="C6" s="15">
        <v>0</v>
      </c>
      <c r="D6" s="15">
        <f>23657822-22504355</f>
        <v>1153467</v>
      </c>
      <c r="E6" s="16">
        <f>PV(0.22,4,,-B6)</f>
        <v>520673.95183867856</v>
      </c>
      <c r="F6" s="8"/>
      <c r="G6" s="8"/>
    </row>
    <row r="7" spans="1:8" x14ac:dyDescent="0.3">
      <c r="A7" s="17">
        <v>1404</v>
      </c>
      <c r="B7" s="15">
        <f>25335196-24248287</f>
        <v>1086909</v>
      </c>
      <c r="C7" s="15">
        <v>0</v>
      </c>
      <c r="D7" s="15">
        <f>25335196-24248287</f>
        <v>1086909</v>
      </c>
      <c r="E7" s="16">
        <f>PV(0.22,5,,-B7)</f>
        <v>402155.51749142702</v>
      </c>
      <c r="F7" s="8"/>
      <c r="G7" s="8"/>
    </row>
    <row r="8" spans="1:8" x14ac:dyDescent="0.3">
      <c r="A8" s="17">
        <v>1405</v>
      </c>
      <c r="B8" s="15">
        <f>26642678-25617244</f>
        <v>1025434</v>
      </c>
      <c r="C8" s="15">
        <v>0</v>
      </c>
      <c r="D8" s="15">
        <f>26642678-25617244</f>
        <v>1025434</v>
      </c>
      <c r="E8" s="16">
        <f>PV(0.22,6,,-B8)</f>
        <v>310991.65036597016</v>
      </c>
      <c r="F8" s="8"/>
      <c r="G8" s="8"/>
    </row>
    <row r="9" spans="1:8" x14ac:dyDescent="0.3">
      <c r="A9" s="17">
        <v>1406</v>
      </c>
      <c r="B9" s="15">
        <f>27730556-26756244</f>
        <v>974312</v>
      </c>
      <c r="C9" s="15">
        <v>0</v>
      </c>
      <c r="D9" s="15">
        <f>27730556-26756244</f>
        <v>974312</v>
      </c>
      <c r="E9" s="16">
        <f>PV(0.22,7,,-B9)</f>
        <v>242202.84309476789</v>
      </c>
      <c r="F9" s="8"/>
      <c r="G9" s="8"/>
    </row>
    <row r="10" spans="1:8" x14ac:dyDescent="0.3">
      <c r="A10" s="24" t="s">
        <v>43</v>
      </c>
    </row>
    <row r="11" spans="1:8" x14ac:dyDescent="0.3">
      <c r="A11" s="17">
        <v>1400</v>
      </c>
      <c r="B11" s="16">
        <f>D3/356</f>
        <v>2792.8567415730336</v>
      </c>
      <c r="C11" s="15"/>
      <c r="D11" s="15"/>
      <c r="E11" s="42" t="s">
        <v>47</v>
      </c>
      <c r="G11" s="37" t="s">
        <v>51</v>
      </c>
      <c r="H11" s="8"/>
    </row>
    <row r="12" spans="1:8" x14ac:dyDescent="0.3">
      <c r="A12" s="17">
        <v>1401</v>
      </c>
      <c r="B12" s="16">
        <f t="shared" ref="B12:B17" si="0">D4/356</f>
        <v>3436.5926966292136</v>
      </c>
      <c r="C12" s="15"/>
      <c r="D12" s="15">
        <f>D2+D3</f>
        <v>-2505743</v>
      </c>
      <c r="E12" s="44">
        <v>365</v>
      </c>
      <c r="G12" s="21" t="s">
        <v>29</v>
      </c>
      <c r="H12" s="19">
        <v>0.22</v>
      </c>
    </row>
    <row r="13" spans="1:8" x14ac:dyDescent="0.3">
      <c r="A13" s="17">
        <v>1402</v>
      </c>
      <c r="B13" s="16">
        <f t="shared" si="0"/>
        <v>3347.6151685393256</v>
      </c>
      <c r="C13" s="15"/>
      <c r="D13" s="15">
        <f>D2+D3+D4</f>
        <v>-1282316</v>
      </c>
      <c r="E13" s="44">
        <v>365</v>
      </c>
      <c r="G13" s="21" t="s">
        <v>30</v>
      </c>
      <c r="H13" s="20">
        <v>269269</v>
      </c>
    </row>
    <row r="14" spans="1:8" x14ac:dyDescent="0.3">
      <c r="A14" s="17">
        <v>1403</v>
      </c>
      <c r="B14" s="16">
        <f t="shared" si="0"/>
        <v>3240.075842696629</v>
      </c>
      <c r="C14" s="15"/>
      <c r="D14" s="15">
        <f>D13+D5</f>
        <v>-90565</v>
      </c>
      <c r="E14" s="41">
        <v>365</v>
      </c>
      <c r="G14" s="21" t="s">
        <v>31</v>
      </c>
      <c r="H14" s="40">
        <v>0.25</v>
      </c>
    </row>
    <row r="15" spans="1:8" x14ac:dyDescent="0.3">
      <c r="A15" s="17">
        <v>1404</v>
      </c>
      <c r="B15" s="16">
        <f t="shared" si="0"/>
        <v>3053.1151685393256</v>
      </c>
      <c r="C15" s="15"/>
      <c r="D15" s="16">
        <f>D14+B14*C17</f>
        <v>0</v>
      </c>
      <c r="E15" s="41">
        <v>27.951506198270089</v>
      </c>
      <c r="G15" s="21" t="s">
        <v>32</v>
      </c>
      <c r="H15" s="26" t="s">
        <v>34</v>
      </c>
    </row>
    <row r="16" spans="1:8" x14ac:dyDescent="0.3">
      <c r="A16" s="17">
        <v>1405</v>
      </c>
      <c r="B16" s="16">
        <f t="shared" si="0"/>
        <v>2880.432584269663</v>
      </c>
      <c r="C16" s="15"/>
      <c r="D16" s="15"/>
      <c r="E16" s="22" t="s">
        <v>48</v>
      </c>
      <c r="G16" s="21" t="s">
        <v>33</v>
      </c>
      <c r="H16" s="18">
        <v>6</v>
      </c>
    </row>
    <row r="17" spans="1:8" x14ac:dyDescent="0.3">
      <c r="A17" s="17">
        <v>1406</v>
      </c>
      <c r="B17" s="16">
        <f t="shared" si="0"/>
        <v>2736.8314606741574</v>
      </c>
      <c r="C17" s="15">
        <v>27.951506198270089</v>
      </c>
      <c r="D17" s="15" t="s">
        <v>46</v>
      </c>
      <c r="E17" s="16"/>
    </row>
    <row r="19" spans="1:8" x14ac:dyDescent="0.3">
      <c r="G19" s="37" t="s">
        <v>51</v>
      </c>
      <c r="H19" s="8"/>
    </row>
    <row r="20" spans="1:8" x14ac:dyDescent="0.3">
      <c r="G20" s="21" t="s">
        <v>29</v>
      </c>
      <c r="H20" s="19">
        <v>0.22</v>
      </c>
    </row>
    <row r="21" spans="1:8" x14ac:dyDescent="0.3">
      <c r="A21" s="43" t="s">
        <v>42</v>
      </c>
      <c r="B21" s="15"/>
      <c r="G21" s="21" t="s">
        <v>30</v>
      </c>
      <c r="H21" s="20">
        <v>269269</v>
      </c>
    </row>
    <row r="22" spans="1:8" x14ac:dyDescent="0.3">
      <c r="A22" s="15" t="s">
        <v>44</v>
      </c>
      <c r="B22" s="31">
        <f>NPV(0.22,D3:D9)</f>
        <v>3769268.8042092887</v>
      </c>
      <c r="G22" s="21" t="s">
        <v>31</v>
      </c>
      <c r="H22" s="40">
        <v>0.25</v>
      </c>
    </row>
    <row r="23" spans="1:8" x14ac:dyDescent="0.3">
      <c r="A23" s="15" t="s">
        <v>39</v>
      </c>
      <c r="B23" s="31">
        <f>PMT(0.22,7,-B22)</f>
        <v>1103575.3812887643</v>
      </c>
      <c r="G23" s="21" t="s">
        <v>32</v>
      </c>
      <c r="H23" s="18" t="s">
        <v>34</v>
      </c>
    </row>
    <row r="24" spans="1:8" x14ac:dyDescent="0.3">
      <c r="A24" s="15" t="s">
        <v>45</v>
      </c>
      <c r="B24" s="7">
        <f>NPER(0.22,B23,E2)</f>
        <v>6.0167789635870674</v>
      </c>
      <c r="G24" s="21" t="s">
        <v>33</v>
      </c>
      <c r="H24" s="26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643D-51F6-4B89-BE32-F73E587A2DEE}">
  <dimension ref="A1:G9"/>
  <sheetViews>
    <sheetView rightToLeft="1" workbookViewId="0">
      <selection activeCell="G2" sqref="G2"/>
    </sheetView>
  </sheetViews>
  <sheetFormatPr defaultRowHeight="14.4" x14ac:dyDescent="0.3"/>
  <cols>
    <col min="1" max="15" width="20.77734375" style="5" customWidth="1"/>
    <col min="16" max="16384" width="8.88671875" style="5"/>
  </cols>
  <sheetData>
    <row r="1" spans="1:7" x14ac:dyDescent="0.3">
      <c r="A1" s="17" t="s">
        <v>14</v>
      </c>
      <c r="B1" s="17" t="s">
        <v>26</v>
      </c>
      <c r="C1" s="17" t="s">
        <v>27</v>
      </c>
      <c r="D1" s="17" t="s">
        <v>15</v>
      </c>
      <c r="E1" s="3" t="s">
        <v>16</v>
      </c>
      <c r="G1" s="25" t="s">
        <v>36</v>
      </c>
    </row>
    <row r="2" spans="1:7" x14ac:dyDescent="0.3">
      <c r="A2" s="17">
        <v>1399</v>
      </c>
      <c r="B2" s="15">
        <v>-3500000</v>
      </c>
      <c r="C2" s="15">
        <v>0</v>
      </c>
      <c r="D2" s="15">
        <v>-3500000</v>
      </c>
      <c r="E2" s="15">
        <v>-3500000</v>
      </c>
      <c r="G2" s="45">
        <f>SUM(E2:E9)</f>
        <v>269268.80420928804</v>
      </c>
    </row>
    <row r="3" spans="1:7" x14ac:dyDescent="0.3">
      <c r="A3" s="17">
        <v>1400</v>
      </c>
      <c r="B3" s="15">
        <f>16610451-15616194</f>
        <v>994257</v>
      </c>
      <c r="C3" s="15">
        <v>0</v>
      </c>
      <c r="D3" s="15">
        <f>16610451-15616194</f>
        <v>994257</v>
      </c>
      <c r="E3" s="16">
        <f>PV(22%,1,,-B3)</f>
        <v>814964.75409836066</v>
      </c>
      <c r="G3" s="26" t="s">
        <v>39</v>
      </c>
    </row>
    <row r="4" spans="1:7" x14ac:dyDescent="0.3">
      <c r="A4" s="17">
        <v>1401</v>
      </c>
      <c r="B4" s="15">
        <f>20243971-19020544</f>
        <v>1223427</v>
      </c>
      <c r="C4" s="15">
        <v>0</v>
      </c>
      <c r="D4" s="15">
        <f>20243971-19020544</f>
        <v>1223427</v>
      </c>
      <c r="E4" s="16">
        <f>PV(22%,2,,-B4)</f>
        <v>821974.60360118246</v>
      </c>
      <c r="G4" s="16">
        <f>PMT(0.22,7,-G2)</f>
        <v>78837.153493161939</v>
      </c>
    </row>
    <row r="5" spans="1:7" x14ac:dyDescent="0.3">
      <c r="A5" s="17">
        <v>1402</v>
      </c>
      <c r="B5" s="15">
        <f>22047229-20855478</f>
        <v>1191751</v>
      </c>
      <c r="C5" s="15">
        <v>0</v>
      </c>
      <c r="D5" s="15">
        <f>22047229-20855478</f>
        <v>1191751</v>
      </c>
      <c r="E5" s="16">
        <f>PV(22%,3,,-B5)</f>
        <v>656305.48371890164</v>
      </c>
      <c r="G5" s="26" t="s">
        <v>29</v>
      </c>
    </row>
    <row r="6" spans="1:7" x14ac:dyDescent="0.3">
      <c r="A6" s="17">
        <v>1403</v>
      </c>
      <c r="B6" s="15">
        <f>23657822-22504355</f>
        <v>1153467</v>
      </c>
      <c r="C6" s="15">
        <v>0</v>
      </c>
      <c r="D6" s="15">
        <f>23657822-22504355</f>
        <v>1153467</v>
      </c>
      <c r="E6" s="16">
        <f>PV(0.22,4,,-B6)</f>
        <v>520673.95183867856</v>
      </c>
      <c r="G6" s="15">
        <v>0.25</v>
      </c>
    </row>
    <row r="7" spans="1:7" x14ac:dyDescent="0.3">
      <c r="A7" s="17">
        <v>1404</v>
      </c>
      <c r="B7" s="15">
        <f>25335196-24248287</f>
        <v>1086909</v>
      </c>
      <c r="C7" s="15">
        <v>0</v>
      </c>
      <c r="D7" s="15">
        <f>25335196-24248287</f>
        <v>1086909</v>
      </c>
      <c r="E7" s="16">
        <f>PV(0.22,5,,-B7)</f>
        <v>402155.51749142702</v>
      </c>
      <c r="G7" s="63" t="s">
        <v>40</v>
      </c>
    </row>
    <row r="8" spans="1:7" x14ac:dyDescent="0.3">
      <c r="A8" s="17">
        <v>1405</v>
      </c>
      <c r="B8" s="15">
        <f>26642678-25617244</f>
        <v>1025434</v>
      </c>
      <c r="C8" s="15">
        <v>0</v>
      </c>
      <c r="D8" s="15">
        <f>26642678-25617244</f>
        <v>1025434</v>
      </c>
      <c r="E8" s="16">
        <f>PV(0.22,6,,-B8)</f>
        <v>310991.65036597016</v>
      </c>
      <c r="G8" s="63"/>
    </row>
    <row r="9" spans="1:7" x14ac:dyDescent="0.3">
      <c r="A9" s="17">
        <v>1406</v>
      </c>
      <c r="B9" s="15">
        <f>27730556-26756244</f>
        <v>974312</v>
      </c>
      <c r="C9" s="15">
        <v>0</v>
      </c>
      <c r="D9" s="15">
        <f>27730556-26756244</f>
        <v>974312</v>
      </c>
      <c r="E9" s="16">
        <f>PV(0.22,7,,-B9)</f>
        <v>242202.84309476789</v>
      </c>
      <c r="G9" s="16">
        <f>G4/G6</f>
        <v>315348.61397264776</v>
      </c>
    </row>
  </sheetData>
  <mergeCells count="1">
    <mergeCell ref="G7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DE28-95BB-4049-A234-E76A84534389}">
  <dimension ref="A1:H101"/>
  <sheetViews>
    <sheetView rightToLeft="1" tabSelected="1" zoomScale="102" zoomScaleNormal="102" workbookViewId="0">
      <selection activeCell="F17" sqref="F17"/>
    </sheetView>
  </sheetViews>
  <sheetFormatPr defaultRowHeight="14.4" x14ac:dyDescent="0.3"/>
  <cols>
    <col min="1" max="1" width="8.88671875" style="5"/>
    <col min="2" max="2" width="26.88671875" style="5" customWidth="1"/>
    <col min="3" max="5" width="8.88671875" style="5"/>
    <col min="6" max="6" width="14.6640625" style="5" customWidth="1"/>
    <col min="7" max="16384" width="8.88671875" style="5"/>
  </cols>
  <sheetData>
    <row r="1" spans="1:8" x14ac:dyDescent="0.3">
      <c r="A1" s="17" t="s">
        <v>41</v>
      </c>
      <c r="B1" s="17" t="s">
        <v>16</v>
      </c>
      <c r="E1" s="8"/>
      <c r="F1" s="8"/>
      <c r="G1" s="8"/>
      <c r="H1" s="8"/>
    </row>
    <row r="2" spans="1:8" x14ac:dyDescent="0.3">
      <c r="A2" s="7">
        <v>0.01</v>
      </c>
      <c r="B2" s="31">
        <f>NPV(A2,$F$4:$F$10)+$F$3</f>
        <v>3857814.6466538142</v>
      </c>
      <c r="E2" s="17" t="s">
        <v>14</v>
      </c>
      <c r="F2" s="17" t="s">
        <v>15</v>
      </c>
    </row>
    <row r="3" spans="1:8" x14ac:dyDescent="0.3">
      <c r="A3" s="7">
        <v>0.02</v>
      </c>
      <c r="B3" s="31">
        <f t="shared" ref="B3:B66" si="0">NPV(A3,$F$4:$F$10)+$F$3</f>
        <v>3582520.6436186461</v>
      </c>
      <c r="E3" s="17">
        <v>1399</v>
      </c>
      <c r="F3" s="15">
        <v>-3500000</v>
      </c>
    </row>
    <row r="4" spans="1:8" x14ac:dyDescent="0.3">
      <c r="A4" s="7">
        <v>0.03</v>
      </c>
      <c r="B4" s="31">
        <f t="shared" si="0"/>
        <v>3322523.7200444816</v>
      </c>
      <c r="E4" s="17">
        <v>1400</v>
      </c>
      <c r="F4" s="15">
        <f>16610451-15616194</f>
        <v>994257</v>
      </c>
    </row>
    <row r="5" spans="1:8" x14ac:dyDescent="0.3">
      <c r="A5" s="7">
        <v>0.04</v>
      </c>
      <c r="B5" s="31">
        <f t="shared" si="0"/>
        <v>3076766.5049092155</v>
      </c>
      <c r="E5" s="17">
        <v>1401</v>
      </c>
      <c r="F5" s="15">
        <f>20243971-19020544</f>
        <v>1223427</v>
      </c>
    </row>
    <row r="6" spans="1:8" x14ac:dyDescent="0.3">
      <c r="A6" s="7">
        <v>0.05</v>
      </c>
      <c r="B6" s="31">
        <f t="shared" si="0"/>
        <v>2844276.8889176659</v>
      </c>
      <c r="E6" s="17">
        <v>1402</v>
      </c>
      <c r="F6" s="15">
        <f>22047229-20855478</f>
        <v>1191751</v>
      </c>
    </row>
    <row r="7" spans="1:8" x14ac:dyDescent="0.3">
      <c r="A7" s="7">
        <v>0.06</v>
      </c>
      <c r="B7" s="31">
        <f t="shared" si="0"/>
        <v>2624160.26485579</v>
      </c>
      <c r="E7" s="17">
        <v>1403</v>
      </c>
      <c r="F7" s="15">
        <f>23657822-22504355</f>
        <v>1153467</v>
      </c>
    </row>
    <row r="8" spans="1:8" x14ac:dyDescent="0.3">
      <c r="A8" s="7">
        <v>7.0000000000000007E-2</v>
      </c>
      <c r="B8" s="31">
        <f t="shared" si="0"/>
        <v>2415592.5489937291</v>
      </c>
      <c r="E8" s="17">
        <v>1404</v>
      </c>
      <c r="F8" s="15">
        <f>25335196-24248287</f>
        <v>1086909</v>
      </c>
    </row>
    <row r="9" spans="1:8" x14ac:dyDescent="0.3">
      <c r="A9" s="7">
        <v>0.08</v>
      </c>
      <c r="B9" s="31">
        <f t="shared" si="0"/>
        <v>2217813.897788926</v>
      </c>
      <c r="E9" s="17">
        <v>1405</v>
      </c>
      <c r="F9" s="15">
        <f>26642678-25617244</f>
        <v>1025434</v>
      </c>
    </row>
    <row r="10" spans="1:8" x14ac:dyDescent="0.3">
      <c r="A10" s="7">
        <v>0.09</v>
      </c>
      <c r="B10" s="31">
        <f t="shared" si="0"/>
        <v>2030123.0443042126</v>
      </c>
      <c r="E10" s="17">
        <v>1406</v>
      </c>
      <c r="F10" s="15">
        <f>27730556-26756244</f>
        <v>974312</v>
      </c>
    </row>
    <row r="11" spans="1:8" x14ac:dyDescent="0.3">
      <c r="A11" s="7">
        <v>0.1</v>
      </c>
      <c r="B11" s="31">
        <f t="shared" si="0"/>
        <v>1851872.1876289779</v>
      </c>
    </row>
    <row r="12" spans="1:8" x14ac:dyDescent="0.3">
      <c r="A12" s="7">
        <v>0.11</v>
      </c>
      <c r="B12" s="31">
        <f t="shared" si="0"/>
        <v>1682462.3763489146</v>
      </c>
    </row>
    <row r="13" spans="1:8" x14ac:dyDescent="0.3">
      <c r="A13" s="7">
        <v>0.12</v>
      </c>
      <c r="B13" s="31">
        <f t="shared" si="0"/>
        <v>1521339.3339005029</v>
      </c>
    </row>
    <row r="14" spans="1:8" x14ac:dyDescent="0.3">
      <c r="A14" s="7">
        <v>0.13</v>
      </c>
      <c r="B14" s="31">
        <f t="shared" si="0"/>
        <v>1367989.6795988316</v>
      </c>
    </row>
    <row r="15" spans="1:8" x14ac:dyDescent="0.3">
      <c r="A15" s="7">
        <v>0.14000000000000001</v>
      </c>
      <c r="B15" s="31">
        <f t="shared" si="0"/>
        <v>1221937.5043515824</v>
      </c>
    </row>
    <row r="16" spans="1:8" x14ac:dyDescent="0.3">
      <c r="A16" s="7">
        <v>0.15</v>
      </c>
      <c r="B16" s="31">
        <f t="shared" si="0"/>
        <v>1082741.2646630937</v>
      </c>
    </row>
    <row r="17" spans="1:2" x14ac:dyDescent="0.3">
      <c r="A17" s="7">
        <v>0.16</v>
      </c>
      <c r="B17" s="31">
        <f t="shared" si="0"/>
        <v>949990.962571715</v>
      </c>
    </row>
    <row r="18" spans="1:2" x14ac:dyDescent="0.3">
      <c r="A18" s="7">
        <v>0.17</v>
      </c>
      <c r="B18" s="31">
        <f t="shared" si="0"/>
        <v>823305.5827225484</v>
      </c>
    </row>
    <row r="19" spans="1:2" x14ac:dyDescent="0.3">
      <c r="A19" s="7">
        <v>0.18</v>
      </c>
      <c r="B19" s="31">
        <f t="shared" si="0"/>
        <v>702330.76091605332</v>
      </c>
    </row>
    <row r="20" spans="1:2" x14ac:dyDescent="0.3">
      <c r="A20" s="7">
        <v>0.19</v>
      </c>
      <c r="B20" s="31">
        <f t="shared" si="0"/>
        <v>586736.66124481615</v>
      </c>
    </row>
    <row r="21" spans="1:2" x14ac:dyDescent="0.3">
      <c r="A21" s="7">
        <v>0.2</v>
      </c>
      <c r="B21" s="31">
        <f t="shared" si="0"/>
        <v>476216.04138088739</v>
      </c>
    </row>
    <row r="22" spans="1:2" x14ac:dyDescent="0.3">
      <c r="A22" s="7">
        <v>0.21</v>
      </c>
      <c r="B22" s="31">
        <f t="shared" si="0"/>
        <v>370482.4877448529</v>
      </c>
    </row>
    <row r="23" spans="1:2" x14ac:dyDescent="0.3">
      <c r="A23" s="7">
        <v>0.22</v>
      </c>
      <c r="B23" s="31">
        <f t="shared" si="0"/>
        <v>269268.80420928868</v>
      </c>
    </row>
    <row r="24" spans="1:2" x14ac:dyDescent="0.3">
      <c r="A24" s="7">
        <v>0.23</v>
      </c>
      <c r="B24" s="31">
        <f t="shared" si="0"/>
        <v>172325.53969376627</v>
      </c>
    </row>
    <row r="25" spans="1:2" x14ac:dyDescent="0.3">
      <c r="A25" s="7">
        <v>0.24</v>
      </c>
      <c r="B25" s="31">
        <f t="shared" si="0"/>
        <v>79419.641522152349</v>
      </c>
    </row>
    <row r="26" spans="1:2" x14ac:dyDescent="0.3">
      <c r="A26" s="7">
        <v>0.25</v>
      </c>
      <c r="B26" s="31">
        <f>NPV(A26,$F$4:$F$10)+$F$3</f>
        <v>-9666.777241599746</v>
      </c>
    </row>
    <row r="27" spans="1:2" x14ac:dyDescent="0.3">
      <c r="A27" s="7">
        <v>0.26</v>
      </c>
      <c r="B27" s="31">
        <f t="shared" si="0"/>
        <v>-95137.567065647338</v>
      </c>
    </row>
    <row r="28" spans="1:2" x14ac:dyDescent="0.3">
      <c r="A28" s="7">
        <v>0.27</v>
      </c>
      <c r="B28" s="31">
        <f t="shared" si="0"/>
        <v>-177183.57735040411</v>
      </c>
    </row>
    <row r="29" spans="1:2" x14ac:dyDescent="0.3">
      <c r="A29" s="7">
        <v>0.28000000000000003</v>
      </c>
      <c r="B29" s="31">
        <f t="shared" si="0"/>
        <v>-255983.60652557481</v>
      </c>
    </row>
    <row r="30" spans="1:2" x14ac:dyDescent="0.3">
      <c r="A30" s="7">
        <v>0.28999999999999998</v>
      </c>
      <c r="B30" s="31">
        <f t="shared" si="0"/>
        <v>-331705.27456415119</v>
      </c>
    </row>
    <row r="31" spans="1:2" x14ac:dyDescent="0.3">
      <c r="A31" s="7">
        <v>0.3</v>
      </c>
      <c r="B31" s="31">
        <f t="shared" si="0"/>
        <v>-404505.82487503346</v>
      </c>
    </row>
    <row r="32" spans="1:2" x14ac:dyDescent="0.3">
      <c r="A32" s="7">
        <v>0.31</v>
      </c>
      <c r="B32" s="31">
        <f t="shared" si="0"/>
        <v>-474532.86185767641</v>
      </c>
    </row>
    <row r="33" spans="1:2" x14ac:dyDescent="0.3">
      <c r="A33" s="7">
        <v>0.32</v>
      </c>
      <c r="B33" s="31">
        <f t="shared" si="0"/>
        <v>-541925.02979498776</v>
      </c>
    </row>
    <row r="34" spans="1:2" x14ac:dyDescent="0.3">
      <c r="A34" s="7">
        <v>0.33</v>
      </c>
      <c r="B34" s="31">
        <f t="shared" si="0"/>
        <v>-606812.63821668504</v>
      </c>
    </row>
    <row r="35" spans="1:2" x14ac:dyDescent="0.3">
      <c r="A35" s="7">
        <v>0.34</v>
      </c>
      <c r="B35" s="31">
        <f t="shared" si="0"/>
        <v>-669318.23837743793</v>
      </c>
    </row>
    <row r="36" spans="1:2" x14ac:dyDescent="0.3">
      <c r="A36" s="7">
        <v>0.35</v>
      </c>
      <c r="B36" s="31">
        <f t="shared" si="0"/>
        <v>-729557.15505612874</v>
      </c>
    </row>
    <row r="37" spans="1:2" x14ac:dyDescent="0.3">
      <c r="A37" s="7">
        <v>0.36</v>
      </c>
      <c r="B37" s="31">
        <f t="shared" si="0"/>
        <v>-787637.9774891031</v>
      </c>
    </row>
    <row r="38" spans="1:2" x14ac:dyDescent="0.3">
      <c r="A38" s="7">
        <v>0.37</v>
      </c>
      <c r="B38" s="31">
        <f t="shared" si="0"/>
        <v>-843663.01289643534</v>
      </c>
    </row>
    <row r="39" spans="1:2" x14ac:dyDescent="0.3">
      <c r="A39" s="7">
        <v>0.38</v>
      </c>
      <c r="B39" s="31">
        <f t="shared" si="0"/>
        <v>-897728.70574174076</v>
      </c>
    </row>
    <row r="40" spans="1:2" x14ac:dyDescent="0.3">
      <c r="A40" s="7">
        <v>0.39</v>
      </c>
      <c r="B40" s="31">
        <f t="shared" si="0"/>
        <v>-949926.02557925042</v>
      </c>
    </row>
    <row r="41" spans="1:2" x14ac:dyDescent="0.3">
      <c r="A41" s="7">
        <v>0.4</v>
      </c>
      <c r="B41" s="31">
        <f t="shared" si="0"/>
        <v>-1000340.8260831549</v>
      </c>
    </row>
    <row r="42" spans="1:2" x14ac:dyDescent="0.3">
      <c r="A42" s="7">
        <v>0.41</v>
      </c>
      <c r="B42" s="31">
        <f t="shared" si="0"/>
        <v>-1049054.1776209367</v>
      </c>
    </row>
    <row r="43" spans="1:2" x14ac:dyDescent="0.3">
      <c r="A43" s="7">
        <v>0.42</v>
      </c>
      <c r="B43" s="31">
        <f t="shared" si="0"/>
        <v>-1096142.675521594</v>
      </c>
    </row>
    <row r="44" spans="1:2" x14ac:dyDescent="0.3">
      <c r="A44" s="7">
        <v>0.43</v>
      </c>
      <c r="B44" s="31">
        <f t="shared" si="0"/>
        <v>-1141678.7259992636</v>
      </c>
    </row>
    <row r="45" spans="1:2" x14ac:dyDescent="0.3">
      <c r="A45" s="7">
        <v>0.44</v>
      </c>
      <c r="B45" s="31">
        <f t="shared" si="0"/>
        <v>-1185730.8115204424</v>
      </c>
    </row>
    <row r="46" spans="1:2" x14ac:dyDescent="0.3">
      <c r="A46" s="7">
        <v>0.45</v>
      </c>
      <c r="B46" s="31">
        <f t="shared" si="0"/>
        <v>-1228363.7372470656</v>
      </c>
    </row>
    <row r="47" spans="1:2" x14ac:dyDescent="0.3">
      <c r="A47" s="7">
        <v>0.46</v>
      </c>
      <c r="B47" s="31">
        <f t="shared" si="0"/>
        <v>-1269638.860046457</v>
      </c>
    </row>
    <row r="48" spans="1:2" x14ac:dyDescent="0.3">
      <c r="A48" s="7">
        <v>0.47</v>
      </c>
      <c r="B48" s="31">
        <f t="shared" si="0"/>
        <v>-1309614.3014310645</v>
      </c>
    </row>
    <row r="49" spans="1:2" x14ac:dyDescent="0.3">
      <c r="A49" s="7">
        <v>0.48</v>
      </c>
      <c r="B49" s="31">
        <f t="shared" si="0"/>
        <v>-1348345.1456747218</v>
      </c>
    </row>
    <row r="50" spans="1:2" x14ac:dyDescent="0.3">
      <c r="A50" s="7">
        <v>0.49</v>
      </c>
      <c r="B50" s="31">
        <f t="shared" si="0"/>
        <v>-1385883.6242466522</v>
      </c>
    </row>
    <row r="51" spans="1:2" x14ac:dyDescent="0.3">
      <c r="A51" s="7">
        <v>0.5</v>
      </c>
      <c r="B51" s="31">
        <f t="shared" si="0"/>
        <v>-1422279.2876085965</v>
      </c>
    </row>
    <row r="52" spans="1:2" x14ac:dyDescent="0.3">
      <c r="A52" s="7">
        <v>0.51</v>
      </c>
      <c r="B52" s="31">
        <f t="shared" si="0"/>
        <v>-1457579.1653332519</v>
      </c>
    </row>
    <row r="53" spans="1:2" x14ac:dyDescent="0.3">
      <c r="A53" s="7">
        <v>0.52</v>
      </c>
      <c r="B53" s="31">
        <f t="shared" si="0"/>
        <v>-1491827.9154229246</v>
      </c>
    </row>
    <row r="54" spans="1:2" x14ac:dyDescent="0.3">
      <c r="A54" s="7">
        <v>0.53</v>
      </c>
      <c r="B54" s="31">
        <f t="shared" si="0"/>
        <v>-1525067.9636350565</v>
      </c>
    </row>
    <row r="55" spans="1:2" x14ac:dyDescent="0.3">
      <c r="A55" s="7">
        <v>0.54</v>
      </c>
      <c r="B55" s="31">
        <f t="shared" si="0"/>
        <v>-1557339.633555504</v>
      </c>
    </row>
    <row r="56" spans="1:2" x14ac:dyDescent="0.3">
      <c r="A56" s="7">
        <v>0.55000000000000004</v>
      </c>
      <c r="B56" s="31">
        <f t="shared" si="0"/>
        <v>-1588681.2681004154</v>
      </c>
    </row>
    <row r="57" spans="1:2" x14ac:dyDescent="0.3">
      <c r="A57" s="7">
        <v>0.56000000000000005</v>
      </c>
      <c r="B57" s="31">
        <f t="shared" si="0"/>
        <v>-1619129.3430728349</v>
      </c>
    </row>
    <row r="58" spans="1:2" x14ac:dyDescent="0.3">
      <c r="A58" s="7">
        <v>0.56999999999999995</v>
      </c>
      <c r="B58" s="31">
        <f t="shared" si="0"/>
        <v>-1648718.5733501499</v>
      </c>
    </row>
    <row r="59" spans="1:2" x14ac:dyDescent="0.3">
      <c r="A59" s="7">
        <v>0.57999999999999996</v>
      </c>
      <c r="B59" s="31">
        <f t="shared" si="0"/>
        <v>-1677482.0122328394</v>
      </c>
    </row>
    <row r="60" spans="1:2" x14ac:dyDescent="0.3">
      <c r="A60" s="7">
        <v>0.59</v>
      </c>
      <c r="B60" s="31">
        <f t="shared" si="0"/>
        <v>-1705451.1444432086</v>
      </c>
    </row>
    <row r="61" spans="1:2" x14ac:dyDescent="0.3">
      <c r="A61" s="7">
        <v>0.6</v>
      </c>
      <c r="B61" s="31">
        <f t="shared" si="0"/>
        <v>-1732655.9732246399</v>
      </c>
    </row>
    <row r="62" spans="1:2" x14ac:dyDescent="0.3">
      <c r="A62" s="7">
        <v>0.61</v>
      </c>
      <c r="B62" s="31">
        <f t="shared" si="0"/>
        <v>-1759125.1019568499</v>
      </c>
    </row>
    <row r="63" spans="1:2" x14ac:dyDescent="0.3">
      <c r="A63" s="7">
        <v>0.62</v>
      </c>
      <c r="B63" s="31">
        <f t="shared" si="0"/>
        <v>-1784885.8106706964</v>
      </c>
    </row>
    <row r="64" spans="1:2" x14ac:dyDescent="0.3">
      <c r="A64" s="7">
        <v>0.63</v>
      </c>
      <c r="B64" s="31">
        <f t="shared" si="0"/>
        <v>-1809964.1278166471</v>
      </c>
    </row>
    <row r="65" spans="1:2" x14ac:dyDescent="0.3">
      <c r="A65" s="7">
        <v>0.64</v>
      </c>
      <c r="B65" s="31">
        <f t="shared" si="0"/>
        <v>-1834384.8976141643</v>
      </c>
    </row>
    <row r="66" spans="1:2" x14ac:dyDescent="0.3">
      <c r="A66" s="7">
        <v>0.65</v>
      </c>
      <c r="B66" s="31">
        <f t="shared" si="0"/>
        <v>-1858171.8432844877</v>
      </c>
    </row>
    <row r="67" spans="1:2" x14ac:dyDescent="0.3">
      <c r="A67" s="7">
        <v>0.66</v>
      </c>
      <c r="B67" s="31">
        <f t="shared" ref="B67:B101" si="1">NPV(A67,$F$4:$F$10)+$F$3</f>
        <v>-1881347.6264466823</v>
      </c>
    </row>
    <row r="68" spans="1:2" x14ac:dyDescent="0.3">
      <c r="A68" s="7">
        <v>0.67</v>
      </c>
      <c r="B68" s="31">
        <f t="shared" si="1"/>
        <v>-1903933.9029359</v>
      </c>
    </row>
    <row r="69" spans="1:2" x14ac:dyDescent="0.3">
      <c r="A69" s="7">
        <v>0.68</v>
      </c>
      <c r="B69" s="31">
        <f t="shared" si="1"/>
        <v>-1925951.3752837307</v>
      </c>
    </row>
    <row r="70" spans="1:2" x14ac:dyDescent="0.3">
      <c r="A70" s="7">
        <v>0.69</v>
      </c>
      <c r="B70" s="31">
        <f t="shared" si="1"/>
        <v>-1947419.8420827899</v>
      </c>
    </row>
    <row r="71" spans="1:2" x14ac:dyDescent="0.3">
      <c r="A71" s="7">
        <v>0.7</v>
      </c>
      <c r="B71" s="31">
        <f t="shared" si="1"/>
        <v>-1968358.2444415861</v>
      </c>
    </row>
    <row r="72" spans="1:2" x14ac:dyDescent="0.3">
      <c r="A72" s="7">
        <v>0.71</v>
      </c>
      <c r="B72" s="31">
        <f t="shared" si="1"/>
        <v>-1988784.7097206665</v>
      </c>
    </row>
    <row r="73" spans="1:2" x14ac:dyDescent="0.3">
      <c r="A73" s="7">
        <v>0.72</v>
      </c>
      <c r="B73" s="31">
        <f t="shared" si="1"/>
        <v>-2008716.5927273645</v>
      </c>
    </row>
    <row r="74" spans="1:2" x14ac:dyDescent="0.3">
      <c r="A74" s="7">
        <v>0.73</v>
      </c>
      <c r="B74" s="31">
        <f t="shared" si="1"/>
        <v>-2028170.5145337307</v>
      </c>
    </row>
    <row r="75" spans="1:2" x14ac:dyDescent="0.3">
      <c r="A75" s="7">
        <v>0.74</v>
      </c>
      <c r="B75" s="31">
        <f t="shared" si="1"/>
        <v>-2047162.3990705493</v>
      </c>
    </row>
    <row r="76" spans="1:2" x14ac:dyDescent="0.3">
      <c r="A76" s="7">
        <v>0.75</v>
      </c>
      <c r="B76" s="31">
        <f t="shared" si="1"/>
        <v>-2065707.5076395529</v>
      </c>
    </row>
    <row r="77" spans="1:2" x14ac:dyDescent="0.3">
      <c r="A77" s="7">
        <v>0.76</v>
      </c>
      <c r="B77" s="31">
        <f t="shared" si="1"/>
        <v>-2083820.4714759502</v>
      </c>
    </row>
    <row r="78" spans="1:2" x14ac:dyDescent="0.3">
      <c r="A78" s="7">
        <v>0.77</v>
      </c>
      <c r="B78" s="31">
        <f t="shared" si="1"/>
        <v>-2101515.3224842008</v>
      </c>
    </row>
    <row r="79" spans="1:2" x14ac:dyDescent="0.3">
      <c r="A79" s="7">
        <v>0.78</v>
      </c>
      <c r="B79" s="31">
        <f t="shared" si="1"/>
        <v>-2118805.52226143</v>
      </c>
    </row>
    <row r="80" spans="1:2" x14ac:dyDescent="0.3">
      <c r="A80" s="7">
        <v>0.79</v>
      </c>
      <c r="B80" s="31">
        <f t="shared" si="1"/>
        <v>-2135703.9895150205</v>
      </c>
    </row>
    <row r="81" spans="1:2" x14ac:dyDescent="0.3">
      <c r="A81" s="7">
        <v>0.8</v>
      </c>
      <c r="B81" s="31">
        <f t="shared" si="1"/>
        <v>-2152223.1259736372</v>
      </c>
    </row>
    <row r="82" spans="1:2" x14ac:dyDescent="0.3">
      <c r="A82" s="7">
        <v>0.81</v>
      </c>
      <c r="B82" s="31">
        <f t="shared" si="1"/>
        <v>-2168374.840884163</v>
      </c>
    </row>
    <row r="83" spans="1:2" x14ac:dyDescent="0.3">
      <c r="A83" s="7">
        <v>0.82</v>
      </c>
      <c r="B83" s="31">
        <f t="shared" si="1"/>
        <v>-2184170.5741808363</v>
      </c>
    </row>
    <row r="84" spans="1:2" x14ac:dyDescent="0.3">
      <c r="A84" s="7">
        <v>0.83</v>
      </c>
      <c r="B84" s="31">
        <f t="shared" si="1"/>
        <v>-2199621.3184070219</v>
      </c>
    </row>
    <row r="85" spans="1:2" x14ac:dyDescent="0.3">
      <c r="A85" s="7">
        <v>0.84</v>
      </c>
      <c r="B85" s="31">
        <f t="shared" si="1"/>
        <v>-2214737.6394647537</v>
      </c>
    </row>
    <row r="86" spans="1:2" x14ac:dyDescent="0.3">
      <c r="A86" s="7">
        <v>0.85</v>
      </c>
      <c r="B86" s="31">
        <f t="shared" si="1"/>
        <v>-2229529.6962621594</v>
      </c>
    </row>
    <row r="87" spans="1:2" x14ac:dyDescent="0.3">
      <c r="A87" s="7">
        <v>0.86</v>
      </c>
      <c r="B87" s="31">
        <f t="shared" si="1"/>
        <v>-2244007.2593242684</v>
      </c>
    </row>
    <row r="88" spans="1:2" x14ac:dyDescent="0.3">
      <c r="A88" s="7">
        <v>0.87</v>
      </c>
      <c r="B88" s="31">
        <f t="shared" si="1"/>
        <v>-2258179.7284284518</v>
      </c>
    </row>
    <row r="89" spans="1:2" x14ac:dyDescent="0.3">
      <c r="A89" s="7">
        <v>0.88</v>
      </c>
      <c r="B89" s="31">
        <f t="shared" si="1"/>
        <v>-2272056.1493217023</v>
      </c>
    </row>
    <row r="90" spans="1:2" x14ac:dyDescent="0.3">
      <c r="A90" s="7">
        <v>0.89</v>
      </c>
      <c r="B90" s="31">
        <f t="shared" si="1"/>
        <v>-2285645.229573328</v>
      </c>
    </row>
    <row r="91" spans="1:2" x14ac:dyDescent="0.3">
      <c r="A91" s="7">
        <v>0.9</v>
      </c>
      <c r="B91" s="31">
        <f t="shared" si="1"/>
        <v>-2298955.3536131312</v>
      </c>
    </row>
    <row r="92" spans="1:2" x14ac:dyDescent="0.3">
      <c r="A92" s="7">
        <v>0.91</v>
      </c>
      <c r="B92" s="31">
        <f t="shared" si="1"/>
        <v>-2311994.5970019912</v>
      </c>
    </row>
    <row r="93" spans="1:2" x14ac:dyDescent="0.3">
      <c r="A93" s="7">
        <v>0.92</v>
      </c>
      <c r="B93" s="31">
        <f t="shared" si="1"/>
        <v>-2324770.7399787637</v>
      </c>
    </row>
    <row r="94" spans="1:2" x14ac:dyDescent="0.3">
      <c r="A94" s="7">
        <v>0.93</v>
      </c>
      <c r="B94" s="31">
        <f t="shared" si="1"/>
        <v>-2337291.2803246719</v>
      </c>
    </row>
    <row r="95" spans="1:2" x14ac:dyDescent="0.3">
      <c r="A95" s="7">
        <v>0.94</v>
      </c>
      <c r="B95" s="31">
        <f t="shared" si="1"/>
        <v>-2349563.4455837212</v>
      </c>
    </row>
    <row r="96" spans="1:2" x14ac:dyDescent="0.3">
      <c r="A96" s="7">
        <v>0.95</v>
      </c>
      <c r="B96" s="31">
        <f t="shared" si="1"/>
        <v>-2361594.2046753545</v>
      </c>
    </row>
    <row r="97" spans="1:2" x14ac:dyDescent="0.3">
      <c r="A97" s="7">
        <v>0.96</v>
      </c>
      <c r="B97" s="31">
        <f t="shared" si="1"/>
        <v>-2373390.2789332308</v>
      </c>
    </row>
    <row r="98" spans="1:2" x14ac:dyDescent="0.3">
      <c r="A98" s="7">
        <v>0.97</v>
      </c>
      <c r="B98" s="31">
        <f t="shared" si="1"/>
        <v>-2384958.1526019946</v>
      </c>
    </row>
    <row r="99" spans="1:2" x14ac:dyDescent="0.3">
      <c r="A99" s="7">
        <v>0.98</v>
      </c>
      <c r="B99" s="31">
        <f t="shared" si="1"/>
        <v>-2396304.0828219075</v>
      </c>
    </row>
    <row r="100" spans="1:2" x14ac:dyDescent="0.3">
      <c r="A100" s="7">
        <v>0.99</v>
      </c>
      <c r="B100" s="31">
        <f t="shared" si="1"/>
        <v>-2407434.1091294112</v>
      </c>
    </row>
    <row r="101" spans="1:2" x14ac:dyDescent="0.3">
      <c r="A101" s="7">
        <v>1</v>
      </c>
      <c r="B101" s="31">
        <f t="shared" si="1"/>
        <v>-2418354.0625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صورت سود و زیان</vt:lpstr>
      <vt:lpstr>a)ارزش فعلی</vt:lpstr>
      <vt:lpstr>b) ارزش سالیانه</vt:lpstr>
      <vt:lpstr>c) ارزش آتی</vt:lpstr>
      <vt:lpstr>d) نسبت منافع به مخارج</vt:lpstr>
      <vt:lpstr>e) نرخ بازده داخلی</vt:lpstr>
      <vt:lpstr>g,f)دوره بازگشت سرمایه</vt:lpstr>
      <vt:lpstr>hپیشبینی ارزش فعلی دوره نامحدود</vt:lpstr>
      <vt:lpstr>i)نمودار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</dc:creator>
  <cp:lastModifiedBy>SANA</cp:lastModifiedBy>
  <dcterms:created xsi:type="dcterms:W3CDTF">2022-05-05T17:58:35Z</dcterms:created>
  <dcterms:modified xsi:type="dcterms:W3CDTF">2022-05-07T13:42:08Z</dcterms:modified>
</cp:coreProperties>
</file>