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Xsu1023\Desktop\"/>
    </mc:Choice>
  </mc:AlternateContent>
  <xr:revisionPtr revIDLastSave="0" documentId="13_ncr:1_{6EA147D1-1973-488D-8F53-AB489669420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0" i="1" l="1"/>
  <c r="F30" i="1"/>
  <c r="G30" i="1"/>
  <c r="D29" i="1"/>
  <c r="D30" i="1" s="1"/>
  <c r="E29" i="1"/>
  <c r="F29" i="1"/>
  <c r="G29" i="1"/>
  <c r="H29" i="1"/>
  <c r="H30" i="1" s="1"/>
  <c r="I29" i="1"/>
  <c r="I30" i="1" s="1"/>
  <c r="J29" i="1"/>
  <c r="J30" i="1" s="1"/>
  <c r="C29" i="1"/>
  <c r="C30" i="1" s="1"/>
  <c r="J7" i="1"/>
  <c r="D32" i="1"/>
  <c r="E32" i="1"/>
  <c r="J32" i="1"/>
  <c r="D31" i="1"/>
  <c r="E31" i="1"/>
  <c r="F31" i="1"/>
  <c r="F32" i="1" s="1"/>
  <c r="G31" i="1"/>
  <c r="G32" i="1" s="1"/>
  <c r="H31" i="1"/>
  <c r="H32" i="1" s="1"/>
  <c r="I31" i="1"/>
  <c r="I32" i="1" s="1"/>
  <c r="J31" i="1"/>
  <c r="C31" i="1"/>
  <c r="C32" i="1" s="1"/>
  <c r="F21" i="1"/>
  <c r="C26" i="1"/>
  <c r="D25" i="1"/>
  <c r="D26" i="1" s="1"/>
  <c r="D27" i="1" s="1"/>
  <c r="E25" i="1"/>
  <c r="E26" i="1" s="1"/>
  <c r="E27" i="1" s="1"/>
  <c r="F25" i="1"/>
  <c r="F26" i="1" s="1"/>
  <c r="F27" i="1" s="1"/>
  <c r="G25" i="1"/>
  <c r="G26" i="1" s="1"/>
  <c r="G27" i="1" s="1"/>
  <c r="H25" i="1"/>
  <c r="H26" i="1" s="1"/>
  <c r="H27" i="1" s="1"/>
  <c r="I25" i="1"/>
  <c r="I26" i="1" s="1"/>
  <c r="I27" i="1" s="1"/>
  <c r="J25" i="1"/>
  <c r="J26" i="1" s="1"/>
  <c r="J27" i="1" s="1"/>
  <c r="C25" i="1"/>
  <c r="Q5" i="1"/>
  <c r="K5" i="1"/>
  <c r="L5" i="1"/>
  <c r="M5" i="1"/>
  <c r="N5" i="1"/>
  <c r="O5" i="1"/>
  <c r="P5" i="1"/>
  <c r="J5" i="1"/>
  <c r="F9" i="1"/>
  <c r="F5" i="1"/>
  <c r="F6" i="1" s="1"/>
  <c r="G6" i="1" s="1"/>
  <c r="F1" i="1"/>
  <c r="B1" i="1"/>
  <c r="B9" i="1"/>
  <c r="B5" i="1"/>
  <c r="B11" i="1" l="1"/>
  <c r="O10" i="1" s="1"/>
  <c r="O13" i="1" s="1"/>
  <c r="O14" i="1" s="1"/>
  <c r="H33" i="1" s="1"/>
  <c r="J10" i="1"/>
  <c r="J13" i="1" s="1"/>
  <c r="J14" i="1" s="1"/>
  <c r="C33" i="1" s="1"/>
  <c r="B6" i="1"/>
  <c r="C6" i="1" s="1"/>
  <c r="B10" i="1"/>
  <c r="F11" i="1"/>
  <c r="C21" i="1" s="1"/>
  <c r="C27" i="1" s="1"/>
  <c r="F10" i="1"/>
  <c r="P10" i="1" l="1"/>
  <c r="P13" i="1" s="1"/>
  <c r="P14" i="1" s="1"/>
  <c r="I33" i="1" s="1"/>
  <c r="Q10" i="1"/>
  <c r="Q13" i="1" s="1"/>
  <c r="Q14" i="1" s="1"/>
  <c r="J33" i="1" s="1"/>
  <c r="K10" i="1"/>
  <c r="O15" i="1"/>
  <c r="O16" i="1" s="1"/>
  <c r="M10" i="1"/>
  <c r="M13" i="1" s="1"/>
  <c r="M14" i="1" s="1"/>
  <c r="F33" i="1" s="1"/>
  <c r="L10" i="1"/>
  <c r="L13" i="1" s="1"/>
  <c r="L14" i="1" s="1"/>
  <c r="E33" i="1" s="1"/>
  <c r="N10" i="1"/>
  <c r="N13" i="1" s="1"/>
  <c r="N14" i="1" s="1"/>
  <c r="G33" i="1" s="1"/>
  <c r="P15" i="1"/>
  <c r="P16" i="1" s="1"/>
  <c r="J15" i="1"/>
  <c r="J16" i="1" s="1"/>
  <c r="K15" i="1" l="1"/>
  <c r="K16" i="1" s="1"/>
  <c r="K13" i="1"/>
  <c r="K14" i="1" s="1"/>
  <c r="D33" i="1" s="1"/>
  <c r="Q15" i="1"/>
  <c r="Q16" i="1" s="1"/>
  <c r="L15" i="1"/>
  <c r="L16" i="1" s="1"/>
  <c r="N15" i="1"/>
  <c r="N16" i="1" s="1"/>
  <c r="M15" i="1"/>
  <c r="M16" i="1" s="1"/>
</calcChain>
</file>

<file path=xl/sharedStrings.xml><?xml version="1.0" encoding="utf-8"?>
<sst xmlns="http://schemas.openxmlformats.org/spreadsheetml/2006/main" count="47" uniqueCount="29">
  <si>
    <t>V_A</t>
    <phoneticPr fontId="1" type="noConversion"/>
  </si>
  <si>
    <t>V_REF</t>
    <phoneticPr fontId="1" type="noConversion"/>
  </si>
  <si>
    <t>R_LC</t>
    <phoneticPr fontId="1" type="noConversion"/>
  </si>
  <si>
    <t>phi</t>
    <phoneticPr fontId="1" type="noConversion"/>
  </si>
  <si>
    <t>f1</t>
    <phoneticPr fontId="1" type="noConversion"/>
  </si>
  <si>
    <t>f2</t>
    <phoneticPr fontId="1" type="noConversion"/>
  </si>
  <si>
    <t>Q</t>
    <phoneticPr fontId="1" type="noConversion"/>
  </si>
  <si>
    <t>f_0</t>
    <phoneticPr fontId="1" type="noConversion"/>
  </si>
  <si>
    <t>C</t>
    <phoneticPr fontId="1" type="noConversion"/>
  </si>
  <si>
    <t>L</t>
    <phoneticPr fontId="1" type="noConversion"/>
  </si>
  <si>
    <t>s/cm</t>
    <phoneticPr fontId="1" type="noConversion"/>
  </si>
  <si>
    <t>k</t>
    <phoneticPr fontId="1" type="noConversion"/>
  </si>
  <si>
    <t>最大平均输出功率</t>
    <phoneticPr fontId="1" type="noConversion"/>
  </si>
  <si>
    <t>R_D/omega</t>
    <phoneticPr fontId="1" type="noConversion"/>
  </si>
  <si>
    <t>V_2</t>
    <phoneticPr fontId="1" type="noConversion"/>
  </si>
  <si>
    <t>f</t>
    <phoneticPr fontId="1" type="noConversion"/>
  </si>
  <si>
    <t>P_2</t>
    <phoneticPr fontId="1" type="noConversion"/>
  </si>
  <si>
    <t>传输效率</t>
    <phoneticPr fontId="1" type="noConversion"/>
  </si>
  <si>
    <t>电流峰峰值</t>
    <phoneticPr fontId="1" type="noConversion"/>
  </si>
  <si>
    <t>电压峰峰值</t>
    <phoneticPr fontId="1" type="noConversion"/>
  </si>
  <si>
    <t>Vrref</t>
    <phoneticPr fontId="1" type="noConversion"/>
  </si>
  <si>
    <t>V2</t>
    <phoneticPr fontId="1" type="noConversion"/>
  </si>
  <si>
    <t>I1</t>
    <phoneticPr fontId="1" type="noConversion"/>
  </si>
  <si>
    <t>M</t>
    <phoneticPr fontId="1" type="noConversion"/>
  </si>
  <si>
    <t>P2</t>
    <phoneticPr fontId="1" type="noConversion"/>
  </si>
  <si>
    <t>P1</t>
    <phoneticPr fontId="1" type="noConversion"/>
  </si>
  <si>
    <t>I_L2</t>
    <phoneticPr fontId="1" type="noConversion"/>
  </si>
  <si>
    <t>U_L2</t>
    <phoneticPr fontId="1" type="noConversion"/>
  </si>
  <si>
    <t>倍数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</si>
</sst>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Fill="1" applyBorder="1"/>
    <xf numFmtId="0" fontId="2" fillId="0" borderId="0" xfId="0" applyFont="1" applyBorder="1"/>
    <xf numFmtId="0" fontId="2" fillId="0" borderId="5" xfId="0" applyFont="1" applyBorder="1"/>
    <xf numFmtId="0" fontId="2" fillId="0" borderId="6" xfId="0" applyFont="1" applyFill="1" applyBorder="1"/>
    <xf numFmtId="0" fontId="2" fillId="0" borderId="7" xfId="0" applyFont="1" applyBorder="1"/>
    <xf numFmtId="0" fontId="2" fillId="0" borderId="8" xfId="0" applyFont="1" applyBorder="1"/>
    <xf numFmtId="0" fontId="0" fillId="0" borderId="4" xfId="0" applyFill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Feuil1!$C$27:$J$27</c:f>
              <c:numCache>
                <c:formatCode>General</c:formatCode>
                <c:ptCount val="8"/>
                <c:pt idx="0">
                  <c:v>0.19043495955680395</c:v>
                </c:pt>
                <c:pt idx="1">
                  <c:v>0.15755173112499996</c:v>
                </c:pt>
                <c:pt idx="2">
                  <c:v>0.13746678318491151</c:v>
                </c:pt>
                <c:pt idx="3">
                  <c:v>9.4192534255020985E-2</c:v>
                </c:pt>
                <c:pt idx="4">
                  <c:v>7.5721966990950448E-2</c:v>
                </c:pt>
                <c:pt idx="5">
                  <c:v>6.0873205052174903E-2</c:v>
                </c:pt>
                <c:pt idx="6">
                  <c:v>5.1882247405243498E-2</c:v>
                </c:pt>
                <c:pt idx="7">
                  <c:v>4.2701668335430529E-2</c:v>
                </c:pt>
              </c:numCache>
            </c:numRef>
          </c:xVal>
          <c:yVal>
            <c:numRef>
              <c:f>Feuil1!$C$30:$J$30</c:f>
              <c:numCache>
                <c:formatCode>General</c:formatCode>
                <c:ptCount val="8"/>
                <c:pt idx="0">
                  <c:v>3.9920040000000004E-2</c:v>
                </c:pt>
                <c:pt idx="1">
                  <c:v>2.7889000000000001E-2</c:v>
                </c:pt>
                <c:pt idx="2">
                  <c:v>1.8988839999999996E-2</c:v>
                </c:pt>
                <c:pt idx="3">
                  <c:v>1.2566409999999998E-2</c:v>
                </c:pt>
                <c:pt idx="4">
                  <c:v>6.5610000000000009E-3</c:v>
                </c:pt>
                <c:pt idx="5">
                  <c:v>4.2250000000000005E-3</c:v>
                </c:pt>
                <c:pt idx="6">
                  <c:v>2.9484900000000002E-3</c:v>
                </c:pt>
                <c:pt idx="7">
                  <c:v>1.9722480999999998E-3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922-4E72-8B97-F87B4B917B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9496512"/>
        <c:axId val="1419504416"/>
      </c:scatterChart>
      <c:valAx>
        <c:axId val="1419496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19504416"/>
        <c:crosses val="autoZero"/>
        <c:crossBetween val="midCat"/>
      </c:valAx>
      <c:valAx>
        <c:axId val="141950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19496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68580</xdr:colOff>
      <xdr:row>17</xdr:row>
      <xdr:rowOff>129540</xdr:rowOff>
    </xdr:from>
    <xdr:to>
      <xdr:col>19</xdr:col>
      <xdr:colOff>373380</xdr:colOff>
      <xdr:row>33</xdr:row>
      <xdr:rowOff>53340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7CF13D6-4A2A-4B6F-9FC5-61F5F74F9C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4"/>
  <sheetViews>
    <sheetView tabSelected="1" topLeftCell="A22" workbookViewId="0">
      <selection activeCell="M37" sqref="M37:M44"/>
    </sheetView>
  </sheetViews>
  <sheetFormatPr defaultRowHeight="13.8" x14ac:dyDescent="0.25"/>
  <cols>
    <col min="2" max="3" width="13.109375" bestFit="1" customWidth="1"/>
    <col min="9" max="9" width="12.33203125" customWidth="1"/>
    <col min="10" max="10" width="13.109375" bestFit="1" customWidth="1"/>
  </cols>
  <sheetData>
    <row r="1" spans="1:17" ht="14.4" thickBot="1" x14ac:dyDescent="0.3">
      <c r="A1" s="1"/>
      <c r="B1" s="2">
        <f>1/(2*PI()*SQRT(1.5*600*10^(-15)))/1000</f>
        <v>167.76404034829011</v>
      </c>
      <c r="C1" s="2"/>
      <c r="D1" s="2"/>
      <c r="E1" s="2"/>
      <c r="F1" s="2">
        <f>1/(2*PI()*SQRT(1.5*600*10^(-15)))/1000</f>
        <v>167.76404034829011</v>
      </c>
      <c r="G1" s="3"/>
    </row>
    <row r="2" spans="1:17" x14ac:dyDescent="0.25">
      <c r="A2" s="4" t="s">
        <v>0</v>
      </c>
      <c r="B2" s="5">
        <v>3.1509999999999998</v>
      </c>
      <c r="C2" s="5"/>
      <c r="D2" s="5"/>
      <c r="E2" s="5" t="s">
        <v>0</v>
      </c>
      <c r="F2" s="5">
        <v>3.1419999999999999</v>
      </c>
      <c r="G2" s="6"/>
      <c r="I2" s="1" t="s">
        <v>10</v>
      </c>
      <c r="J2" s="2">
        <v>2</v>
      </c>
      <c r="K2" s="2">
        <v>3</v>
      </c>
      <c r="L2" s="2">
        <v>4</v>
      </c>
      <c r="M2" s="2">
        <v>5</v>
      </c>
      <c r="N2" s="2">
        <v>6</v>
      </c>
      <c r="O2" s="2">
        <v>7</v>
      </c>
      <c r="P2" s="2">
        <v>8</v>
      </c>
      <c r="Q2" s="3">
        <v>9</v>
      </c>
    </row>
    <row r="3" spans="1:17" x14ac:dyDescent="0.25">
      <c r="A3" s="4" t="s">
        <v>1</v>
      </c>
      <c r="B3" s="5">
        <v>1.6950000000000001</v>
      </c>
      <c r="C3" s="5"/>
      <c r="D3" s="5"/>
      <c r="E3" s="5" t="s">
        <v>1</v>
      </c>
      <c r="F3" s="5">
        <v>1.679</v>
      </c>
      <c r="G3" s="6"/>
      <c r="I3" s="4" t="s">
        <v>4</v>
      </c>
      <c r="J3" s="5">
        <v>159.19999999999999</v>
      </c>
      <c r="K3" s="5">
        <v>162.32</v>
      </c>
      <c r="L3" s="5">
        <v>165.51</v>
      </c>
      <c r="M3" s="5">
        <v>168.54</v>
      </c>
      <c r="N3" s="5">
        <v>169.44</v>
      </c>
      <c r="O3" s="5">
        <v>172.14</v>
      </c>
      <c r="P3" s="5">
        <v>173.45</v>
      </c>
      <c r="Q3" s="6">
        <v>176.55</v>
      </c>
    </row>
    <row r="4" spans="1:17" x14ac:dyDescent="0.25">
      <c r="A4" s="4" t="s">
        <v>7</v>
      </c>
      <c r="B4" s="5">
        <v>176.83</v>
      </c>
      <c r="C4" s="5"/>
      <c r="D4" s="5"/>
      <c r="E4" s="5" t="s">
        <v>7</v>
      </c>
      <c r="F4" s="5">
        <v>177.02</v>
      </c>
      <c r="G4" s="6"/>
      <c r="I4" s="4" t="s">
        <v>5</v>
      </c>
      <c r="J4" s="5">
        <v>206.24</v>
      </c>
      <c r="K4" s="5">
        <v>201.28</v>
      </c>
      <c r="L4" s="5">
        <v>194.28</v>
      </c>
      <c r="M4" s="5">
        <v>189.4</v>
      </c>
      <c r="N4" s="5">
        <v>188.74</v>
      </c>
      <c r="O4" s="5">
        <v>185.54</v>
      </c>
      <c r="P4" s="5">
        <v>183.64</v>
      </c>
      <c r="Q4" s="6">
        <v>181.45</v>
      </c>
    </row>
    <row r="5" spans="1:17" ht="14.4" thickBot="1" x14ac:dyDescent="0.3">
      <c r="A5" s="4" t="s">
        <v>2</v>
      </c>
      <c r="B5" s="5">
        <f>70*(B2-B3)/B3</f>
        <v>60.129793510324475</v>
      </c>
      <c r="C5" s="5"/>
      <c r="D5" s="5"/>
      <c r="E5" s="5" t="s">
        <v>2</v>
      </c>
      <c r="F5" s="5">
        <f>70*(F2-F3)/F3</f>
        <v>60.994639666468132</v>
      </c>
      <c r="G5" s="6"/>
      <c r="I5" s="7" t="s">
        <v>11</v>
      </c>
      <c r="J5" s="8">
        <f>(J4*J4-J3*J3)/(J4*J4+J3*J3)</f>
        <v>0.25324697365235238</v>
      </c>
      <c r="K5" s="8">
        <f t="shared" ref="K5:Q5" si="0">(K4*K4-K3*K3)/(K4*K4+K3*K3)</f>
        <v>0.21186890482590534</v>
      </c>
      <c r="L5" s="8">
        <f t="shared" si="0"/>
        <v>0.15891052908314116</v>
      </c>
      <c r="M5" s="8">
        <f t="shared" si="0"/>
        <v>0.11616132673111293</v>
      </c>
      <c r="N5" s="8">
        <f t="shared" si="0"/>
        <v>0.10745505584335704</v>
      </c>
      <c r="O5" s="8">
        <f t="shared" si="0"/>
        <v>7.4822294334636039E-2</v>
      </c>
      <c r="P5" s="8">
        <f t="shared" si="0"/>
        <v>5.7026009527647643E-2</v>
      </c>
      <c r="Q5" s="9">
        <f t="shared" si="0"/>
        <v>2.7369174386902329E-2</v>
      </c>
    </row>
    <row r="6" spans="1:17" x14ac:dyDescent="0.25">
      <c r="A6" s="4" t="s">
        <v>3</v>
      </c>
      <c r="B6" s="5">
        <f>ATAN(B5/(B5+70))</f>
        <v>0.43285044038397508</v>
      </c>
      <c r="C6" s="5">
        <f>B6/PI()*180</f>
        <v>24.800503394380819</v>
      </c>
      <c r="D6" s="5"/>
      <c r="E6" s="5" t="s">
        <v>3</v>
      </c>
      <c r="F6" s="5">
        <f>ATAN(F5/(F5+70))</f>
        <v>0.43577306997572557</v>
      </c>
      <c r="G6" s="6">
        <f>F6/PI()*180</f>
        <v>24.967957735068168</v>
      </c>
    </row>
    <row r="7" spans="1:17" x14ac:dyDescent="0.25">
      <c r="A7" s="4" t="s">
        <v>4</v>
      </c>
      <c r="B7" s="5">
        <v>174.04</v>
      </c>
      <c r="C7" s="5"/>
      <c r="D7" s="5"/>
      <c r="E7" s="5" t="s">
        <v>4</v>
      </c>
      <c r="F7" s="5">
        <v>174.28</v>
      </c>
      <c r="G7" s="6"/>
      <c r="I7" t="s">
        <v>12</v>
      </c>
      <c r="J7">
        <f>10*10/8/(50)</f>
        <v>0.25</v>
      </c>
    </row>
    <row r="8" spans="1:17" ht="14.4" thickBot="1" x14ac:dyDescent="0.3">
      <c r="A8" s="4" t="s">
        <v>5</v>
      </c>
      <c r="B8" s="5">
        <v>179.63</v>
      </c>
      <c r="C8" s="5"/>
      <c r="D8" s="5"/>
      <c r="E8" s="5" t="s">
        <v>5</v>
      </c>
      <c r="F8" s="5">
        <v>179.92</v>
      </c>
      <c r="G8" s="6"/>
    </row>
    <row r="9" spans="1:17" x14ac:dyDescent="0.25">
      <c r="A9" s="4" t="s">
        <v>6</v>
      </c>
      <c r="B9" s="5">
        <f>B4/(B8-B7)</f>
        <v>31.633273703041127</v>
      </c>
      <c r="C9" s="5"/>
      <c r="D9" s="5"/>
      <c r="E9" s="5" t="s">
        <v>6</v>
      </c>
      <c r="F9" s="5">
        <f>F4/(F8-F7)</f>
        <v>31.386524822695112</v>
      </c>
      <c r="G9" s="6"/>
      <c r="I9" s="10" t="s">
        <v>10</v>
      </c>
      <c r="J9" s="11">
        <v>2</v>
      </c>
      <c r="K9" s="11">
        <v>3</v>
      </c>
      <c r="L9" s="11">
        <v>4</v>
      </c>
      <c r="M9" s="11">
        <v>5</v>
      </c>
      <c r="N9" s="11">
        <v>6</v>
      </c>
      <c r="O9" s="11">
        <v>7</v>
      </c>
      <c r="P9" s="11">
        <v>8</v>
      </c>
      <c r="Q9" s="12">
        <v>9</v>
      </c>
    </row>
    <row r="10" spans="1:17" x14ac:dyDescent="0.25">
      <c r="A10" s="4" t="s">
        <v>8</v>
      </c>
      <c r="B10" s="5">
        <f>1/(2*PI()*B4*B9*B5*1000)</f>
        <v>4.7318430728000979E-10</v>
      </c>
      <c r="C10" s="5"/>
      <c r="D10" s="5"/>
      <c r="E10" s="5" t="s">
        <v>8</v>
      </c>
      <c r="F10" s="5">
        <f>1/(2*PI()*F4*F9*F5*1000)</f>
        <v>4.6963763546793551E-10</v>
      </c>
      <c r="G10" s="6"/>
      <c r="I10" s="13" t="s">
        <v>13</v>
      </c>
      <c r="J10" s="14">
        <f>(2*PI()*B4*(10^3)*J5*B11)^2/(50+B5)+B5</f>
        <v>2167.0660974121038</v>
      </c>
      <c r="K10" s="14">
        <f>(2*PI()*B4*10^3*K5*B11)^2/(50+B5)+B5</f>
        <v>1534.8082014421061</v>
      </c>
      <c r="L10" s="14">
        <f>(2*PI()*B4*10^3*L5*B11)^2/(50+B5)+B5</f>
        <v>889.72880382465939</v>
      </c>
      <c r="M10" s="14">
        <f>(2*PI()*B4*10^3*M5*B11)^2/(50+B5)+B5</f>
        <v>503.41782459155496</v>
      </c>
      <c r="N10" s="14">
        <f>(2*PI()*B4*10^3*N5*B11)^2/(50+B5)+B5</f>
        <v>439.45926544853546</v>
      </c>
      <c r="O10" s="14">
        <f>(2*PI()*B4*10^3*O5*B11)^2/(50+B5)+B5</f>
        <v>244.04808352182943</v>
      </c>
      <c r="P10" s="14">
        <f>(2*PI()*B4*10^3*P5*B11)^2/(50+B5)+B5</f>
        <v>166.96363445647256</v>
      </c>
      <c r="Q10" s="15">
        <f>(2*PI()*B4*10^3*Q5*B11)^2/(50+B5)+B5</f>
        <v>84.738357500009499</v>
      </c>
    </row>
    <row r="11" spans="1:17" ht="14.4" thickBot="1" x14ac:dyDescent="0.3">
      <c r="A11" s="7" t="s">
        <v>9</v>
      </c>
      <c r="B11" s="8">
        <f>B9*B5/(2*PI()*B4*1000)</f>
        <v>1.7119774354674602E-3</v>
      </c>
      <c r="C11" s="8"/>
      <c r="D11" s="8"/>
      <c r="E11" s="8" t="s">
        <v>9</v>
      </c>
      <c r="F11" s="8">
        <f>F9*F5/(2*PI()*F4*1000)</f>
        <v>1.7212053909623087E-3</v>
      </c>
      <c r="G11" s="9"/>
      <c r="I11" s="13" t="s">
        <v>14</v>
      </c>
      <c r="J11" s="14">
        <v>42.954999999999998</v>
      </c>
      <c r="K11" s="14">
        <v>35.933</v>
      </c>
      <c r="L11" s="14">
        <v>27.332000000000001</v>
      </c>
      <c r="M11" s="14">
        <v>20.311</v>
      </c>
      <c r="N11" s="14">
        <v>18.434999999999999</v>
      </c>
      <c r="O11" s="14">
        <v>13.411</v>
      </c>
      <c r="P11" s="14">
        <v>10.321999999999999</v>
      </c>
      <c r="Q11" s="15">
        <v>6.5720000000000001</v>
      </c>
    </row>
    <row r="12" spans="1:17" x14ac:dyDescent="0.25">
      <c r="I12" s="13" t="s">
        <v>15</v>
      </c>
      <c r="J12" s="14">
        <v>175.2</v>
      </c>
      <c r="K12" s="14">
        <v>175.24</v>
      </c>
      <c r="L12" s="14">
        <v>175.41</v>
      </c>
      <c r="M12" s="14">
        <v>175.47</v>
      </c>
      <c r="N12" s="14">
        <v>176.21</v>
      </c>
      <c r="O12" s="14">
        <v>175.61</v>
      </c>
      <c r="P12" s="14">
        <v>175.91</v>
      </c>
      <c r="Q12" s="15">
        <v>175.71</v>
      </c>
    </row>
    <row r="13" spans="1:17" x14ac:dyDescent="0.25">
      <c r="I13" s="13" t="s">
        <v>16</v>
      </c>
      <c r="J13" s="14">
        <f>J11*J11/8/J10</f>
        <v>0.10643030381049778</v>
      </c>
      <c r="K13" s="14">
        <f t="shared" ref="K13:Q13" si="1">K11*K11/8/SQRT(K10^2+(2*PI()*K12*1000*0.001721-1/(2*PI()*K12*1000*4.7*10^(-10)))^2)</f>
        <v>0.10512687180794393</v>
      </c>
      <c r="L13" s="14">
        <f t="shared" si="1"/>
        <v>0.10487778690929483</v>
      </c>
      <c r="M13" s="14">
        <f t="shared" si="1"/>
        <v>0.10222234037777507</v>
      </c>
      <c r="N13" s="14">
        <f t="shared" si="1"/>
        <v>9.6600409602948994E-2</v>
      </c>
      <c r="O13" s="14">
        <f t="shared" si="1"/>
        <v>9.1461217512023671E-2</v>
      </c>
      <c r="P13" s="14">
        <f t="shared" si="1"/>
        <v>7.9030504671691953E-2</v>
      </c>
      <c r="Q13" s="14">
        <f t="shared" si="1"/>
        <v>6.0668173105065941E-2</v>
      </c>
    </row>
    <row r="14" spans="1:17" x14ac:dyDescent="0.25">
      <c r="I14" s="13" t="s">
        <v>17</v>
      </c>
      <c r="J14" s="14">
        <f>J13/0.25</f>
        <v>0.42572121524199114</v>
      </c>
      <c r="K14" s="14">
        <f t="shared" ref="K14:Q14" si="2">K13/0.25</f>
        <v>0.42050748723177572</v>
      </c>
      <c r="L14" s="14">
        <f t="shared" si="2"/>
        <v>0.41951114763717934</v>
      </c>
      <c r="M14" s="14">
        <f t="shared" si="2"/>
        <v>0.40888936151110028</v>
      </c>
      <c r="N14" s="14">
        <f t="shared" si="2"/>
        <v>0.38640163841179598</v>
      </c>
      <c r="O14" s="14">
        <f t="shared" si="2"/>
        <v>0.36584487004809468</v>
      </c>
      <c r="P14" s="14">
        <f t="shared" si="2"/>
        <v>0.31612201868676781</v>
      </c>
      <c r="Q14" s="14">
        <f t="shared" si="2"/>
        <v>0.24267269242026376</v>
      </c>
    </row>
    <row r="15" spans="1:17" x14ac:dyDescent="0.25">
      <c r="I15" s="13" t="s">
        <v>18</v>
      </c>
      <c r="J15" s="14">
        <f>J11/J10</f>
        <v>1.9821730426818351E-2</v>
      </c>
      <c r="K15" s="14">
        <f>K11/K10</f>
        <v>2.3412045860999015E-2</v>
      </c>
      <c r="L15" s="14">
        <f t="shared" ref="L15:P15" si="3">L11/L10</f>
        <v>3.0719473037748669E-2</v>
      </c>
      <c r="M15" s="14">
        <f t="shared" si="3"/>
        <v>4.0346207479799126E-2</v>
      </c>
      <c r="N15" s="14">
        <f t="shared" si="3"/>
        <v>4.1949280512231908E-2</v>
      </c>
      <c r="O15" s="14">
        <f t="shared" si="3"/>
        <v>5.4952285658085992E-2</v>
      </c>
      <c r="P15" s="14">
        <f t="shared" si="3"/>
        <v>6.182184541922478E-2</v>
      </c>
      <c r="Q15" s="15">
        <f>Q11/Q10</f>
        <v>7.7556376992547485E-2</v>
      </c>
    </row>
    <row r="16" spans="1:17" ht="14.4" thickBot="1" x14ac:dyDescent="0.3">
      <c r="I16" s="16" t="s">
        <v>19</v>
      </c>
      <c r="J16" s="17">
        <f>J15*0.001721*2*PI()*J12*1000</f>
        <v>37.55228825949218</v>
      </c>
      <c r="K16" s="17">
        <f>K15*0.001721*2*PI()*K12*1000</f>
        <v>44.364270982974979</v>
      </c>
      <c r="L16" s="17">
        <f t="shared" ref="L16:P16" si="4">L15*0.001721*2*PI()*L12*1000</f>
        <v>58.267830576644926</v>
      </c>
      <c r="M16" s="17">
        <f t="shared" si="4"/>
        <v>76.553725808803549</v>
      </c>
      <c r="N16" s="17">
        <f t="shared" si="4"/>
        <v>79.931103064500022</v>
      </c>
      <c r="O16" s="17">
        <f t="shared" si="4"/>
        <v>104.35079030182189</v>
      </c>
      <c r="P16" s="17">
        <f t="shared" si="4"/>
        <v>117.5961848301374</v>
      </c>
      <c r="Q16" s="18">
        <f>Q15*0.001721*2*PI()*Q12*1000</f>
        <v>147.35834337108781</v>
      </c>
    </row>
    <row r="21" spans="2:10" ht="14.4" thickBot="1" x14ac:dyDescent="0.3">
      <c r="B21" t="s">
        <v>15</v>
      </c>
      <c r="C21">
        <f>50/(2*PI()*SQRT(B11*F11))</f>
        <v>4635.8008315073057</v>
      </c>
      <c r="E21" t="s">
        <v>25</v>
      </c>
      <c r="F21">
        <f>(20/50)^2/8*SQRT(50^2+(0.001711977*2*PI()*4635.800832)^2)</f>
        <v>1.4123165937825355</v>
      </c>
    </row>
    <row r="22" spans="2:10" x14ac:dyDescent="0.25">
      <c r="B22" s="10" t="s">
        <v>10</v>
      </c>
      <c r="C22" s="11">
        <v>2</v>
      </c>
      <c r="D22" s="11">
        <v>3</v>
      </c>
      <c r="E22" s="11">
        <v>4</v>
      </c>
      <c r="F22" s="11">
        <v>5</v>
      </c>
      <c r="G22" s="11">
        <v>6</v>
      </c>
      <c r="H22" s="11">
        <v>7</v>
      </c>
      <c r="I22" s="11">
        <v>8</v>
      </c>
      <c r="J22" s="12">
        <v>9</v>
      </c>
    </row>
    <row r="23" spans="2:10" x14ac:dyDescent="0.25">
      <c r="B23" s="4" t="s">
        <v>20</v>
      </c>
      <c r="C23" s="5">
        <v>2.7149999999999999</v>
      </c>
      <c r="D23" s="5">
        <v>2.718</v>
      </c>
      <c r="E23" s="5">
        <v>2.7149999999999999</v>
      </c>
      <c r="F23" s="5">
        <v>2.718</v>
      </c>
      <c r="G23" s="5">
        <v>2.718</v>
      </c>
      <c r="H23" s="5">
        <v>2.714</v>
      </c>
      <c r="I23" s="5">
        <v>2.714</v>
      </c>
      <c r="J23" s="6">
        <v>2.7120000000000002</v>
      </c>
    </row>
    <row r="24" spans="2:10" x14ac:dyDescent="0.25">
      <c r="B24" s="4" t="s">
        <v>21</v>
      </c>
      <c r="C24" s="5">
        <v>2.585</v>
      </c>
      <c r="D24" s="5">
        <v>2.141</v>
      </c>
      <c r="E24" s="5">
        <v>1.8660000000000001</v>
      </c>
      <c r="F24" s="5">
        <v>1.28</v>
      </c>
      <c r="G24" s="5">
        <v>1.0289999999999999</v>
      </c>
      <c r="H24" s="5">
        <v>0.82599999999999996</v>
      </c>
      <c r="I24" s="5">
        <v>0.70399999999999996</v>
      </c>
      <c r="J24" s="6">
        <v>0.57899999999999996</v>
      </c>
    </row>
    <row r="25" spans="2:10" x14ac:dyDescent="0.25">
      <c r="B25" s="4" t="s">
        <v>22</v>
      </c>
      <c r="C25" s="5">
        <f>C23/10</f>
        <v>0.27149999999999996</v>
      </c>
      <c r="D25" s="5">
        <f t="shared" ref="D25:J25" si="5">D23/10</f>
        <v>0.27179999999999999</v>
      </c>
      <c r="E25" s="5">
        <f t="shared" si="5"/>
        <v>0.27149999999999996</v>
      </c>
      <c r="F25" s="5">
        <f t="shared" si="5"/>
        <v>0.27179999999999999</v>
      </c>
      <c r="G25" s="5">
        <f t="shared" si="5"/>
        <v>0.27179999999999999</v>
      </c>
      <c r="H25" s="5">
        <f t="shared" si="5"/>
        <v>0.27139999999999997</v>
      </c>
      <c r="I25" s="5">
        <f t="shared" si="5"/>
        <v>0.27139999999999997</v>
      </c>
      <c r="J25" s="6">
        <f t="shared" si="5"/>
        <v>0.2712</v>
      </c>
    </row>
    <row r="26" spans="2:10" x14ac:dyDescent="0.25">
      <c r="B26" s="4" t="s">
        <v>23</v>
      </c>
      <c r="C26" s="5">
        <f>C24/(2*PI()*4635.800832*C25)</f>
        <v>3.2687828901348563E-4</v>
      </c>
      <c r="D26" s="5">
        <f t="shared" ref="D26:J26" si="6">D24/(2*PI()*4635.800832*D25)</f>
        <v>2.7043480052774105E-4</v>
      </c>
      <c r="E26" s="5">
        <f t="shared" si="6"/>
        <v>2.3595933744648522E-4</v>
      </c>
      <c r="F26" s="5">
        <f t="shared" si="6"/>
        <v>1.6167984337949956E-4</v>
      </c>
      <c r="G26" s="5">
        <f t="shared" si="6"/>
        <v>1.299754365918008E-4</v>
      </c>
      <c r="H26" s="5">
        <f t="shared" si="6"/>
        <v>1.0448779552100402E-4</v>
      </c>
      <c r="I26" s="5">
        <f t="shared" si="6"/>
        <v>8.905497342226008E-5</v>
      </c>
      <c r="J26" s="6">
        <f t="shared" si="6"/>
        <v>7.3296669456026677E-5</v>
      </c>
    </row>
    <row r="27" spans="2:10" ht="14.4" thickBot="1" x14ac:dyDescent="0.3">
      <c r="B27" s="7" t="s">
        <v>11</v>
      </c>
      <c r="C27" s="8">
        <f>C26/SQRT(0.001711977*0.001721)</f>
        <v>0.19043495955680395</v>
      </c>
      <c r="D27" s="8">
        <f t="shared" ref="D27:J27" si="7">D26/SQRT(0.001711977*0.001721)</f>
        <v>0.15755173112499996</v>
      </c>
      <c r="E27" s="8">
        <f t="shared" si="7"/>
        <v>0.13746678318491151</v>
      </c>
      <c r="F27" s="8">
        <f t="shared" si="7"/>
        <v>9.4192534255020985E-2</v>
      </c>
      <c r="G27" s="8">
        <f t="shared" si="7"/>
        <v>7.5721966990950448E-2</v>
      </c>
      <c r="H27" s="8">
        <f t="shared" si="7"/>
        <v>6.0873205052174903E-2</v>
      </c>
      <c r="I27" s="8">
        <f t="shared" si="7"/>
        <v>5.1882247405243498E-2</v>
      </c>
      <c r="J27" s="9">
        <f t="shared" si="7"/>
        <v>4.2701668335430529E-2</v>
      </c>
    </row>
    <row r="28" spans="2:10" x14ac:dyDescent="0.25">
      <c r="B28" s="19" t="s">
        <v>21</v>
      </c>
      <c r="C28">
        <v>1.998</v>
      </c>
      <c r="D28">
        <v>1.67</v>
      </c>
      <c r="E28">
        <v>1.3779999999999999</v>
      </c>
      <c r="F28">
        <v>1.121</v>
      </c>
      <c r="G28">
        <v>0.81</v>
      </c>
      <c r="H28">
        <v>0.65</v>
      </c>
      <c r="I28">
        <v>0.54300000000000004</v>
      </c>
      <c r="J28">
        <v>0.44409999999999999</v>
      </c>
    </row>
    <row r="29" spans="2:10" x14ac:dyDescent="0.25">
      <c r="B29" s="19" t="s">
        <v>24</v>
      </c>
      <c r="C29">
        <f>(C28^2/50)/8</f>
        <v>9.980010000000001E-3</v>
      </c>
      <c r="D29">
        <f t="shared" ref="D29:J29" si="8">(D28^2/50)/8</f>
        <v>6.9722500000000001E-3</v>
      </c>
      <c r="E29">
        <f t="shared" si="8"/>
        <v>4.7472099999999991E-3</v>
      </c>
      <c r="F29">
        <f t="shared" si="8"/>
        <v>3.1416024999999996E-3</v>
      </c>
      <c r="G29">
        <f t="shared" si="8"/>
        <v>1.6402500000000002E-3</v>
      </c>
      <c r="H29">
        <f t="shared" si="8"/>
        <v>1.0562500000000001E-3</v>
      </c>
      <c r="I29">
        <f t="shared" si="8"/>
        <v>7.3712250000000006E-4</v>
      </c>
      <c r="J29">
        <f t="shared" si="8"/>
        <v>4.9306202499999996E-4</v>
      </c>
    </row>
    <row r="30" spans="2:10" x14ac:dyDescent="0.25">
      <c r="B30" t="s">
        <v>17</v>
      </c>
      <c r="C30">
        <f>C29/0.25</f>
        <v>3.9920040000000004E-2</v>
      </c>
      <c r="D30">
        <f t="shared" ref="D30:J30" si="9">D29/0.25</f>
        <v>2.7889000000000001E-2</v>
      </c>
      <c r="E30">
        <f t="shared" si="9"/>
        <v>1.8988839999999996E-2</v>
      </c>
      <c r="F30">
        <f t="shared" si="9"/>
        <v>1.2566409999999998E-2</v>
      </c>
      <c r="G30">
        <f t="shared" si="9"/>
        <v>6.5610000000000009E-3</v>
      </c>
      <c r="H30">
        <f t="shared" si="9"/>
        <v>4.2250000000000005E-3</v>
      </c>
      <c r="I30">
        <f t="shared" si="9"/>
        <v>2.9484900000000002E-3</v>
      </c>
      <c r="J30">
        <f t="shared" si="9"/>
        <v>1.9722480999999998E-3</v>
      </c>
    </row>
    <row r="31" spans="2:10" x14ac:dyDescent="0.25">
      <c r="B31" t="s">
        <v>26</v>
      </c>
      <c r="C31">
        <f>C28/50</f>
        <v>3.9960000000000002E-2</v>
      </c>
      <c r="D31">
        <f t="shared" ref="D31:J31" si="10">D28/50</f>
        <v>3.3399999999999999E-2</v>
      </c>
      <c r="E31">
        <f t="shared" si="10"/>
        <v>2.7559999999999998E-2</v>
      </c>
      <c r="F31">
        <f t="shared" si="10"/>
        <v>2.2419999999999999E-2</v>
      </c>
      <c r="G31">
        <f t="shared" si="10"/>
        <v>1.6200000000000003E-2</v>
      </c>
      <c r="H31">
        <f t="shared" si="10"/>
        <v>1.3000000000000001E-2</v>
      </c>
      <c r="I31">
        <f t="shared" si="10"/>
        <v>1.0860000000000002E-2</v>
      </c>
      <c r="J31">
        <f t="shared" si="10"/>
        <v>8.8819999999999993E-3</v>
      </c>
    </row>
    <row r="32" spans="2:10" x14ac:dyDescent="0.25">
      <c r="B32" t="s">
        <v>27</v>
      </c>
      <c r="C32">
        <f>C31*0.001721*2*PI()*4635.800832</f>
        <v>2.0031385425555146</v>
      </c>
      <c r="D32">
        <f t="shared" ref="D32:J32" si="11">D31*0.001721*2*PI()*4635.800832</f>
        <v>1.6742949780118666</v>
      </c>
      <c r="E32">
        <f t="shared" si="11"/>
        <v>1.3815439998205701</v>
      </c>
      <c r="F32">
        <f t="shared" si="11"/>
        <v>1.1238830361385044</v>
      </c>
      <c r="G32">
        <f t="shared" si="11"/>
        <v>0.81208319292791142</v>
      </c>
      <c r="H32">
        <f t="shared" si="11"/>
        <v>0.65167169802857094</v>
      </c>
      <c r="I32">
        <f t="shared" si="11"/>
        <v>0.54439651081463691</v>
      </c>
      <c r="J32">
        <f t="shared" si="11"/>
        <v>0.44524215552998198</v>
      </c>
    </row>
    <row r="33" spans="2:13" x14ac:dyDescent="0.25">
      <c r="B33" t="s">
        <v>28</v>
      </c>
      <c r="C33">
        <f>J14/C30</f>
        <v>10.664348413528421</v>
      </c>
      <c r="D33">
        <f t="shared" ref="D33:J33" si="12">K14/D30</f>
        <v>15.07789763820057</v>
      </c>
      <c r="E33">
        <f t="shared" si="12"/>
        <v>22.092510529193959</v>
      </c>
      <c r="F33">
        <f t="shared" si="12"/>
        <v>32.538279549298515</v>
      </c>
      <c r="G33">
        <f t="shared" si="12"/>
        <v>58.893711082425838</v>
      </c>
      <c r="H33">
        <f t="shared" si="12"/>
        <v>86.590501786531277</v>
      </c>
      <c r="I33">
        <f t="shared" si="12"/>
        <v>107.21488581842495</v>
      </c>
      <c r="J33">
        <f t="shared" si="12"/>
        <v>123.04369436089901</v>
      </c>
    </row>
    <row r="37" spans="2:13" x14ac:dyDescent="0.25">
      <c r="M37">
        <v>3.6269999999999997E-2</v>
      </c>
    </row>
    <row r="38" spans="2:13" x14ac:dyDescent="0.25">
      <c r="M38">
        <v>2.4819999999999998E-2</v>
      </c>
    </row>
    <row r="39" spans="2:13" x14ac:dyDescent="0.25">
      <c r="M39">
        <v>1.89E-2</v>
      </c>
    </row>
    <row r="40" spans="2:13" x14ac:dyDescent="0.25">
      <c r="M40">
        <v>8.8699999999999994E-3</v>
      </c>
    </row>
    <row r="41" spans="2:13" x14ac:dyDescent="0.25">
      <c r="M41">
        <v>5.7299999999999999E-3</v>
      </c>
    </row>
    <row r="42" spans="2:13" x14ac:dyDescent="0.25">
      <c r="M42">
        <v>3.7100000000000002E-3</v>
      </c>
    </row>
    <row r="43" spans="2:13" x14ac:dyDescent="0.25">
      <c r="M43">
        <v>2.6900000000000001E-3</v>
      </c>
    </row>
    <row r="44" spans="2:13" x14ac:dyDescent="0.25">
      <c r="C44">
        <v>0.19043495955680395</v>
      </c>
      <c r="D44">
        <v>0.15755173112499996</v>
      </c>
      <c r="E44">
        <v>0.13746678318491151</v>
      </c>
      <c r="F44">
        <v>9.4192534255020985E-2</v>
      </c>
      <c r="G44">
        <v>7.5721966990950448E-2</v>
      </c>
      <c r="H44">
        <v>6.0873205052174903E-2</v>
      </c>
      <c r="I44">
        <v>5.1882247405243498E-2</v>
      </c>
      <c r="J44">
        <v>4.2701668335430529E-2</v>
      </c>
      <c r="M44">
        <v>1.82E-3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Hsv1023</dc:creator>
  <cp:lastModifiedBy>Xsu1023</cp:lastModifiedBy>
  <dcterms:created xsi:type="dcterms:W3CDTF">2015-06-05T18:19:34Z</dcterms:created>
  <dcterms:modified xsi:type="dcterms:W3CDTF">2021-12-06T14:25:22Z</dcterms:modified>
</cp:coreProperties>
</file>