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ta031\Github\FEDPROFERENCE\results\"/>
    </mc:Choice>
  </mc:AlternateContent>
  <xr:revisionPtr revIDLastSave="0" documentId="13_ncr:1_{309BE822-B0AD-4438-8AE5-DD1717A9B6F0}" xr6:coauthVersionLast="47" xr6:coauthVersionMax="47" xr10:uidLastSave="{00000000-0000-0000-0000-000000000000}"/>
  <bookViews>
    <workbookView xWindow="-120" yWindow="-120" windowWidth="30960" windowHeight="15720" activeTab="1" xr2:uid="{00000000-000D-0000-FFFF-FFFF00000000}"/>
  </bookViews>
  <sheets>
    <sheet name="FED_METAFILE" sheetId="2" r:id="rId1"/>
    <sheet name="BODYWEIGHT" sheetId="1" r:id="rId2"/>
    <sheet name="FOOD_INTAKE" sheetId="3" r:id="rId3"/>
    <sheet name="BODY_COMPOSITION" sheetId="4" r:id="rId4"/>
    <sheet name="S1_CAS20_CAS5" sheetId="6" r:id="rId5"/>
    <sheet name="S2_CAS20_SUC" sheetId="7" r:id="rId6"/>
    <sheet name="S3_CAS5_SUC" sheetId="8" r:id="rId7"/>
    <sheet name="S4_CE_CAS5_SUC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4" i="8" l="1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R93" i="8"/>
  <c r="Q93" i="8"/>
  <c r="P93" i="8"/>
  <c r="R92" i="8"/>
  <c r="Q92" i="8"/>
  <c r="P92" i="8"/>
  <c r="R91" i="8"/>
  <c r="Q91" i="8"/>
  <c r="P91" i="8"/>
  <c r="R90" i="8"/>
  <c r="Q90" i="8"/>
  <c r="P90" i="8"/>
  <c r="R89" i="8"/>
  <c r="Q89" i="8"/>
  <c r="P89" i="8"/>
  <c r="R88" i="8"/>
  <c r="Q88" i="8"/>
  <c r="P88" i="8"/>
  <c r="R87" i="8"/>
  <c r="Q87" i="8"/>
  <c r="P87" i="8"/>
  <c r="R86" i="8"/>
  <c r="Q86" i="8"/>
  <c r="P86" i="8"/>
  <c r="R85" i="8"/>
  <c r="Q85" i="8"/>
  <c r="P85" i="8"/>
  <c r="R84" i="8"/>
  <c r="Q84" i="8"/>
  <c r="P84" i="8"/>
  <c r="R83" i="8"/>
  <c r="Q83" i="8"/>
  <c r="P83" i="8"/>
  <c r="R82" i="8"/>
  <c r="Q82" i="8"/>
  <c r="P82" i="8"/>
  <c r="R81" i="8"/>
  <c r="Q81" i="8"/>
  <c r="P81" i="8"/>
  <c r="R80" i="8"/>
  <c r="Q80" i="8"/>
  <c r="P80" i="8"/>
  <c r="R79" i="8"/>
  <c r="Q79" i="8"/>
  <c r="P79" i="8"/>
  <c r="R78" i="8"/>
  <c r="Q78" i="8"/>
  <c r="P78" i="8"/>
  <c r="R77" i="8"/>
  <c r="Q77" i="8"/>
  <c r="P77" i="8"/>
  <c r="R76" i="8"/>
  <c r="Q76" i="8"/>
  <c r="P76" i="8"/>
  <c r="R75" i="8"/>
  <c r="Q75" i="8"/>
  <c r="P75" i="8"/>
  <c r="R74" i="8"/>
  <c r="Q74" i="8"/>
  <c r="P74" i="8"/>
  <c r="R73" i="8"/>
  <c r="Q73" i="8"/>
  <c r="P73" i="8"/>
  <c r="R72" i="8"/>
  <c r="Q72" i="8"/>
  <c r="P72" i="8"/>
  <c r="R71" i="8"/>
  <c r="Q71" i="8"/>
  <c r="P71" i="8"/>
  <c r="R70" i="8"/>
  <c r="Q70" i="8"/>
  <c r="P70" i="8"/>
  <c r="R69" i="8"/>
  <c r="Q69" i="8"/>
  <c r="P69" i="8"/>
  <c r="R68" i="8"/>
  <c r="Q68" i="8"/>
  <c r="P68" i="8"/>
  <c r="R67" i="8"/>
  <c r="Q67" i="8"/>
  <c r="P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R29" i="8"/>
  <c r="Q29" i="8"/>
  <c r="P29" i="8"/>
  <c r="R28" i="8"/>
  <c r="Q28" i="8"/>
  <c r="P28" i="8"/>
  <c r="R27" i="8"/>
  <c r="Q27" i="8"/>
  <c r="P27" i="8"/>
  <c r="R26" i="8"/>
  <c r="Q26" i="8"/>
  <c r="P26" i="8"/>
  <c r="R25" i="8"/>
  <c r="Q25" i="8"/>
  <c r="P25" i="8"/>
  <c r="R24" i="8"/>
  <c r="Q24" i="8"/>
  <c r="P24" i="8"/>
  <c r="R23" i="8"/>
  <c r="Q23" i="8"/>
  <c r="P23" i="8"/>
  <c r="R22" i="8"/>
  <c r="Q22" i="8"/>
  <c r="P22" i="8"/>
  <c r="R21" i="8"/>
  <c r="Q21" i="8"/>
  <c r="P21" i="8"/>
  <c r="R20" i="8"/>
  <c r="Q20" i="8"/>
  <c r="P20" i="8"/>
  <c r="R19" i="8"/>
  <c r="Q19" i="8"/>
  <c r="P19" i="8"/>
  <c r="R18" i="8"/>
  <c r="Q18" i="8"/>
  <c r="P18" i="8"/>
  <c r="R17" i="8"/>
  <c r="Q17" i="8"/>
  <c r="P17" i="8"/>
  <c r="R16" i="8"/>
  <c r="Q16" i="8"/>
  <c r="P16" i="8"/>
  <c r="R15" i="8"/>
  <c r="Q15" i="8"/>
  <c r="P15" i="8"/>
  <c r="R14" i="8"/>
  <c r="Q14" i="8"/>
  <c r="P14" i="8"/>
  <c r="R13" i="8"/>
  <c r="Q13" i="8"/>
  <c r="P13" i="8"/>
  <c r="R12" i="8"/>
  <c r="Q12" i="8"/>
  <c r="P12" i="8"/>
  <c r="R11" i="8"/>
  <c r="Q11" i="8"/>
  <c r="P11" i="8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Q3" i="8"/>
  <c r="P3" i="8"/>
  <c r="R2" i="8"/>
  <c r="Q2" i="8"/>
  <c r="P2" i="8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R93" i="7"/>
  <c r="Q93" i="7"/>
  <c r="P93" i="7"/>
  <c r="R92" i="7"/>
  <c r="Q92" i="7"/>
  <c r="P92" i="7"/>
  <c r="R91" i="7"/>
  <c r="Q91" i="7"/>
  <c r="P91" i="7"/>
  <c r="R90" i="7"/>
  <c r="Q90" i="7"/>
  <c r="P90" i="7"/>
  <c r="R89" i="7"/>
  <c r="Q89" i="7"/>
  <c r="P89" i="7"/>
  <c r="R88" i="7"/>
  <c r="Q88" i="7"/>
  <c r="P88" i="7"/>
  <c r="R87" i="7"/>
  <c r="Q87" i="7"/>
  <c r="P87" i="7"/>
  <c r="R86" i="7"/>
  <c r="Q86" i="7"/>
  <c r="P86" i="7"/>
  <c r="R85" i="7"/>
  <c r="Q85" i="7"/>
  <c r="P85" i="7"/>
  <c r="R84" i="7"/>
  <c r="Q84" i="7"/>
  <c r="P84" i="7"/>
  <c r="R83" i="7"/>
  <c r="Q83" i="7"/>
  <c r="P83" i="7"/>
  <c r="R82" i="7"/>
  <c r="Q82" i="7"/>
  <c r="P82" i="7"/>
  <c r="R81" i="7"/>
  <c r="Q81" i="7"/>
  <c r="P81" i="7"/>
  <c r="R80" i="7"/>
  <c r="Q80" i="7"/>
  <c r="P80" i="7"/>
  <c r="R79" i="7"/>
  <c r="Q79" i="7"/>
  <c r="P79" i="7"/>
  <c r="R78" i="7"/>
  <c r="Q78" i="7"/>
  <c r="P78" i="7"/>
  <c r="R77" i="7"/>
  <c r="Q77" i="7"/>
  <c r="P77" i="7"/>
  <c r="R76" i="7"/>
  <c r="Q76" i="7"/>
  <c r="P76" i="7"/>
  <c r="R75" i="7"/>
  <c r="Q75" i="7"/>
  <c r="P75" i="7"/>
  <c r="R74" i="7"/>
  <c r="Q74" i="7"/>
  <c r="P74" i="7"/>
  <c r="R73" i="7"/>
  <c r="Q73" i="7"/>
  <c r="P73" i="7"/>
  <c r="R72" i="7"/>
  <c r="Q72" i="7"/>
  <c r="P72" i="7"/>
  <c r="R71" i="7"/>
  <c r="Q71" i="7"/>
  <c r="P71" i="7"/>
  <c r="R70" i="7"/>
  <c r="Q70" i="7"/>
  <c r="P70" i="7"/>
  <c r="R69" i="7"/>
  <c r="Q69" i="7"/>
  <c r="P69" i="7"/>
  <c r="R68" i="7"/>
  <c r="Q68" i="7"/>
  <c r="P68" i="7"/>
  <c r="R67" i="7"/>
  <c r="Q67" i="7"/>
  <c r="P67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R29" i="7"/>
  <c r="Q29" i="7"/>
  <c r="P29" i="7"/>
  <c r="R28" i="7"/>
  <c r="Q28" i="7"/>
  <c r="P28" i="7"/>
  <c r="R27" i="7"/>
  <c r="Q27" i="7"/>
  <c r="P27" i="7"/>
  <c r="R26" i="7"/>
  <c r="Q26" i="7"/>
  <c r="P26" i="7"/>
  <c r="R25" i="7"/>
  <c r="Q25" i="7"/>
  <c r="P25" i="7"/>
  <c r="R24" i="7"/>
  <c r="Q24" i="7"/>
  <c r="P24" i="7"/>
  <c r="R23" i="7"/>
  <c r="Q23" i="7"/>
  <c r="P23" i="7"/>
  <c r="R22" i="7"/>
  <c r="Q22" i="7"/>
  <c r="P22" i="7"/>
  <c r="R21" i="7"/>
  <c r="Q21" i="7"/>
  <c r="P21" i="7"/>
  <c r="R20" i="7"/>
  <c r="Q20" i="7"/>
  <c r="P20" i="7"/>
  <c r="R19" i="7"/>
  <c r="Q19" i="7"/>
  <c r="P19" i="7"/>
  <c r="R18" i="7"/>
  <c r="Q18" i="7"/>
  <c r="P18" i="7"/>
  <c r="R17" i="7"/>
  <c r="Q17" i="7"/>
  <c r="P17" i="7"/>
  <c r="R16" i="7"/>
  <c r="Q16" i="7"/>
  <c r="P16" i="7"/>
  <c r="R15" i="7"/>
  <c r="Q15" i="7"/>
  <c r="P15" i="7"/>
  <c r="R14" i="7"/>
  <c r="Q14" i="7"/>
  <c r="P14" i="7"/>
  <c r="R13" i="7"/>
  <c r="Q13" i="7"/>
  <c r="P13" i="7"/>
  <c r="R12" i="7"/>
  <c r="Q12" i="7"/>
  <c r="P12" i="7"/>
  <c r="R11" i="7"/>
  <c r="Q11" i="7"/>
  <c r="P11" i="7"/>
  <c r="R10" i="7"/>
  <c r="Q10" i="7"/>
  <c r="P10" i="7"/>
  <c r="R9" i="7"/>
  <c r="Q9" i="7"/>
  <c r="P9" i="7"/>
  <c r="R8" i="7"/>
  <c r="Q8" i="7"/>
  <c r="P8" i="7"/>
  <c r="R7" i="7"/>
  <c r="Q7" i="7"/>
  <c r="P7" i="7"/>
  <c r="R6" i="7"/>
  <c r="Q6" i="7"/>
  <c r="P6" i="7"/>
  <c r="R5" i="7"/>
  <c r="Q5" i="7"/>
  <c r="P5" i="7"/>
  <c r="R4" i="7"/>
  <c r="Q4" i="7"/>
  <c r="P4" i="7"/>
  <c r="R3" i="7"/>
  <c r="Q3" i="7"/>
  <c r="P3" i="7"/>
  <c r="V189" i="6"/>
  <c r="C189" i="6"/>
  <c r="V188" i="6"/>
  <c r="C188" i="6"/>
  <c r="V187" i="6"/>
  <c r="C187" i="6"/>
  <c r="V186" i="6"/>
  <c r="C186" i="6"/>
  <c r="V185" i="6"/>
  <c r="C185" i="6"/>
  <c r="V184" i="6"/>
  <c r="C184" i="6"/>
  <c r="V183" i="6"/>
  <c r="C183" i="6"/>
  <c r="V182" i="6"/>
  <c r="C182" i="6"/>
  <c r="V181" i="6"/>
  <c r="C181" i="6"/>
  <c r="V180" i="6"/>
  <c r="C180" i="6"/>
  <c r="V179" i="6"/>
  <c r="C179" i="6"/>
  <c r="V178" i="6"/>
  <c r="C178" i="6"/>
  <c r="V177" i="6"/>
  <c r="C177" i="6"/>
  <c r="V176" i="6"/>
  <c r="C176" i="6"/>
  <c r="V175" i="6"/>
  <c r="C175" i="6"/>
  <c r="V174" i="6"/>
  <c r="C174" i="6"/>
  <c r="V173" i="6"/>
  <c r="C173" i="6"/>
  <c r="V172" i="6"/>
  <c r="C172" i="6"/>
  <c r="V171" i="6"/>
  <c r="C171" i="6"/>
  <c r="V170" i="6"/>
  <c r="C170" i="6"/>
  <c r="V169" i="6"/>
  <c r="C169" i="6"/>
  <c r="V168" i="6"/>
  <c r="C168" i="6"/>
  <c r="V167" i="6"/>
  <c r="C167" i="6"/>
  <c r="V166" i="6"/>
  <c r="C166" i="6"/>
  <c r="V165" i="6"/>
  <c r="C165" i="6"/>
  <c r="V164" i="6"/>
  <c r="C164" i="6"/>
  <c r="V163" i="6"/>
  <c r="C163" i="6"/>
  <c r="V162" i="6"/>
  <c r="C162" i="6"/>
  <c r="V161" i="6"/>
  <c r="C161" i="6"/>
  <c r="V160" i="6"/>
  <c r="C160" i="6"/>
  <c r="V159" i="6"/>
  <c r="C159" i="6"/>
  <c r="V153" i="6"/>
  <c r="C153" i="6"/>
  <c r="V152" i="6"/>
  <c r="C152" i="6"/>
  <c r="V151" i="6"/>
  <c r="C151" i="6"/>
  <c r="V150" i="6"/>
  <c r="C150" i="6"/>
  <c r="V149" i="6"/>
  <c r="C149" i="6"/>
  <c r="V148" i="6"/>
  <c r="C148" i="6"/>
  <c r="V147" i="6"/>
  <c r="C147" i="6"/>
  <c r="V146" i="6"/>
  <c r="C146" i="6"/>
  <c r="V145" i="6"/>
  <c r="C145" i="6"/>
  <c r="V144" i="6"/>
  <c r="C144" i="6"/>
  <c r="V143" i="6"/>
  <c r="C143" i="6"/>
  <c r="V142" i="6"/>
  <c r="C142" i="6"/>
  <c r="V141" i="6"/>
  <c r="C141" i="6"/>
  <c r="V140" i="6"/>
  <c r="C140" i="6"/>
  <c r="V139" i="6"/>
  <c r="C139" i="6"/>
  <c r="V138" i="6"/>
  <c r="C138" i="6"/>
  <c r="V137" i="6"/>
  <c r="C137" i="6"/>
  <c r="V136" i="6"/>
  <c r="C136" i="6"/>
  <c r="V135" i="6"/>
  <c r="C135" i="6"/>
  <c r="V134" i="6"/>
  <c r="C134" i="6"/>
  <c r="V133" i="6"/>
  <c r="C133" i="6"/>
  <c r="V132" i="6"/>
  <c r="C132" i="6"/>
  <c r="V131" i="6"/>
  <c r="C131" i="6"/>
  <c r="V130" i="6"/>
  <c r="C130" i="6"/>
  <c r="V129" i="6"/>
  <c r="C129" i="6"/>
  <c r="V128" i="6"/>
  <c r="V190" i="6" s="1"/>
  <c r="C128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R92" i="6"/>
  <c r="Q92" i="6"/>
  <c r="P92" i="6"/>
  <c r="R91" i="6"/>
  <c r="Q91" i="6"/>
  <c r="P91" i="6"/>
  <c r="R90" i="6"/>
  <c r="Q90" i="6"/>
  <c r="P90" i="6"/>
  <c r="R89" i="6"/>
  <c r="Q89" i="6"/>
  <c r="P89" i="6"/>
  <c r="R88" i="6"/>
  <c r="Q88" i="6"/>
  <c r="P88" i="6"/>
  <c r="R87" i="6"/>
  <c r="Q87" i="6"/>
  <c r="P87" i="6"/>
  <c r="R86" i="6"/>
  <c r="Q86" i="6"/>
  <c r="P86" i="6"/>
  <c r="R85" i="6"/>
  <c r="Q85" i="6"/>
  <c r="P85" i="6"/>
  <c r="R84" i="6"/>
  <c r="Q84" i="6"/>
  <c r="P84" i="6"/>
  <c r="R83" i="6"/>
  <c r="Q83" i="6"/>
  <c r="P83" i="6"/>
  <c r="R82" i="6"/>
  <c r="Q82" i="6"/>
  <c r="P82" i="6"/>
  <c r="R81" i="6"/>
  <c r="Q81" i="6"/>
  <c r="P81" i="6"/>
  <c r="R80" i="6"/>
  <c r="Q80" i="6"/>
  <c r="P80" i="6"/>
  <c r="R79" i="6"/>
  <c r="Q79" i="6"/>
  <c r="P79" i="6"/>
  <c r="R78" i="6"/>
  <c r="Q78" i="6"/>
  <c r="P78" i="6"/>
  <c r="R77" i="6"/>
  <c r="Q77" i="6"/>
  <c r="P77" i="6"/>
  <c r="R76" i="6"/>
  <c r="Q76" i="6"/>
  <c r="P76" i="6"/>
  <c r="R75" i="6"/>
  <c r="Q75" i="6"/>
  <c r="P75" i="6"/>
  <c r="R74" i="6"/>
  <c r="Q74" i="6"/>
  <c r="P74" i="6"/>
  <c r="R73" i="6"/>
  <c r="Q73" i="6"/>
  <c r="P73" i="6"/>
  <c r="R72" i="6"/>
  <c r="Q72" i="6"/>
  <c r="P72" i="6"/>
  <c r="R71" i="6"/>
  <c r="Q71" i="6"/>
  <c r="P71" i="6"/>
  <c r="R70" i="6"/>
  <c r="Q70" i="6"/>
  <c r="P70" i="6"/>
  <c r="R69" i="6"/>
  <c r="Q69" i="6"/>
  <c r="P69" i="6"/>
  <c r="R68" i="6"/>
  <c r="Q68" i="6"/>
  <c r="P68" i="6"/>
  <c r="R67" i="6"/>
  <c r="Q67" i="6"/>
  <c r="P67" i="6"/>
  <c r="R66" i="6"/>
  <c r="Q66" i="6"/>
  <c r="P66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R29" i="6"/>
  <c r="Q29" i="6"/>
  <c r="P29" i="6"/>
  <c r="R28" i="6"/>
  <c r="Q28" i="6"/>
  <c r="P28" i="6"/>
  <c r="R27" i="6"/>
  <c r="Q27" i="6"/>
  <c r="P27" i="6"/>
  <c r="R26" i="6"/>
  <c r="Q26" i="6"/>
  <c r="P26" i="6"/>
  <c r="R25" i="6"/>
  <c r="Q25" i="6"/>
  <c r="P25" i="6"/>
  <c r="R24" i="6"/>
  <c r="Q24" i="6"/>
  <c r="P24" i="6"/>
  <c r="R23" i="6"/>
  <c r="Q23" i="6"/>
  <c r="P23" i="6"/>
  <c r="R22" i="6"/>
  <c r="Q22" i="6"/>
  <c r="P22" i="6"/>
  <c r="R21" i="6"/>
  <c r="Q21" i="6"/>
  <c r="P21" i="6"/>
  <c r="R20" i="6"/>
  <c r="Q20" i="6"/>
  <c r="P20" i="6"/>
  <c r="R19" i="6"/>
  <c r="Q19" i="6"/>
  <c r="P19" i="6"/>
  <c r="R18" i="6"/>
  <c r="Q18" i="6"/>
  <c r="P18" i="6"/>
  <c r="R17" i="6"/>
  <c r="Q17" i="6"/>
  <c r="P17" i="6"/>
  <c r="R16" i="6"/>
  <c r="Q16" i="6"/>
  <c r="P16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R8" i="6"/>
  <c r="Q8" i="6"/>
  <c r="P8" i="6"/>
  <c r="R7" i="6"/>
  <c r="Q7" i="6"/>
  <c r="P7" i="6"/>
  <c r="R6" i="6"/>
  <c r="Q6" i="6"/>
  <c r="P6" i="6"/>
  <c r="R5" i="6"/>
  <c r="Q5" i="6"/>
  <c r="P5" i="6"/>
  <c r="R4" i="6"/>
  <c r="Q4" i="6"/>
  <c r="P4" i="6"/>
  <c r="R3" i="6"/>
  <c r="Q3" i="6"/>
  <c r="P3" i="6"/>
  <c r="R2" i="6"/>
  <c r="Q2" i="6"/>
  <c r="P2" i="6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P94" i="5"/>
  <c r="O94" i="5"/>
  <c r="Q93" i="5"/>
  <c r="P93" i="5"/>
  <c r="O93" i="5"/>
  <c r="Q92" i="5"/>
  <c r="P92" i="5"/>
  <c r="O92" i="5"/>
  <c r="Q91" i="5"/>
  <c r="P91" i="5"/>
  <c r="O91" i="5"/>
  <c r="Q90" i="5"/>
  <c r="P90" i="5"/>
  <c r="O90" i="5"/>
  <c r="Q89" i="5"/>
  <c r="P89" i="5"/>
  <c r="O89" i="5"/>
  <c r="Q88" i="5"/>
  <c r="P88" i="5"/>
  <c r="O88" i="5"/>
  <c r="Q87" i="5"/>
  <c r="P87" i="5"/>
  <c r="O87" i="5"/>
  <c r="Q86" i="5"/>
  <c r="P86" i="5"/>
  <c r="O86" i="5"/>
  <c r="Q85" i="5"/>
  <c r="P85" i="5"/>
  <c r="O85" i="5"/>
  <c r="Q84" i="5"/>
  <c r="P84" i="5"/>
  <c r="O84" i="5"/>
  <c r="Q83" i="5"/>
  <c r="P83" i="5"/>
  <c r="O83" i="5"/>
  <c r="Q82" i="5"/>
  <c r="P82" i="5"/>
  <c r="O82" i="5"/>
  <c r="Q81" i="5"/>
  <c r="P81" i="5"/>
  <c r="O81" i="5"/>
  <c r="Q80" i="5"/>
  <c r="P80" i="5"/>
  <c r="O80" i="5"/>
  <c r="Q79" i="5"/>
  <c r="P79" i="5"/>
  <c r="O79" i="5"/>
  <c r="Q78" i="5"/>
  <c r="P78" i="5"/>
  <c r="O78" i="5"/>
  <c r="Q77" i="5"/>
  <c r="P77" i="5"/>
  <c r="O77" i="5"/>
  <c r="Q76" i="5"/>
  <c r="P76" i="5"/>
  <c r="O76" i="5"/>
  <c r="Q75" i="5"/>
  <c r="P75" i="5"/>
  <c r="O75" i="5"/>
  <c r="Q74" i="5"/>
  <c r="P74" i="5"/>
  <c r="O74" i="5"/>
  <c r="Q73" i="5"/>
  <c r="P73" i="5"/>
  <c r="O73" i="5"/>
  <c r="Q72" i="5"/>
  <c r="P72" i="5"/>
  <c r="O72" i="5"/>
  <c r="Q71" i="5"/>
  <c r="P71" i="5"/>
  <c r="O71" i="5"/>
  <c r="Q70" i="5"/>
  <c r="P70" i="5"/>
  <c r="O70" i="5"/>
  <c r="Q69" i="5"/>
  <c r="P69" i="5"/>
  <c r="O69" i="5"/>
  <c r="Q68" i="5"/>
  <c r="P68" i="5"/>
  <c r="O68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AF29" i="5"/>
  <c r="Q29" i="5"/>
  <c r="P29" i="5"/>
  <c r="AF28" i="5"/>
  <c r="Q28" i="5"/>
  <c r="P28" i="5"/>
  <c r="AF27" i="5"/>
  <c r="Q27" i="5"/>
  <c r="P27" i="5"/>
  <c r="AF26" i="5"/>
  <c r="Q26" i="5"/>
  <c r="P26" i="5"/>
  <c r="AF25" i="5"/>
  <c r="Q25" i="5"/>
  <c r="P25" i="5"/>
  <c r="AF24" i="5"/>
  <c r="Q24" i="5"/>
  <c r="P24" i="5"/>
  <c r="AF23" i="5"/>
  <c r="Q23" i="5"/>
  <c r="P23" i="5"/>
  <c r="AF22" i="5"/>
  <c r="Q22" i="5"/>
  <c r="P22" i="5"/>
  <c r="AF21" i="5"/>
  <c r="Q21" i="5"/>
  <c r="P21" i="5"/>
  <c r="AF20" i="5"/>
  <c r="Q20" i="5"/>
  <c r="P20" i="5"/>
  <c r="AF19" i="5"/>
  <c r="Q19" i="5"/>
  <c r="P19" i="5"/>
  <c r="AF18" i="5"/>
  <c r="Q18" i="5"/>
  <c r="P18" i="5"/>
  <c r="AF17" i="5"/>
  <c r="Q17" i="5"/>
  <c r="P17" i="5"/>
  <c r="AF16" i="5"/>
  <c r="Q16" i="5"/>
  <c r="P16" i="5"/>
  <c r="AF15" i="5"/>
  <c r="Q15" i="5"/>
  <c r="P15" i="5"/>
  <c r="AF14" i="5"/>
  <c r="Q14" i="5"/>
  <c r="P14" i="5"/>
  <c r="AF13" i="5"/>
  <c r="Q13" i="5"/>
  <c r="P13" i="5"/>
  <c r="AF12" i="5"/>
  <c r="Q12" i="5"/>
  <c r="P12" i="5"/>
  <c r="AF11" i="5"/>
  <c r="Q11" i="5"/>
  <c r="P11" i="5"/>
  <c r="AF10" i="5"/>
  <c r="Q10" i="5"/>
  <c r="P10" i="5"/>
  <c r="AF9" i="5"/>
  <c r="Q9" i="5"/>
  <c r="P9" i="5"/>
  <c r="AF8" i="5"/>
  <c r="Q8" i="5"/>
  <c r="P8" i="5"/>
  <c r="AF7" i="5"/>
  <c r="Q7" i="5"/>
  <c r="P7" i="5"/>
  <c r="AF6" i="5"/>
  <c r="Q6" i="5"/>
  <c r="P6" i="5"/>
  <c r="AF5" i="5"/>
  <c r="Q5" i="5"/>
  <c r="P5" i="5"/>
  <c r="AF4" i="5"/>
  <c r="Q4" i="5"/>
  <c r="P4" i="5"/>
  <c r="AF3" i="5"/>
  <c r="Q3" i="5"/>
  <c r="P3" i="5"/>
  <c r="M25" i="3"/>
  <c r="L28" i="4"/>
  <c r="H28" i="4"/>
  <c r="K26" i="4"/>
  <c r="J26" i="4"/>
  <c r="G26" i="4"/>
  <c r="F26" i="4"/>
  <c r="K25" i="4"/>
  <c r="J25" i="4"/>
  <c r="G25" i="4"/>
  <c r="F25" i="4"/>
  <c r="K24" i="4"/>
  <c r="J24" i="4"/>
  <c r="G24" i="4"/>
  <c r="F24" i="4"/>
  <c r="K23" i="4"/>
  <c r="J23" i="4"/>
  <c r="G23" i="4"/>
  <c r="F23" i="4"/>
  <c r="K22" i="4"/>
  <c r="J22" i="4"/>
  <c r="G22" i="4"/>
  <c r="F22" i="4"/>
  <c r="K21" i="4"/>
  <c r="J21" i="4"/>
  <c r="G21" i="4"/>
  <c r="F21" i="4"/>
  <c r="K20" i="4"/>
  <c r="J20" i="4"/>
  <c r="G20" i="4"/>
  <c r="F20" i="4"/>
  <c r="K19" i="4"/>
  <c r="J19" i="4"/>
  <c r="G19" i="4"/>
  <c r="F19" i="4"/>
  <c r="K18" i="4"/>
  <c r="J18" i="4"/>
  <c r="G18" i="4"/>
  <c r="F18" i="4"/>
  <c r="K17" i="4"/>
  <c r="K28" i="4" s="1"/>
  <c r="J17" i="4"/>
  <c r="J28" i="4" s="1"/>
  <c r="G17" i="4"/>
  <c r="G28" i="4" s="1"/>
  <c r="F17" i="4"/>
  <c r="F28" i="4" s="1"/>
  <c r="L15" i="4"/>
  <c r="K15" i="4"/>
  <c r="H15" i="4"/>
  <c r="L14" i="4"/>
  <c r="H14" i="4"/>
  <c r="K11" i="4"/>
  <c r="J11" i="4"/>
  <c r="G11" i="4"/>
  <c r="F11" i="4"/>
  <c r="K10" i="4"/>
  <c r="J10" i="4"/>
  <c r="G10" i="4"/>
  <c r="F10" i="4"/>
  <c r="K9" i="4"/>
  <c r="J9" i="4"/>
  <c r="G9" i="4"/>
  <c r="F9" i="4"/>
  <c r="K8" i="4"/>
  <c r="J8" i="4"/>
  <c r="G8" i="4"/>
  <c r="F8" i="4"/>
  <c r="K7" i="4"/>
  <c r="J7" i="4"/>
  <c r="G7" i="4"/>
  <c r="F7" i="4"/>
  <c r="K6" i="4"/>
  <c r="J6" i="4"/>
  <c r="G6" i="4"/>
  <c r="F6" i="4"/>
  <c r="K5" i="4"/>
  <c r="J5" i="4"/>
  <c r="G5" i="4"/>
  <c r="F5" i="4"/>
  <c r="K4" i="4"/>
  <c r="J4" i="4"/>
  <c r="G4" i="4"/>
  <c r="F4" i="4"/>
  <c r="K3" i="4"/>
  <c r="J3" i="4"/>
  <c r="G3" i="4"/>
  <c r="F3" i="4"/>
  <c r="K2" i="4"/>
  <c r="K14" i="4" s="1"/>
  <c r="J2" i="4"/>
  <c r="J15" i="4" s="1"/>
  <c r="G2" i="4"/>
  <c r="G14" i="4" s="1"/>
  <c r="F2" i="4"/>
  <c r="F14" i="4" s="1"/>
  <c r="N25" i="3"/>
  <c r="E50" i="3"/>
  <c r="E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H50" i="3" s="1"/>
  <c r="G40" i="3"/>
  <c r="F40" i="3"/>
  <c r="H39" i="3"/>
  <c r="G39" i="3"/>
  <c r="G50" i="3" s="1"/>
  <c r="F39" i="3"/>
  <c r="F50" i="3" s="1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F49" i="3" s="1"/>
  <c r="H33" i="3"/>
  <c r="G33" i="3"/>
  <c r="H32" i="3"/>
  <c r="G32" i="3"/>
  <c r="H31" i="3"/>
  <c r="G31" i="3"/>
  <c r="H30" i="3"/>
  <c r="G30" i="3"/>
  <c r="H29" i="3"/>
  <c r="H49" i="3" s="1"/>
  <c r="G29" i="3"/>
  <c r="G49" i="3" s="1"/>
  <c r="K26" i="3"/>
  <c r="K25" i="3"/>
  <c r="E25" i="3"/>
  <c r="E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L26" i="3" s="1"/>
  <c r="H14" i="3"/>
  <c r="N26" i="3" s="1"/>
  <c r="G14" i="3"/>
  <c r="M26" i="3" s="1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L25" i="3" s="1"/>
  <c r="H8" i="3"/>
  <c r="G8" i="3"/>
  <c r="H7" i="3"/>
  <c r="G7" i="3"/>
  <c r="H6" i="3"/>
  <c r="G6" i="3"/>
  <c r="H5" i="3"/>
  <c r="G5" i="3"/>
  <c r="H4" i="3"/>
  <c r="G4" i="3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D31" i="1"/>
  <c r="E31" i="1"/>
  <c r="F31" i="1"/>
  <c r="G31" i="1"/>
  <c r="H31" i="1"/>
  <c r="I31" i="1"/>
  <c r="J31" i="1"/>
  <c r="K31" i="1"/>
  <c r="L31" i="1"/>
  <c r="M31" i="1"/>
  <c r="N31" i="1"/>
  <c r="C31" i="1"/>
  <c r="D30" i="1"/>
  <c r="E30" i="1"/>
  <c r="F30" i="1"/>
  <c r="G30" i="1"/>
  <c r="H30" i="1"/>
  <c r="I30" i="1"/>
  <c r="J30" i="1"/>
  <c r="K30" i="1"/>
  <c r="L30" i="1"/>
  <c r="M30" i="1"/>
  <c r="N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C28" i="1"/>
  <c r="P53" i="1"/>
  <c r="O24" i="1"/>
  <c r="D25" i="1"/>
  <c r="E25" i="1"/>
  <c r="F25" i="1"/>
  <c r="G25" i="1"/>
  <c r="H25" i="1"/>
  <c r="I25" i="1"/>
  <c r="J25" i="1"/>
  <c r="K25" i="1"/>
  <c r="L25" i="1"/>
  <c r="M25" i="1"/>
  <c r="N25" i="1"/>
  <c r="D24" i="1"/>
  <c r="E24" i="1"/>
  <c r="F24" i="1"/>
  <c r="G24" i="1"/>
  <c r="H24" i="1"/>
  <c r="I24" i="1"/>
  <c r="J24" i="1"/>
  <c r="K24" i="1"/>
  <c r="L24" i="1"/>
  <c r="M24" i="1"/>
  <c r="N24" i="1"/>
  <c r="C25" i="1"/>
  <c r="C24" i="1"/>
  <c r="P56" i="1"/>
  <c r="P55" i="1"/>
  <c r="P54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J14" i="4" l="1"/>
  <c r="F15" i="4"/>
  <c r="G15" i="4"/>
  <c r="H25" i="3"/>
  <c r="F24" i="3"/>
  <c r="G24" i="3"/>
  <c r="H24" i="3"/>
  <c r="F25" i="3"/>
  <c r="G25" i="3"/>
  <c r="S22" i="1"/>
  <c r="P26" i="1"/>
  <c r="R26" i="1"/>
  <c r="P25" i="1"/>
  <c r="R25" i="1"/>
  <c r="S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tc={567B8444-89FC-4081-8475-4BF644144571}</author>
  </authors>
  <commentList>
    <comment ref="M2" authorId="0" shapeId="0" xr:uid="{567B8444-89FC-4081-8475-4BF6441445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up to measurement 9 is valid for the experiment, the rest are extra measurements, not part of the initial plan of the experiment. </t>
      </text>
    </comment>
  </commentList>
</comments>
</file>

<file path=xl/sharedStrings.xml><?xml version="1.0" encoding="utf-8"?>
<sst xmlns="http://schemas.openxmlformats.org/spreadsheetml/2006/main" count="3968" uniqueCount="613">
  <si>
    <t>MOUSEID</t>
  </si>
  <si>
    <t>SEX</t>
  </si>
  <si>
    <t>BATCH</t>
  </si>
  <si>
    <t>FEDFILE</t>
  </si>
  <si>
    <t>CHOICE_SESSION</t>
  </si>
  <si>
    <t>FED_PELLET</t>
  </si>
  <si>
    <t>MODE</t>
  </si>
  <si>
    <t>DIET</t>
  </si>
  <si>
    <t>FEDXDF1</t>
  </si>
  <si>
    <t>F</t>
  </si>
  <si>
    <t>FED001_032923_02.CSV</t>
  </si>
  <si>
    <t>MIX</t>
  </si>
  <si>
    <t>FF</t>
  </si>
  <si>
    <t>PR</t>
  </si>
  <si>
    <t>FED001_033023_01.CSV</t>
  </si>
  <si>
    <t>FR</t>
  </si>
  <si>
    <t>FED001_040923_00.CSV</t>
  </si>
  <si>
    <t>CAS20</t>
  </si>
  <si>
    <t>FED002_040923_00.CSV</t>
  </si>
  <si>
    <t>CAS5</t>
  </si>
  <si>
    <t>FED001_041323_00.CSV</t>
  </si>
  <si>
    <t>FED002_041323_00.CSV</t>
  </si>
  <si>
    <t>SUC</t>
  </si>
  <si>
    <t>FED001_041723_00.CSV</t>
  </si>
  <si>
    <t>FED002_041723_00.CSV</t>
  </si>
  <si>
    <t>FED001_042123_03.CSV</t>
  </si>
  <si>
    <t>CE</t>
  </si>
  <si>
    <t>FED002_042123_02.CSV</t>
  </si>
  <si>
    <t>FEDXDF2</t>
  </si>
  <si>
    <t>FED002_032923_02.CSV</t>
  </si>
  <si>
    <t>FED002_033023_01.CSV</t>
  </si>
  <si>
    <t>FED003_040923_00.CSV</t>
  </si>
  <si>
    <t>FED004_040923_00.CSV</t>
  </si>
  <si>
    <t>FED003_041323_00.CSV</t>
  </si>
  <si>
    <t>FED004_041323_00.CSV</t>
  </si>
  <si>
    <t>FED003_041723_00.CSV</t>
  </si>
  <si>
    <t>FED004_041723_00.CSV</t>
  </si>
  <si>
    <t>FED003_042123_02.CSV</t>
  </si>
  <si>
    <t>FED004_042123_02.CSV</t>
  </si>
  <si>
    <t>FEDXDF3</t>
  </si>
  <si>
    <t>FED003_032923_02.CSV</t>
  </si>
  <si>
    <t>FED003_033023_01.CSV</t>
  </si>
  <si>
    <t>FED005_040923_00.CSV</t>
  </si>
  <si>
    <t>FED006_040923_00.CSV</t>
  </si>
  <si>
    <t>FED005_041323_00.CSV</t>
  </si>
  <si>
    <t>FED006_041323_00.CSV</t>
  </si>
  <si>
    <t>FED005_041723_00.CSV</t>
  </si>
  <si>
    <t>FED006_041723_00.CSV</t>
  </si>
  <si>
    <t>FED005_042123_03.CSV</t>
  </si>
  <si>
    <t>FED006_042123_02.CSV</t>
  </si>
  <si>
    <t>FEDXDF4</t>
  </si>
  <si>
    <t>FED004_032923_03.CSV</t>
  </si>
  <si>
    <t>FED004_033023_01.CSV</t>
  </si>
  <si>
    <t>FED007_040923_00.CSV</t>
  </si>
  <si>
    <t>FED008_040923_00.CSV</t>
  </si>
  <si>
    <t>FED007_041323_00.CSV</t>
  </si>
  <si>
    <t>FED008_041323_00.CSV</t>
  </si>
  <si>
    <t>FED007_041723_00.CSV</t>
  </si>
  <si>
    <t>FED008_041723_00.CSV</t>
  </si>
  <si>
    <t>FED007_042123_02.CSV</t>
  </si>
  <si>
    <t>FED008_042123_02.CSV</t>
  </si>
  <si>
    <t>FEDXDF5</t>
  </si>
  <si>
    <t>FED005_032923_02.CSV</t>
  </si>
  <si>
    <t>FED005_033023_01.CSV</t>
  </si>
  <si>
    <t>FED009_040923_00.CSV</t>
  </si>
  <si>
    <t>FED010_040923_00.CSV</t>
  </si>
  <si>
    <t>FED009_041323_00.CSV</t>
  </si>
  <si>
    <t>FED010_041323_00.CSV</t>
  </si>
  <si>
    <t>FED009_041723_00.CSV</t>
  </si>
  <si>
    <t>FED010_041723_00.CSV</t>
  </si>
  <si>
    <t>FED009_042123_02.CSV</t>
  </si>
  <si>
    <t>FED010_042123_02.CSV</t>
  </si>
  <si>
    <t>FEDXDF6</t>
  </si>
  <si>
    <t>FED006_032923_02.CSV</t>
  </si>
  <si>
    <t>FED006_033023_01.CSV</t>
  </si>
  <si>
    <t>FED001_041023_00.CSV</t>
  </si>
  <si>
    <t>FED002_041023_00.CSV</t>
  </si>
  <si>
    <t>FED001_041423_00.CSV</t>
  </si>
  <si>
    <t>FED002_041423_00.CSV</t>
  </si>
  <si>
    <t>FED001_041823_00.CSV</t>
  </si>
  <si>
    <t>FED002_041823_00.CSV</t>
  </si>
  <si>
    <t>FED001_042223_00.CSV</t>
  </si>
  <si>
    <t>FED002_042223_00.CSV</t>
  </si>
  <si>
    <t>FEDXDF7</t>
  </si>
  <si>
    <t>FED007_032923_02.CSV</t>
  </si>
  <si>
    <t>FED007_033023_01.CSV</t>
  </si>
  <si>
    <t>FED003_041023_00.CSV</t>
  </si>
  <si>
    <t>FED004_041023_00.CSV</t>
  </si>
  <si>
    <t>FED003_041423_00.CSV</t>
  </si>
  <si>
    <t>FED004_041423_00.CSV</t>
  </si>
  <si>
    <t>FED003_041823_00.CSV</t>
  </si>
  <si>
    <t>FED004_041823_00.CSV</t>
  </si>
  <si>
    <t>FED003_042223_00.CSV</t>
  </si>
  <si>
    <t>FED004_042223_00.CSV</t>
  </si>
  <si>
    <t>FEDXDF8</t>
  </si>
  <si>
    <t>FED008_032923_02.CSV</t>
  </si>
  <si>
    <t>FED008_033023_01.CSV</t>
  </si>
  <si>
    <t>FED005_041023_00.CSV</t>
  </si>
  <si>
    <t>FED006_041023_00.CSV</t>
  </si>
  <si>
    <t>FED005_041423_00.CSV</t>
  </si>
  <si>
    <t>FED006_041423_00.CSV</t>
  </si>
  <si>
    <t>FED005_041823_00.CSV</t>
  </si>
  <si>
    <t>FED006_041823_00.CSV</t>
  </si>
  <si>
    <t>FED005_042223_00.CSV</t>
  </si>
  <si>
    <t>FED006_042223_00.CSV</t>
  </si>
  <si>
    <t>FEDXDF9</t>
  </si>
  <si>
    <t>FED009_032923_02.CSV</t>
  </si>
  <si>
    <t>FED009_033023_01.CSV</t>
  </si>
  <si>
    <t>FED007_041023_00.CSV</t>
  </si>
  <si>
    <t>FED008_041023_00.CSV</t>
  </si>
  <si>
    <t>FED007_041423_00.CSV</t>
  </si>
  <si>
    <t>FED008_041423_00.CSV</t>
  </si>
  <si>
    <t>FED007_041823_00.CSV</t>
  </si>
  <si>
    <t>FED008_041823_00.CSV</t>
  </si>
  <si>
    <t>FED007_042223_00.CSV</t>
  </si>
  <si>
    <t>FED008_042223_00.CSV</t>
  </si>
  <si>
    <t>FEDXDF10</t>
  </si>
  <si>
    <t>FED010_032923_02.CSV</t>
  </si>
  <si>
    <t>FED010_033023_04.CSV</t>
  </si>
  <si>
    <t>FED009_041023_00.CSV</t>
  </si>
  <si>
    <t>FED010_041023_00.CSV</t>
  </si>
  <si>
    <t>FED009_041423_00.CSV</t>
  </si>
  <si>
    <t>FED010_041423_00.CSV</t>
  </si>
  <si>
    <t>FED009_041823_00.CSV</t>
  </si>
  <si>
    <t>FED010_041823_00.CSV</t>
  </si>
  <si>
    <t>FED009_042223_00.CSV</t>
  </si>
  <si>
    <t>FED010_042223_00.CSV</t>
  </si>
  <si>
    <t>FEDXDF11</t>
  </si>
  <si>
    <t>FED011_032923_02.CSV</t>
  </si>
  <si>
    <t>NR</t>
  </si>
  <si>
    <t>FED011_033023_01.CSV</t>
  </si>
  <si>
    <t>FED011_040923_00.CSV</t>
  </si>
  <si>
    <t>FED012_040923_00.CSV</t>
  </si>
  <si>
    <t>FED011_041323_00.CSV</t>
  </si>
  <si>
    <t>FED012_041323_00.CSV</t>
  </si>
  <si>
    <t>FED011_041723_00.CSV</t>
  </si>
  <si>
    <t>FED012_041723_00.CSV</t>
  </si>
  <si>
    <t>FED011_042123_02.CSV</t>
  </si>
  <si>
    <t>FED012_042123_02.CSV</t>
  </si>
  <si>
    <t>FEDXDF12</t>
  </si>
  <si>
    <t>FED012_032923_02.CSV</t>
  </si>
  <si>
    <t>FED012_033023_01.CSV</t>
  </si>
  <si>
    <t>FED000_040923_00.CSV</t>
  </si>
  <si>
    <t>FED014_040923_00.CSV</t>
  </si>
  <si>
    <t>FED000_041323_00.CSV</t>
  </si>
  <si>
    <t>FED014_041323_00.CSV</t>
  </si>
  <si>
    <t>FED001_042523_02.CSV</t>
  </si>
  <si>
    <t>FED002_042523_02.CSV</t>
  </si>
  <si>
    <t>FED000_042123_02.CSV</t>
  </si>
  <si>
    <t>FED014_042123_02.CSV</t>
  </si>
  <si>
    <t>FEDXDF13</t>
  </si>
  <si>
    <t>FED000_032923_02.CSV</t>
  </si>
  <si>
    <t>FED000_033023_01.CSV</t>
  </si>
  <si>
    <t>FED015_040923_00.CSV</t>
  </si>
  <si>
    <t>FED016_040923_00.CSV</t>
  </si>
  <si>
    <t>FED015_041323_00.CSV</t>
  </si>
  <si>
    <t>FED016_041323_00.CSV</t>
  </si>
  <si>
    <t>FED015_041723_00.CSV</t>
  </si>
  <si>
    <t>FED016_041723_00.CSV</t>
  </si>
  <si>
    <t>FED015_042123_04.CSV</t>
  </si>
  <si>
    <t>FED016_042123_04.CSV</t>
  </si>
  <si>
    <t>FEDXDF14</t>
  </si>
  <si>
    <t>FED014_032923_03.CSV</t>
  </si>
  <si>
    <t>FED014_033023_00.CSV</t>
  </si>
  <si>
    <t>FED014_033123_01.CSV</t>
  </si>
  <si>
    <t xml:space="preserve"> FED017_040923_00.CSV</t>
  </si>
  <si>
    <t>FED018_040923_00.CSV</t>
  </si>
  <si>
    <t>FED017_041323_00.CSV</t>
  </si>
  <si>
    <t>FED018_041323_00.CSV</t>
  </si>
  <si>
    <t>FED017_041723_02.CSV</t>
  </si>
  <si>
    <t>FED018_041723_00.CSV</t>
  </si>
  <si>
    <t>FED017_042123_03.CSV</t>
  </si>
  <si>
    <t>FED018_042123_05.CSV</t>
  </si>
  <si>
    <t>FEDXDF15</t>
  </si>
  <si>
    <t>FED015_032923_08.CSV</t>
  </si>
  <si>
    <t>FED015_033023_00.CSV</t>
  </si>
  <si>
    <t>FED015_033123_01.CSV</t>
  </si>
  <si>
    <t>FED019_040923_00.CSV</t>
  </si>
  <si>
    <t>FED020_040923_00.CSV</t>
  </si>
  <si>
    <t>FED019_041323_00.CSV</t>
  </si>
  <si>
    <t>FED020_041323_00.CSV</t>
  </si>
  <si>
    <t>FED019_041723_00.CSV</t>
  </si>
  <si>
    <t>FED020_041723_00.CSV</t>
  </si>
  <si>
    <t>FED019_042123_02.CSV</t>
  </si>
  <si>
    <t>FED020_042123_02.CSV</t>
  </si>
  <si>
    <t>FEDXDF16</t>
  </si>
  <si>
    <t>FED016_032923_05.CSV</t>
  </si>
  <si>
    <t>FED016_033023_01.CSV</t>
  </si>
  <si>
    <t>FED011_041023_00.CSV</t>
  </si>
  <si>
    <t>FED012_041023_00.CSV</t>
  </si>
  <si>
    <t>FED011_041423_00.CSV</t>
  </si>
  <si>
    <t>FED012_041423_00.CSV</t>
  </si>
  <si>
    <t>FED011_041823_00.CSV</t>
  </si>
  <si>
    <t>FED012_041823_00.CSV</t>
  </si>
  <si>
    <t>FED011_042223_00.CSV</t>
  </si>
  <si>
    <t>FED012_042223_00.CSV</t>
  </si>
  <si>
    <t>FEDXDF17</t>
  </si>
  <si>
    <t>FED017_032923_03.CSV</t>
  </si>
  <si>
    <t>FED017_033023_00.CSV</t>
  </si>
  <si>
    <t>FED017_033123_01.CSV</t>
  </si>
  <si>
    <t>FED000_041023_00.CSV</t>
  </si>
  <si>
    <t>FED014_041023_00.CSV</t>
  </si>
  <si>
    <t>FED000_041423_00.CSV</t>
  </si>
  <si>
    <t>FED014_041423_00.CSV</t>
  </si>
  <si>
    <t>FED000_041823_01.CSV</t>
  </si>
  <si>
    <t>FED014_041823_00.CSV</t>
  </si>
  <si>
    <t>FED000_042223_00.CSV</t>
  </si>
  <si>
    <t>FED014_042223_00.CSV</t>
  </si>
  <si>
    <t>FEDXDF18</t>
  </si>
  <si>
    <t>FED018_032923_08.CSV</t>
  </si>
  <si>
    <t>FED018_033023_01.CSV</t>
  </si>
  <si>
    <t>FED015_041023_00.CSV</t>
  </si>
  <si>
    <t>FED016_041023_00.CSV</t>
  </si>
  <si>
    <t>FED015_041423_00.CSV</t>
  </si>
  <si>
    <t>FED016_041423_00.CSV</t>
  </si>
  <si>
    <t>FED015_041823_00.CSV</t>
  </si>
  <si>
    <t>FED016_041823_00.CSV</t>
  </si>
  <si>
    <t>FED015_042223_00.CSV</t>
  </si>
  <si>
    <t>FED016_042223_00.CSV</t>
  </si>
  <si>
    <t>FEDXDF19</t>
  </si>
  <si>
    <t>FED019_032923_02.CSV</t>
  </si>
  <si>
    <t>FED019_033023_01.CSV</t>
  </si>
  <si>
    <t>FED017_041023_00.CSV</t>
  </si>
  <si>
    <t>FED018_041023_00.CSV</t>
  </si>
  <si>
    <t>FED017_041423_00.CSV</t>
  </si>
  <si>
    <t>FED018_041423_00.CSV</t>
  </si>
  <si>
    <t>FED017_041823_00.CSV</t>
  </si>
  <si>
    <t>FED018_041823_00.CSV</t>
  </si>
  <si>
    <t>FED017_042223_01.CSV</t>
  </si>
  <si>
    <t>FED020_042223_02.CSV</t>
  </si>
  <si>
    <t>FEDXDF20</t>
  </si>
  <si>
    <t>FED020_032923_03.CSV</t>
  </si>
  <si>
    <t>FED020_033023_01.CSV</t>
  </si>
  <si>
    <t>FED019_041023_00.CSV</t>
  </si>
  <si>
    <t>FED020_041023_00.CSV</t>
  </si>
  <si>
    <t>FED019_041423_00.CSV</t>
  </si>
  <si>
    <t>FED020_041423_00.CSV</t>
  </si>
  <si>
    <t>FED019_041823_00.CSV</t>
  </si>
  <si>
    <t>FED020_041823_00.CSV</t>
  </si>
  <si>
    <t>FED003_042523_00.CSV</t>
  </si>
  <si>
    <t>FED004_042523_00.CSV</t>
  </si>
  <si>
    <t>M</t>
  </si>
  <si>
    <t>FED001_040123_01.CSV</t>
  </si>
  <si>
    <t>FED001_040223_01.CSV</t>
  </si>
  <si>
    <t>FED001_041123_00.CSV</t>
  </si>
  <si>
    <t>FED002_041123_00.CSV</t>
  </si>
  <si>
    <t>FED001_041523_00.CSV</t>
  </si>
  <si>
    <t>FED002_041523_00.CSV</t>
  </si>
  <si>
    <t>FED001_041923_00.CSV</t>
  </si>
  <si>
    <t>FED002_041923_00.CSV</t>
  </si>
  <si>
    <t>FED001_042323_00.CSV</t>
  </si>
  <si>
    <t>FED002_042323_00.CSV</t>
  </si>
  <si>
    <t>FED002_040123_02.CSV</t>
  </si>
  <si>
    <t>FED002_040223_02.CSV</t>
  </si>
  <si>
    <t>FED003_041123_00.CSV</t>
  </si>
  <si>
    <t>FED004_041123_00.CSV</t>
  </si>
  <si>
    <t>FED003_041523_00.CSV</t>
  </si>
  <si>
    <t>FED004_041523_00.CSV</t>
  </si>
  <si>
    <t>FED003_041923_00.CSV</t>
  </si>
  <si>
    <t>FED004_041923_00.CSV</t>
  </si>
  <si>
    <t>FED003_042323_00.CSV</t>
  </si>
  <si>
    <t>FED004_042323_00.CSV</t>
  </si>
  <si>
    <t>FED003_040123_01.CSV</t>
  </si>
  <si>
    <t>FED003_040223_01.CSV</t>
  </si>
  <si>
    <t>FED005_041123_00.CSV</t>
  </si>
  <si>
    <t>FED006_041123_00.CSV</t>
  </si>
  <si>
    <t>FED005_041523_00.CSV</t>
  </si>
  <si>
    <t>FED006_041523_00.CSV</t>
  </si>
  <si>
    <t>FED005_041923_00.CSV</t>
  </si>
  <si>
    <t>FED006_041923_00.CSV</t>
  </si>
  <si>
    <t>FED005_042323_00.CSV</t>
  </si>
  <si>
    <t>FED006_042323_00.CSV</t>
  </si>
  <si>
    <t>FED004_040123_01.CSV</t>
  </si>
  <si>
    <t>FED004_040223_01.CSV</t>
  </si>
  <si>
    <t>FED007_041123_00.CSV</t>
  </si>
  <si>
    <t>FED008_041123_00.CSV</t>
  </si>
  <si>
    <t>FED007_041523_00.CSV</t>
  </si>
  <si>
    <t>FED008_041523_00.CSV</t>
  </si>
  <si>
    <t>FED007_041923_00.CSV</t>
  </si>
  <si>
    <t>FED008_041923_00.CSV</t>
  </si>
  <si>
    <t>FED007_042323_00.CSV</t>
  </si>
  <si>
    <t>FED008_042323_00.CSV</t>
  </si>
  <si>
    <t>FED005_040123_02.CSV</t>
  </si>
  <si>
    <t>FED005_040223_00.CSV</t>
  </si>
  <si>
    <t>FED005_040323_01.CSV</t>
  </si>
  <si>
    <t>FED009_041123_00.CSV</t>
  </si>
  <si>
    <t>FED010_041123_00.CSV</t>
  </si>
  <si>
    <t>FED009_041523_00.CSV</t>
  </si>
  <si>
    <t>FED010_041523_00.CSV</t>
  </si>
  <si>
    <t>FED009_041923_00.CSV</t>
  </si>
  <si>
    <t>FED010_041923_00.CSV</t>
  </si>
  <si>
    <t>FED009_042323_00.CSV</t>
  </si>
  <si>
    <t>FED010_042323_00.CSV</t>
  </si>
  <si>
    <t>FED006_040123_01.CSV</t>
  </si>
  <si>
    <t>FED006_040223_01.CSV</t>
  </si>
  <si>
    <t>FED001_041223_00.CSV</t>
  </si>
  <si>
    <t>FED002_041223_00.CSV</t>
  </si>
  <si>
    <t>FED001_041623_00.CSV</t>
  </si>
  <si>
    <t>FED002_041623_00.CSV</t>
  </si>
  <si>
    <t>FED001_042023_00.CSV</t>
  </si>
  <si>
    <t>FED002_042023_00.CSV</t>
  </si>
  <si>
    <t>FED001_042423_00.CSV</t>
  </si>
  <si>
    <t>FED002_042423_00.CSV</t>
  </si>
  <si>
    <t>FED007_040123_01.CSV</t>
  </si>
  <si>
    <t>FED007_040223_00.CSV</t>
  </si>
  <si>
    <t>FED007_040323_01.CSV</t>
  </si>
  <si>
    <t>FED003_041223_00.CSV</t>
  </si>
  <si>
    <t>FED004_041223_00.CSV</t>
  </si>
  <si>
    <t>FED003_041623_00.CSV</t>
  </si>
  <si>
    <t>FED004_041623_00.CSV</t>
  </si>
  <si>
    <t>FED003_042023_00.CSV</t>
  </si>
  <si>
    <t>FED004_042023_00.CSV</t>
  </si>
  <si>
    <t>FED003_042423_00.CSV</t>
  </si>
  <si>
    <t>FED004_042423_00.CSV</t>
  </si>
  <si>
    <t>FED008_040123_01.CSV</t>
  </si>
  <si>
    <t>FED008_040223_02.CSV</t>
  </si>
  <si>
    <t>FED005_041223_00.CSV</t>
  </si>
  <si>
    <t>FED006_041223_00.CSV</t>
  </si>
  <si>
    <t>FED005_041623_00.CSV</t>
  </si>
  <si>
    <t>FED006_041623_00.CSV</t>
  </si>
  <si>
    <t>FED005_042023_00.CSV</t>
  </si>
  <si>
    <t>FED006_042023_00.CSV</t>
  </si>
  <si>
    <t>FED005_042423_00.CSV</t>
  </si>
  <si>
    <t>FED006_042423_00.CSV</t>
  </si>
  <si>
    <t>FED009_040123_02.CSV</t>
  </si>
  <si>
    <t>FED009_040223_01.CSV</t>
  </si>
  <si>
    <t>FED007_041223_00.CSV</t>
  </si>
  <si>
    <t>FED008_041223_00.CSV</t>
  </si>
  <si>
    <t>FED007_041623_00.CSV</t>
  </si>
  <si>
    <t>FED008_041623_00.CSV</t>
  </si>
  <si>
    <t>FED007_042023_00.CSV</t>
  </si>
  <si>
    <t>FED008_042023_00.CSV</t>
  </si>
  <si>
    <t>FED007_042423_00.CSV</t>
  </si>
  <si>
    <t>FED008_042423_00.CSV</t>
  </si>
  <si>
    <t>FED010_040123_01.CSV</t>
  </si>
  <si>
    <t>FED010_040223_01.CSV</t>
  </si>
  <si>
    <t>FED009_041223_00.CSV</t>
  </si>
  <si>
    <t>FED010_041223_00.CSV</t>
  </si>
  <si>
    <t>FED009_041623_00.CSV</t>
  </si>
  <si>
    <t>FED010_041623_00.CSV</t>
  </si>
  <si>
    <t>FED009_042023_00.CSV</t>
  </si>
  <si>
    <t>FED010_042023_00.CSV</t>
  </si>
  <si>
    <t>FED009_042423_00.CSV</t>
  </si>
  <si>
    <t>FED010_042423_00.CSV</t>
  </si>
  <si>
    <t>FED011_040123_01.CSV</t>
  </si>
  <si>
    <t>FED011_040223_01.CSV</t>
  </si>
  <si>
    <t>FED011_041123_00.CSV</t>
  </si>
  <si>
    <t>FED012_041123_00.CSV</t>
  </si>
  <si>
    <t>FED011_041523_00.CSV</t>
  </si>
  <si>
    <t>FED012_041523_00.CSV</t>
  </si>
  <si>
    <t>FED011_041923_00.CSV</t>
  </si>
  <si>
    <t>FED012_041923_00.CSV</t>
  </si>
  <si>
    <t>FED011_042323_00.CSV</t>
  </si>
  <si>
    <t>FED012_042323_00.CSV</t>
  </si>
  <si>
    <t>FED012_040123_01.CSV</t>
  </si>
  <si>
    <t>FED012_040223_01.CSV</t>
  </si>
  <si>
    <t>FED000_041123_00.CSV</t>
  </si>
  <si>
    <t>FED014_041123_00.CSV</t>
  </si>
  <si>
    <t>FED000_041523_00.CSV</t>
  </si>
  <si>
    <t>FED014_041523_00.CSV</t>
  </si>
  <si>
    <t>FED000_041923_00.CSV</t>
  </si>
  <si>
    <t>FED014_041923_00.CSV</t>
  </si>
  <si>
    <t>FED000_042323_00.CSV</t>
  </si>
  <si>
    <t>FED014_042323_00.CSV</t>
  </si>
  <si>
    <t>FED000_040123_02.CSV</t>
  </si>
  <si>
    <t>FED000_040223_01.CSV</t>
  </si>
  <si>
    <t>FED015_041123_00.CSV</t>
  </si>
  <si>
    <t>FED016_041123_00.CSV</t>
  </si>
  <si>
    <t>FED015_041523_00.CSV</t>
  </si>
  <si>
    <t>FED016_041523_00.CSV</t>
  </si>
  <si>
    <t>FED015_041923_00.CSV</t>
  </si>
  <si>
    <t>FED016_041923_00.CSV</t>
  </si>
  <si>
    <t>FED015_042323_00.CSV</t>
  </si>
  <si>
    <t>FED016_042323_00.CSV</t>
  </si>
  <si>
    <t>FED014_040123_01.CSV</t>
  </si>
  <si>
    <t>FED014_040223_01.CSV</t>
  </si>
  <si>
    <t>FED017_041123_01.CSV</t>
  </si>
  <si>
    <t>FED018_041123_00.CSV</t>
  </si>
  <si>
    <t>FED017_041523_00.CSV</t>
  </si>
  <si>
    <t>FED018_041523_00.CSV</t>
  </si>
  <si>
    <t>FED017_041923_00.CSV</t>
  </si>
  <si>
    <t>FED018_041923_00.CSV</t>
  </si>
  <si>
    <t>FED017_042323_00.CSV</t>
  </si>
  <si>
    <t>FED020_042323_00.CSV</t>
  </si>
  <si>
    <t>FED015_040123_01.CSV</t>
  </si>
  <si>
    <t>FED015_040223_01.CSV</t>
  </si>
  <si>
    <t>FED019_041123_00.CSV</t>
  </si>
  <si>
    <t>FED020_041123_00.CSV</t>
  </si>
  <si>
    <t>FED019_041523_00.CSV</t>
  </si>
  <si>
    <t>FED020_041523_00.CSV</t>
  </si>
  <si>
    <t>FED019_041923_00.CSV</t>
  </si>
  <si>
    <t>FED020_041923_00.CSV</t>
  </si>
  <si>
    <t>FED005_042523_00.CSV</t>
  </si>
  <si>
    <t>FED006_042523_00.CSV</t>
  </si>
  <si>
    <t>FED016_040123_01.CSV</t>
  </si>
  <si>
    <t>FED016_040223_01.CSV</t>
  </si>
  <si>
    <t>FED011_041223_00.CSV</t>
  </si>
  <si>
    <t>FED012_041223_00.CSV</t>
  </si>
  <si>
    <t>FED011_041623_00.CSV</t>
  </si>
  <si>
    <t>FED012_041623_00.CSV</t>
  </si>
  <si>
    <t>FED011_042023_00.CSV</t>
  </si>
  <si>
    <t>FED012_042023_00.CSV</t>
  </si>
  <si>
    <t>FED011_042423_00.CSV</t>
  </si>
  <si>
    <t>FED012_042423_00.CSV</t>
  </si>
  <si>
    <t>FED017_040123_01.CSV</t>
  </si>
  <si>
    <t>FED017_040223_03.CSV</t>
  </si>
  <si>
    <t>FED000_041223_00.CSV</t>
  </si>
  <si>
    <t>FED014_041223_00.CSV</t>
  </si>
  <si>
    <t>FED000_041623_00.CSV</t>
  </si>
  <si>
    <t>FED014_041623_00.CSV</t>
  </si>
  <si>
    <t>FED000_042023_01.CSV</t>
  </si>
  <si>
    <t>FED014_042023_00.CSV</t>
  </si>
  <si>
    <t>FED000_042423_00.CSV</t>
  </si>
  <si>
    <t>FED014_042423_00.CSV</t>
  </si>
  <si>
    <t>FED018_040123_01.CSV</t>
  </si>
  <si>
    <t>FED018_040223_01.CSV</t>
  </si>
  <si>
    <t>FED015_041223_00.CSV</t>
  </si>
  <si>
    <t>FED016_041223_00.CSV</t>
  </si>
  <si>
    <t>FED015_041623_00.CSV</t>
  </si>
  <si>
    <t>FED016_041623_00.CSV</t>
  </si>
  <si>
    <t>FED015_042023_00.CSV</t>
  </si>
  <si>
    <t>FED016_042023_00.CSV</t>
  </si>
  <si>
    <t>FED015_042423_00.CSV</t>
  </si>
  <si>
    <t>FED016_042423_00.CSV</t>
  </si>
  <si>
    <t>FED019_040123_01.CSV</t>
  </si>
  <si>
    <t>FED019_040223_01.CSV</t>
  </si>
  <si>
    <t>FED017_041223_00.CSV</t>
  </si>
  <si>
    <t>FED018_041223_00.CSV</t>
  </si>
  <si>
    <t>FED017_041623_00.CSV</t>
  </si>
  <si>
    <t>FED018_041623_00.CSV</t>
  </si>
  <si>
    <t>FED017_042023_00.CSV</t>
  </si>
  <si>
    <t>FED018_042023_00.CSV</t>
  </si>
  <si>
    <t>FED017_042423_00.CSV</t>
  </si>
  <si>
    <t>FED020_042423_00.CSV</t>
  </si>
  <si>
    <t>FED020_040123_03.CSV</t>
  </si>
  <si>
    <t>FED020_040223_01.CSV</t>
  </si>
  <si>
    <t>FED019_041223_00.CSV</t>
  </si>
  <si>
    <t>FED020_041223_00.CSV</t>
  </si>
  <si>
    <t>FED019_041623_00.CSV</t>
  </si>
  <si>
    <t>FED020_041623_00.CSV</t>
  </si>
  <si>
    <t>FED019_042023_00.CSV</t>
  </si>
  <si>
    <t>FED020_042023_00.CSV</t>
  </si>
  <si>
    <t>FED007_042523_00.CSV</t>
  </si>
  <si>
    <t>FED008_042523_00.CSV</t>
  </si>
  <si>
    <t>Mouse</t>
  </si>
  <si>
    <t>BW measuremnt times</t>
  </si>
  <si>
    <t>AV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</si>
  <si>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</si>
  <si>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</si>
  <si>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</si>
  <si>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</si>
  <si>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</si>
  <si>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</si>
  <si>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</si>
  <si>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</si>
  <si>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</si>
  <si>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</si>
  <si>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</si>
  <si>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</si>
  <si>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</si>
  <si>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</si>
  <si>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</si>
  <si>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</si>
  <si>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</si>
  <si>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</si>
  <si>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</si>
  <si>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T.test Females</t>
  </si>
  <si>
    <t>M10</t>
  </si>
  <si>
    <t>T.test Males</t>
  </si>
  <si>
    <t>T.TEST DAY BY DAY</t>
  </si>
  <si>
    <t>AV F PR</t>
  </si>
  <si>
    <t>AV F NR</t>
  </si>
  <si>
    <t>AV M PR</t>
  </si>
  <si>
    <t>AV M NR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</si>
  <si>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</si>
  <si>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</si>
  <si>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</si>
  <si>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</si>
  <si>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</si>
  <si>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</si>
  <si>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</si>
  <si>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</si>
  <si>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</si>
  <si>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</si>
  <si>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</si>
  <si>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</si>
  <si>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</si>
  <si>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</si>
  <si>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</si>
  <si>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</si>
  <si>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</si>
  <si>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</si>
  <si>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</si>
  <si>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</si>
  <si>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AV_PR_F</t>
  </si>
  <si>
    <t>AV_NR_F</t>
  </si>
  <si>
    <t>AV_PR_M</t>
  </si>
  <si>
    <t>AV_NR_M</t>
  </si>
  <si>
    <t>7 days</t>
  </si>
  <si>
    <t>3 days</t>
  </si>
  <si>
    <t>FW measuremnt times</t>
  </si>
  <si>
    <t>AV F</t>
  </si>
  <si>
    <t>10 days</t>
  </si>
  <si>
    <t>13 days</t>
  </si>
  <si>
    <t>16 days</t>
  </si>
  <si>
    <t>AV M</t>
  </si>
  <si>
    <t>F T.TEST</t>
  </si>
  <si>
    <t>Male T.TEST</t>
  </si>
  <si>
    <t>Label</t>
  </si>
  <si>
    <t>Fat</t>
  </si>
  <si>
    <t>Lean</t>
  </si>
  <si>
    <t>ID</t>
  </si>
  <si>
    <t>fat</t>
  </si>
  <si>
    <t>lean</t>
  </si>
  <si>
    <t>BW(g)</t>
  </si>
  <si>
    <t>FEDXD1F</t>
  </si>
  <si>
    <t>FEDXD1M</t>
  </si>
  <si>
    <t>FEDXD2F</t>
  </si>
  <si>
    <t>FEDXD2M</t>
  </si>
  <si>
    <t>FEDXD3F</t>
  </si>
  <si>
    <t>FEDXD3M</t>
  </si>
  <si>
    <t>FEDXD4F</t>
  </si>
  <si>
    <t>FEDXD4M</t>
  </si>
  <si>
    <t>FEDXD5F</t>
  </si>
  <si>
    <t>FEDXD5M</t>
  </si>
  <si>
    <t>FEDXD6F</t>
  </si>
  <si>
    <t>FEDXD6M</t>
  </si>
  <si>
    <t>FEDXD7F</t>
  </si>
  <si>
    <t>FEDXD7M</t>
  </si>
  <si>
    <t>FEDXD8F</t>
  </si>
  <si>
    <t>FEDXD8M</t>
  </si>
  <si>
    <t>FEDXD9F</t>
  </si>
  <si>
    <t>FEDXD9M</t>
  </si>
  <si>
    <t>FEDXD10F</t>
  </si>
  <si>
    <t>FEDXD10M</t>
  </si>
  <si>
    <t>T.TEST</t>
  </si>
  <si>
    <t>FEDXD11F</t>
  </si>
  <si>
    <t>FEDXD11M</t>
  </si>
  <si>
    <t>FEDXD12F</t>
  </si>
  <si>
    <t>FEDXD12M</t>
  </si>
  <si>
    <t>FEDXD13F</t>
  </si>
  <si>
    <t>FEDXD13M</t>
  </si>
  <si>
    <t>FEDXD14F</t>
  </si>
  <si>
    <t>FEDXD14M</t>
  </si>
  <si>
    <t>FEDXD15F</t>
  </si>
  <si>
    <t>FEDXD15M</t>
  </si>
  <si>
    <t>FEDXD16F</t>
  </si>
  <si>
    <t>FEDXD16M</t>
  </si>
  <si>
    <t>FEDXD17F</t>
  </si>
  <si>
    <t>FEDXD17M</t>
  </si>
  <si>
    <t>FEDXD18F</t>
  </si>
  <si>
    <t>FEDXD18M</t>
  </si>
  <si>
    <t>FEDXD19F</t>
  </si>
  <si>
    <t>FEDXD19M</t>
  </si>
  <si>
    <t>FEDXD20F</t>
  </si>
  <si>
    <t>FEDXD20M</t>
  </si>
  <si>
    <t>NR_F_CAS5%</t>
  </si>
  <si>
    <t>PR_F_CAS5%</t>
  </si>
  <si>
    <t>Variable</t>
  </si>
  <si>
    <t>Average</t>
  </si>
  <si>
    <t>STD</t>
  </si>
  <si>
    <t>CAS_VS_SUC</t>
  </si>
  <si>
    <t>NR_PR</t>
  </si>
  <si>
    <t>Pellets Taken</t>
  </si>
  <si>
    <t>Pellets Taken (Night)</t>
  </si>
  <si>
    <t>Pellets Taken (Day)</t>
  </si>
  <si>
    <t>Pellets per Hour</t>
  </si>
  <si>
    <t>Pellets per Hour (Night)</t>
  </si>
  <si>
    <t>Pellets per Hour (Day)</t>
  </si>
  <si>
    <t>Number of Meals</t>
  </si>
  <si>
    <t>Number of Meals (Night)</t>
  </si>
  <si>
    <t>Number of Meals (Day)</t>
  </si>
  <si>
    <t>Average Pellets per Meal</t>
  </si>
  <si>
    <t>Average Pellets per Meal (Night)</t>
  </si>
  <si>
    <t>Average Pellets per Meal (Day)</t>
  </si>
  <si>
    <t>% Pellets within Meals</t>
  </si>
  <si>
    <t>% Pellets within Meals (Night)</t>
  </si>
  <si>
    <t>% Pellets within Meals (Day)</t>
  </si>
  <si>
    <t>Total Pokes</t>
  </si>
  <si>
    <t>Total Pokes (Night)</t>
  </si>
  <si>
    <t>Total Pokes (Day)</t>
  </si>
  <si>
    <t>Correct Pokes (%)</t>
  </si>
  <si>
    <t>Correct Pokes (%) (Night)</t>
  </si>
  <si>
    <t>Correct Pokes (%) (Day)</t>
  </si>
  <si>
    <t>Recording Duration (Hours)</t>
  </si>
  <si>
    <t>Battery Change (V)</t>
  </si>
  <si>
    <t>Battery Rate (V/hour)</t>
  </si>
  <si>
    <t>Motor Turns (Mean)</t>
  </si>
  <si>
    <t>Motor Turns (Median)</t>
  </si>
  <si>
    <t>Motor Turns Above 10</t>
  </si>
  <si>
    <t>NR_F_SUC</t>
  </si>
  <si>
    <t>PR_F_SUC</t>
  </si>
  <si>
    <t>NR_MALE_CAS5</t>
  </si>
  <si>
    <t>PR_MALE_CAS5</t>
  </si>
  <si>
    <t>NR_VS_PR</t>
  </si>
  <si>
    <t>NR_MALE_SUC</t>
  </si>
  <si>
    <t>PR_MALE_SUC</t>
  </si>
  <si>
    <t>NF_F_CAS20</t>
  </si>
  <si>
    <t>PR_F_CAS20</t>
  </si>
  <si>
    <t>FED017_040923_00.CSV</t>
  </si>
  <si>
    <t>NR_F_CAS5</t>
  </si>
  <si>
    <t>PR_F_CAS5</t>
  </si>
  <si>
    <t>NR_M_CAS20</t>
  </si>
  <si>
    <t>PR_M_CAS20</t>
  </si>
  <si>
    <t>NR_M_CAS5</t>
  </si>
  <si>
    <t>PR_M_CAS5</t>
  </si>
  <si>
    <t>NR_M_F_CAS20</t>
  </si>
  <si>
    <t>PR_M_F_CAS20</t>
  </si>
  <si>
    <t>NR_M_F_CAS5</t>
  </si>
  <si>
    <t>PR_M_F_CAS5</t>
  </si>
  <si>
    <t>NR_F_CAS20</t>
  </si>
  <si>
    <t>NR_M_SUC</t>
  </si>
  <si>
    <t>PR_M_SUC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</si>
</sst>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638175</xdr:colOff>
      <xdr:row>24</xdr:row>
      <xdr:rowOff>114300</xdr:rowOff>
    </xdr:from>
    <xdr:ext cx="8177047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9FA8D4-B38D-2907-8E7E-EE68698EB989}"/>
            </a:ext>
          </a:extLst>
        </xdr:cNvPr>
        <xdr:cNvSpPr txBox="1"/>
      </xdr:nvSpPr>
      <xdr:spPr>
        <a:xfrm>
          <a:off x="3238500" y="4686300"/>
          <a:ext cx="817704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>
              <a:solidFill>
                <a:srgbClr val="FF0000"/>
              </a:solidFill>
            </a:rPr>
            <a:t>No difference in bodyweights</a:t>
          </a:r>
          <a:r>
            <a:rPr lang="en-GB" sz="2400" baseline="0">
              <a:solidFill>
                <a:srgbClr val="FF0000"/>
              </a:solidFill>
            </a:rPr>
            <a:t> after 20 days of diet manipulation</a:t>
          </a:r>
          <a:endParaRPr lang="en-GB" sz="24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257175</xdr:colOff>
      <xdr:row>4</xdr:row>
      <xdr:rowOff>114300</xdr:rowOff>
    </xdr:from>
    <xdr:ext cx="10870092" cy="6937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47E04B-3C9C-433F-9812-AE3F986F57D6}"/>
            </a:ext>
          </a:extLst>
        </xdr:cNvPr>
        <xdr:cNvSpPr txBox="1"/>
      </xdr:nvSpPr>
      <xdr:spPr>
        <a:xfrm>
          <a:off x="5743575" y="876300"/>
          <a:ext cx="10870092" cy="693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After</a:t>
          </a:r>
          <a: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 13 days female PR mice increase their intake however males show a difference after 16 days</a:t>
          </a:r>
          <a:b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</a:br>
          <a:r>
            <a:rPr lang="en-GB" sz="20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Bodyweight remains similar among the two groups at this point.</a:t>
          </a:r>
          <a:endParaRPr lang="en-GB" sz="2000">
            <a:solidFill>
              <a:srgbClr val="FF000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438150</xdr:colOff>
      <xdr:row>3</xdr:row>
      <xdr:rowOff>114300</xdr:rowOff>
    </xdr:from>
    <xdr:ext cx="14186512" cy="8139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C46B04-9DCD-0EE6-B638-E7CD7581400C}"/>
            </a:ext>
          </a:extLst>
        </xdr:cNvPr>
        <xdr:cNvSpPr txBox="1"/>
      </xdr:nvSpPr>
      <xdr:spPr>
        <a:xfrm>
          <a:off x="8362950" y="685800"/>
          <a:ext cx="14186512" cy="813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After almost 1 month being on diet, only</a:t>
          </a:r>
          <a: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 female PR mice have higher fat mass compared to female NR mice.</a:t>
          </a:r>
          <a:b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</a:br>
          <a:r>
            <a:rPr lang="en-GB" sz="240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rPr>
            <a:t>However at the day of scan, female PR mice also have higher body weight</a:t>
          </a:r>
          <a:endParaRPr lang="en-GB" sz="2400">
            <a:solidFill>
              <a:srgbClr val="FF000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mid Taghipourbibalan" id="{49E8B411-4B4D-4025-8559-F7AAA4AC8E4F}" userId="S::hta031@uit.no::29922949-cdb3-4375-8ce2-aa711aea7c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3-12-14T13:39:27.44" personId="{49E8B411-4B4D-4025-8559-F7AAA4AC8E4F}" id="{567B8444-89FC-4081-8475-4BF644144571}">
    <text xml:space="preserve">Only up to measurement 9 is valid for the experiment, the rest are extra measurements, not part of the initial plan of the experiment.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B3F-C6CB-45D4-8236-338F6F2DA6B5}">
  <dimension ref="A1:H406"/>
  <sheetViews>
    <sheetView workbookViewId="0">
      <selection activeCell="R17" sqref="R17"/>
    </sheetView>
  </sheetViews>
  <sheetFormatPr defaultRowHeight="15" x14ac:dyDescent="0.25"/>
  <cols>
    <col min="1" max="1" width="10.42578125" bestFit="1" customWidth="1"/>
    <col min="2" max="2" width="4.140625" bestFit="1" customWidth="1"/>
    <col min="3" max="3" width="6.85546875" bestFit="1" customWidth="1"/>
    <col min="4" max="4" width="22.140625" bestFit="1" customWidth="1"/>
    <col min="5" max="5" width="16.140625" bestFit="1" customWidth="1"/>
    <col min="6" max="6" width="11.140625" bestFit="1" customWidth="1"/>
    <col min="7" max="7" width="6.5703125" bestFit="1" customWidth="1"/>
    <col min="8" max="8" width="4.85546875" bestFit="1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 t="s">
        <v>9</v>
      </c>
      <c r="C2" s="3">
        <v>1</v>
      </c>
      <c r="D2" s="4" t="s">
        <v>10</v>
      </c>
      <c r="E2" s="3">
        <v>0</v>
      </c>
      <c r="F2" s="3" t="s">
        <v>11</v>
      </c>
      <c r="G2" s="3" t="s">
        <v>12</v>
      </c>
      <c r="H2" s="3" t="s">
        <v>13</v>
      </c>
    </row>
    <row r="3" spans="1:8" x14ac:dyDescent="0.25">
      <c r="A3" s="3" t="s">
        <v>8</v>
      </c>
      <c r="B3" s="3" t="s">
        <v>9</v>
      </c>
      <c r="C3" s="3">
        <v>1</v>
      </c>
      <c r="D3" s="4" t="s">
        <v>14</v>
      </c>
      <c r="E3" s="3">
        <v>0</v>
      </c>
      <c r="F3" s="3" t="s">
        <v>11</v>
      </c>
      <c r="G3" s="3" t="s">
        <v>15</v>
      </c>
      <c r="H3" s="3" t="s">
        <v>13</v>
      </c>
    </row>
    <row r="4" spans="1:8" x14ac:dyDescent="0.25">
      <c r="A4" s="3" t="s">
        <v>8</v>
      </c>
      <c r="B4" s="3" t="s">
        <v>9</v>
      </c>
      <c r="C4" s="3">
        <v>1</v>
      </c>
      <c r="D4" s="4" t="s">
        <v>16</v>
      </c>
      <c r="E4" s="3">
        <v>1</v>
      </c>
      <c r="F4" s="3" t="s">
        <v>17</v>
      </c>
      <c r="G4" s="3" t="s">
        <v>15</v>
      </c>
      <c r="H4" s="3" t="s">
        <v>13</v>
      </c>
    </row>
    <row r="5" spans="1:8" x14ac:dyDescent="0.25">
      <c r="A5" s="3" t="s">
        <v>8</v>
      </c>
      <c r="B5" s="3" t="s">
        <v>9</v>
      </c>
      <c r="C5" s="3">
        <v>1</v>
      </c>
      <c r="D5" s="4" t="s">
        <v>18</v>
      </c>
      <c r="E5" s="3">
        <v>1</v>
      </c>
      <c r="F5" s="3" t="s">
        <v>19</v>
      </c>
      <c r="G5" s="3" t="s">
        <v>15</v>
      </c>
      <c r="H5" s="3" t="s">
        <v>13</v>
      </c>
    </row>
    <row r="6" spans="1:8" x14ac:dyDescent="0.25">
      <c r="A6" s="3" t="s">
        <v>8</v>
      </c>
      <c r="B6" s="3" t="s">
        <v>9</v>
      </c>
      <c r="C6" s="3">
        <v>1</v>
      </c>
      <c r="D6" s="4" t="s">
        <v>20</v>
      </c>
      <c r="E6" s="3">
        <v>2</v>
      </c>
      <c r="F6" s="3" t="s">
        <v>17</v>
      </c>
      <c r="G6" s="3" t="s">
        <v>15</v>
      </c>
      <c r="H6" s="3" t="s">
        <v>13</v>
      </c>
    </row>
    <row r="7" spans="1:8" x14ac:dyDescent="0.25">
      <c r="A7" s="3" t="s">
        <v>8</v>
      </c>
      <c r="B7" s="3" t="s">
        <v>9</v>
      </c>
      <c r="C7" s="3">
        <v>1</v>
      </c>
      <c r="D7" s="4" t="s">
        <v>21</v>
      </c>
      <c r="E7" s="3">
        <v>2</v>
      </c>
      <c r="F7" s="5" t="s">
        <v>22</v>
      </c>
      <c r="G7" s="3" t="s">
        <v>15</v>
      </c>
      <c r="H7" s="3" t="s">
        <v>13</v>
      </c>
    </row>
    <row r="8" spans="1:8" x14ac:dyDescent="0.25">
      <c r="A8" s="3" t="s">
        <v>8</v>
      </c>
      <c r="B8" s="3" t="s">
        <v>9</v>
      </c>
      <c r="C8" s="3">
        <v>1</v>
      </c>
      <c r="D8" s="4" t="s">
        <v>23</v>
      </c>
      <c r="E8" s="3">
        <v>3</v>
      </c>
      <c r="F8" s="3" t="s">
        <v>19</v>
      </c>
      <c r="G8" s="3" t="s">
        <v>15</v>
      </c>
      <c r="H8" s="3" t="s">
        <v>13</v>
      </c>
    </row>
    <row r="9" spans="1:8" x14ac:dyDescent="0.25">
      <c r="A9" s="3" t="s">
        <v>8</v>
      </c>
      <c r="B9" s="3" t="s">
        <v>9</v>
      </c>
      <c r="C9" s="3">
        <v>1</v>
      </c>
      <c r="D9" s="4" t="s">
        <v>24</v>
      </c>
      <c r="E9" s="3">
        <v>3</v>
      </c>
      <c r="F9" s="3" t="s">
        <v>22</v>
      </c>
      <c r="G9" s="3" t="s">
        <v>15</v>
      </c>
      <c r="H9" s="3" t="s">
        <v>13</v>
      </c>
    </row>
    <row r="10" spans="1:8" x14ac:dyDescent="0.25">
      <c r="A10" s="3" t="s">
        <v>8</v>
      </c>
      <c r="B10" s="3" t="s">
        <v>9</v>
      </c>
      <c r="C10" s="3">
        <v>1</v>
      </c>
      <c r="D10" s="4" t="s">
        <v>25</v>
      </c>
      <c r="E10" s="3">
        <v>4</v>
      </c>
      <c r="F10" s="3" t="s">
        <v>19</v>
      </c>
      <c r="G10" s="3" t="s">
        <v>26</v>
      </c>
      <c r="H10" s="3" t="s">
        <v>13</v>
      </c>
    </row>
    <row r="11" spans="1:8" x14ac:dyDescent="0.25">
      <c r="A11" s="3" t="s">
        <v>8</v>
      </c>
      <c r="B11" s="3" t="s">
        <v>9</v>
      </c>
      <c r="C11" s="3">
        <v>1</v>
      </c>
      <c r="D11" s="4" t="s">
        <v>27</v>
      </c>
      <c r="E11" s="3">
        <v>4</v>
      </c>
      <c r="F11" s="3" t="s">
        <v>22</v>
      </c>
      <c r="G11" s="3" t="s">
        <v>26</v>
      </c>
      <c r="H11" s="3" t="s">
        <v>13</v>
      </c>
    </row>
    <row r="12" spans="1:8" x14ac:dyDescent="0.25">
      <c r="A12" s="3" t="s">
        <v>28</v>
      </c>
      <c r="B12" s="3" t="s">
        <v>9</v>
      </c>
      <c r="C12" s="3">
        <v>1</v>
      </c>
      <c r="D12" s="3" t="s">
        <v>29</v>
      </c>
      <c r="E12" s="3">
        <v>0</v>
      </c>
      <c r="F12" s="3" t="s">
        <v>11</v>
      </c>
      <c r="G12" s="3" t="s">
        <v>12</v>
      </c>
      <c r="H12" s="3" t="s">
        <v>13</v>
      </c>
    </row>
    <row r="13" spans="1:8" x14ac:dyDescent="0.25">
      <c r="A13" s="3" t="s">
        <v>28</v>
      </c>
      <c r="B13" s="3" t="s">
        <v>9</v>
      </c>
      <c r="C13" s="3">
        <v>1</v>
      </c>
      <c r="D13" s="3" t="s">
        <v>30</v>
      </c>
      <c r="E13" s="3">
        <v>0</v>
      </c>
      <c r="F13" s="3" t="s">
        <v>11</v>
      </c>
      <c r="G13" s="3" t="s">
        <v>15</v>
      </c>
      <c r="H13" s="3" t="s">
        <v>13</v>
      </c>
    </row>
    <row r="14" spans="1:8" x14ac:dyDescent="0.25">
      <c r="A14" s="3" t="s">
        <v>28</v>
      </c>
      <c r="B14" s="3" t="s">
        <v>9</v>
      </c>
      <c r="C14" s="3">
        <v>1</v>
      </c>
      <c r="D14" s="3" t="s">
        <v>31</v>
      </c>
      <c r="E14" s="3">
        <v>1</v>
      </c>
      <c r="F14" s="3" t="s">
        <v>17</v>
      </c>
      <c r="G14" s="3" t="s">
        <v>15</v>
      </c>
      <c r="H14" s="3" t="s">
        <v>13</v>
      </c>
    </row>
    <row r="15" spans="1:8" x14ac:dyDescent="0.25">
      <c r="A15" s="3" t="s">
        <v>28</v>
      </c>
      <c r="B15" s="3" t="s">
        <v>9</v>
      </c>
      <c r="C15" s="3">
        <v>1</v>
      </c>
      <c r="D15" s="3" t="s">
        <v>32</v>
      </c>
      <c r="E15" s="3">
        <v>1</v>
      </c>
      <c r="F15" s="3" t="s">
        <v>19</v>
      </c>
      <c r="G15" s="3" t="s">
        <v>15</v>
      </c>
      <c r="H15" s="3" t="s">
        <v>13</v>
      </c>
    </row>
    <row r="16" spans="1:8" x14ac:dyDescent="0.25">
      <c r="A16" s="3" t="s">
        <v>28</v>
      </c>
      <c r="B16" s="3" t="s">
        <v>9</v>
      </c>
      <c r="C16" s="3">
        <v>1</v>
      </c>
      <c r="D16" s="3" t="s">
        <v>33</v>
      </c>
      <c r="E16" s="3">
        <v>2</v>
      </c>
      <c r="F16" s="3" t="s">
        <v>17</v>
      </c>
      <c r="G16" s="3" t="s">
        <v>15</v>
      </c>
      <c r="H16" s="3" t="s">
        <v>13</v>
      </c>
    </row>
    <row r="17" spans="1:8" x14ac:dyDescent="0.25">
      <c r="A17" s="3" t="s">
        <v>28</v>
      </c>
      <c r="B17" s="3" t="s">
        <v>9</v>
      </c>
      <c r="C17" s="3">
        <v>1</v>
      </c>
      <c r="D17" s="3" t="s">
        <v>34</v>
      </c>
      <c r="E17" s="3">
        <v>2</v>
      </c>
      <c r="F17" s="5" t="s">
        <v>22</v>
      </c>
      <c r="G17" s="3" t="s">
        <v>15</v>
      </c>
      <c r="H17" s="3" t="s">
        <v>13</v>
      </c>
    </row>
    <row r="18" spans="1:8" x14ac:dyDescent="0.25">
      <c r="A18" s="3" t="s">
        <v>28</v>
      </c>
      <c r="B18" s="3" t="s">
        <v>9</v>
      </c>
      <c r="C18" s="3">
        <v>1</v>
      </c>
      <c r="D18" s="3" t="s">
        <v>35</v>
      </c>
      <c r="E18" s="3">
        <v>3</v>
      </c>
      <c r="F18" s="3" t="s">
        <v>19</v>
      </c>
      <c r="G18" s="3" t="s">
        <v>15</v>
      </c>
      <c r="H18" s="3" t="s">
        <v>13</v>
      </c>
    </row>
    <row r="19" spans="1:8" x14ac:dyDescent="0.25">
      <c r="A19" s="3" t="s">
        <v>28</v>
      </c>
      <c r="B19" s="3" t="s">
        <v>9</v>
      </c>
      <c r="C19" s="3">
        <v>1</v>
      </c>
      <c r="D19" s="3" t="s">
        <v>36</v>
      </c>
      <c r="E19" s="3">
        <v>3</v>
      </c>
      <c r="F19" s="3" t="s">
        <v>22</v>
      </c>
      <c r="G19" s="3" t="s">
        <v>15</v>
      </c>
      <c r="H19" s="3" t="s">
        <v>13</v>
      </c>
    </row>
    <row r="20" spans="1:8" x14ac:dyDescent="0.25">
      <c r="A20" s="3" t="s">
        <v>28</v>
      </c>
      <c r="B20" s="3" t="s">
        <v>9</v>
      </c>
      <c r="C20" s="3">
        <v>1</v>
      </c>
      <c r="D20" s="3" t="s">
        <v>37</v>
      </c>
      <c r="E20" s="3">
        <v>4</v>
      </c>
      <c r="F20" s="3" t="s">
        <v>19</v>
      </c>
      <c r="G20" s="3" t="s">
        <v>26</v>
      </c>
      <c r="H20" s="3" t="s">
        <v>13</v>
      </c>
    </row>
    <row r="21" spans="1:8" x14ac:dyDescent="0.25">
      <c r="A21" s="3" t="s">
        <v>28</v>
      </c>
      <c r="B21" s="3" t="s">
        <v>9</v>
      </c>
      <c r="C21" s="3">
        <v>1</v>
      </c>
      <c r="D21" s="3" t="s">
        <v>38</v>
      </c>
      <c r="E21" s="3">
        <v>4</v>
      </c>
      <c r="F21" s="3" t="s">
        <v>22</v>
      </c>
      <c r="G21" s="3" t="s">
        <v>26</v>
      </c>
      <c r="H21" s="3" t="s">
        <v>13</v>
      </c>
    </row>
    <row r="22" spans="1:8" x14ac:dyDescent="0.25">
      <c r="A22" s="3" t="s">
        <v>39</v>
      </c>
      <c r="B22" s="3" t="s">
        <v>9</v>
      </c>
      <c r="C22" s="3">
        <v>1</v>
      </c>
      <c r="D22" s="3" t="s">
        <v>40</v>
      </c>
      <c r="E22" s="3">
        <v>0</v>
      </c>
      <c r="F22" s="3" t="s">
        <v>11</v>
      </c>
      <c r="G22" s="3" t="s">
        <v>12</v>
      </c>
      <c r="H22" s="3" t="s">
        <v>13</v>
      </c>
    </row>
    <row r="23" spans="1:8" x14ac:dyDescent="0.25">
      <c r="A23" s="3" t="s">
        <v>39</v>
      </c>
      <c r="B23" s="3" t="s">
        <v>9</v>
      </c>
      <c r="C23" s="3">
        <v>1</v>
      </c>
      <c r="D23" s="3" t="s">
        <v>41</v>
      </c>
      <c r="E23" s="3">
        <v>0</v>
      </c>
      <c r="F23" s="3" t="s">
        <v>11</v>
      </c>
      <c r="G23" s="3" t="s">
        <v>15</v>
      </c>
      <c r="H23" s="3" t="s">
        <v>13</v>
      </c>
    </row>
    <row r="24" spans="1:8" x14ac:dyDescent="0.25">
      <c r="A24" s="3" t="s">
        <v>39</v>
      </c>
      <c r="B24" s="3" t="s">
        <v>9</v>
      </c>
      <c r="C24" s="3">
        <v>1</v>
      </c>
      <c r="D24" s="3" t="s">
        <v>42</v>
      </c>
      <c r="E24" s="3">
        <v>1</v>
      </c>
      <c r="F24" s="3" t="s">
        <v>17</v>
      </c>
      <c r="G24" s="3" t="s">
        <v>15</v>
      </c>
      <c r="H24" s="3" t="s">
        <v>13</v>
      </c>
    </row>
    <row r="25" spans="1:8" x14ac:dyDescent="0.25">
      <c r="A25" s="3" t="s">
        <v>39</v>
      </c>
      <c r="B25" s="3" t="s">
        <v>9</v>
      </c>
      <c r="C25" s="3">
        <v>1</v>
      </c>
      <c r="D25" s="3" t="s">
        <v>43</v>
      </c>
      <c r="E25" s="3">
        <v>1</v>
      </c>
      <c r="F25" s="3" t="s">
        <v>19</v>
      </c>
      <c r="G25" s="3" t="s">
        <v>15</v>
      </c>
      <c r="H25" s="3" t="s">
        <v>13</v>
      </c>
    </row>
    <row r="26" spans="1:8" x14ac:dyDescent="0.25">
      <c r="A26" s="3" t="s">
        <v>39</v>
      </c>
      <c r="B26" s="3" t="s">
        <v>9</v>
      </c>
      <c r="C26" s="3">
        <v>1</v>
      </c>
      <c r="D26" s="3" t="s">
        <v>44</v>
      </c>
      <c r="E26" s="3">
        <v>2</v>
      </c>
      <c r="F26" s="3" t="s">
        <v>17</v>
      </c>
      <c r="G26" s="3" t="s">
        <v>15</v>
      </c>
      <c r="H26" s="3" t="s">
        <v>13</v>
      </c>
    </row>
    <row r="27" spans="1:8" x14ac:dyDescent="0.25">
      <c r="A27" s="3" t="s">
        <v>39</v>
      </c>
      <c r="B27" s="3" t="s">
        <v>9</v>
      </c>
      <c r="C27" s="3">
        <v>1</v>
      </c>
      <c r="D27" s="3" t="s">
        <v>45</v>
      </c>
      <c r="E27" s="3">
        <v>2</v>
      </c>
      <c r="F27" s="5" t="s">
        <v>22</v>
      </c>
      <c r="G27" s="3" t="s">
        <v>15</v>
      </c>
      <c r="H27" s="3" t="s">
        <v>13</v>
      </c>
    </row>
    <row r="28" spans="1:8" x14ac:dyDescent="0.25">
      <c r="A28" s="3" t="s">
        <v>39</v>
      </c>
      <c r="B28" s="3" t="s">
        <v>9</v>
      </c>
      <c r="C28" s="3">
        <v>1</v>
      </c>
      <c r="D28" s="3" t="s">
        <v>46</v>
      </c>
      <c r="E28" s="3">
        <v>3</v>
      </c>
      <c r="F28" s="3" t="s">
        <v>19</v>
      </c>
      <c r="G28" s="3" t="s">
        <v>15</v>
      </c>
      <c r="H28" s="3" t="s">
        <v>13</v>
      </c>
    </row>
    <row r="29" spans="1:8" x14ac:dyDescent="0.25">
      <c r="A29" s="3" t="s">
        <v>39</v>
      </c>
      <c r="B29" s="3" t="s">
        <v>9</v>
      </c>
      <c r="C29" s="3">
        <v>1</v>
      </c>
      <c r="D29" s="3" t="s">
        <v>47</v>
      </c>
      <c r="E29" s="3">
        <v>3</v>
      </c>
      <c r="F29" s="3" t="s">
        <v>22</v>
      </c>
      <c r="G29" s="3" t="s">
        <v>15</v>
      </c>
      <c r="H29" s="3" t="s">
        <v>13</v>
      </c>
    </row>
    <row r="30" spans="1:8" x14ac:dyDescent="0.25">
      <c r="A30" s="3" t="s">
        <v>39</v>
      </c>
      <c r="B30" s="3" t="s">
        <v>9</v>
      </c>
      <c r="C30" s="3">
        <v>1</v>
      </c>
      <c r="D30" s="3" t="s">
        <v>48</v>
      </c>
      <c r="E30" s="3">
        <v>4</v>
      </c>
      <c r="F30" s="3" t="s">
        <v>19</v>
      </c>
      <c r="G30" s="3" t="s">
        <v>26</v>
      </c>
      <c r="H30" s="3" t="s">
        <v>13</v>
      </c>
    </row>
    <row r="31" spans="1:8" x14ac:dyDescent="0.25">
      <c r="A31" s="3" t="s">
        <v>39</v>
      </c>
      <c r="B31" s="3" t="s">
        <v>9</v>
      </c>
      <c r="C31" s="3">
        <v>1</v>
      </c>
      <c r="D31" s="3" t="s">
        <v>49</v>
      </c>
      <c r="E31" s="3">
        <v>4</v>
      </c>
      <c r="F31" s="3" t="s">
        <v>22</v>
      </c>
      <c r="G31" s="3" t="s">
        <v>26</v>
      </c>
      <c r="H31" s="3" t="s">
        <v>13</v>
      </c>
    </row>
    <row r="32" spans="1:8" x14ac:dyDescent="0.25">
      <c r="A32" s="3" t="s">
        <v>50</v>
      </c>
      <c r="B32" s="3" t="s">
        <v>9</v>
      </c>
      <c r="C32" s="3">
        <v>1</v>
      </c>
      <c r="D32" s="3" t="s">
        <v>51</v>
      </c>
      <c r="E32" s="3">
        <v>0</v>
      </c>
      <c r="F32" s="3" t="s">
        <v>11</v>
      </c>
      <c r="G32" s="3" t="s">
        <v>12</v>
      </c>
      <c r="H32" s="3" t="s">
        <v>13</v>
      </c>
    </row>
    <row r="33" spans="1:8" x14ac:dyDescent="0.25">
      <c r="A33" s="3" t="s">
        <v>50</v>
      </c>
      <c r="B33" s="3" t="s">
        <v>9</v>
      </c>
      <c r="C33" s="3">
        <v>1</v>
      </c>
      <c r="D33" s="3" t="s">
        <v>52</v>
      </c>
      <c r="E33" s="3">
        <v>0</v>
      </c>
      <c r="F33" s="3" t="s">
        <v>11</v>
      </c>
      <c r="G33" s="3" t="s">
        <v>15</v>
      </c>
      <c r="H33" s="3" t="s">
        <v>13</v>
      </c>
    </row>
    <row r="34" spans="1:8" x14ac:dyDescent="0.25">
      <c r="A34" s="3" t="s">
        <v>50</v>
      </c>
      <c r="B34" s="3" t="s">
        <v>9</v>
      </c>
      <c r="C34" s="3">
        <v>1</v>
      </c>
      <c r="D34" s="3" t="s">
        <v>53</v>
      </c>
      <c r="E34" s="3">
        <v>1</v>
      </c>
      <c r="F34" s="3" t="s">
        <v>17</v>
      </c>
      <c r="G34" s="3" t="s">
        <v>15</v>
      </c>
      <c r="H34" s="3" t="s">
        <v>13</v>
      </c>
    </row>
    <row r="35" spans="1:8" x14ac:dyDescent="0.25">
      <c r="A35" s="3" t="s">
        <v>50</v>
      </c>
      <c r="B35" s="3" t="s">
        <v>9</v>
      </c>
      <c r="C35" s="3">
        <v>1</v>
      </c>
      <c r="D35" s="3" t="s">
        <v>54</v>
      </c>
      <c r="E35" s="3">
        <v>1</v>
      </c>
      <c r="F35" s="3" t="s">
        <v>19</v>
      </c>
      <c r="G35" s="3" t="s">
        <v>15</v>
      </c>
      <c r="H35" s="3" t="s">
        <v>13</v>
      </c>
    </row>
    <row r="36" spans="1:8" x14ac:dyDescent="0.25">
      <c r="A36" s="3" t="s">
        <v>50</v>
      </c>
      <c r="B36" s="3" t="s">
        <v>9</v>
      </c>
      <c r="C36" s="3">
        <v>1</v>
      </c>
      <c r="D36" s="3" t="s">
        <v>55</v>
      </c>
      <c r="E36" s="3">
        <v>2</v>
      </c>
      <c r="F36" s="3" t="s">
        <v>17</v>
      </c>
      <c r="G36" s="3" t="s">
        <v>15</v>
      </c>
      <c r="H36" s="3" t="s">
        <v>13</v>
      </c>
    </row>
    <row r="37" spans="1:8" x14ac:dyDescent="0.25">
      <c r="A37" s="3" t="s">
        <v>50</v>
      </c>
      <c r="B37" s="3" t="s">
        <v>9</v>
      </c>
      <c r="C37" s="3">
        <v>1</v>
      </c>
      <c r="D37" s="3" t="s">
        <v>56</v>
      </c>
      <c r="E37" s="3">
        <v>2</v>
      </c>
      <c r="F37" s="5" t="s">
        <v>22</v>
      </c>
      <c r="G37" s="3" t="s">
        <v>15</v>
      </c>
      <c r="H37" s="3" t="s">
        <v>13</v>
      </c>
    </row>
    <row r="38" spans="1:8" x14ac:dyDescent="0.25">
      <c r="A38" s="3" t="s">
        <v>50</v>
      </c>
      <c r="B38" s="3" t="s">
        <v>9</v>
      </c>
      <c r="C38" s="3">
        <v>1</v>
      </c>
      <c r="D38" s="3" t="s">
        <v>57</v>
      </c>
      <c r="E38" s="3">
        <v>3</v>
      </c>
      <c r="F38" s="3" t="s">
        <v>19</v>
      </c>
      <c r="G38" s="3" t="s">
        <v>15</v>
      </c>
      <c r="H38" s="3" t="s">
        <v>13</v>
      </c>
    </row>
    <row r="39" spans="1:8" x14ac:dyDescent="0.25">
      <c r="A39" s="3" t="s">
        <v>50</v>
      </c>
      <c r="B39" s="3" t="s">
        <v>9</v>
      </c>
      <c r="C39" s="3">
        <v>1</v>
      </c>
      <c r="D39" s="3" t="s">
        <v>58</v>
      </c>
      <c r="E39" s="3">
        <v>3</v>
      </c>
      <c r="F39" s="3" t="s">
        <v>22</v>
      </c>
      <c r="G39" s="3" t="s">
        <v>15</v>
      </c>
      <c r="H39" s="3" t="s">
        <v>13</v>
      </c>
    </row>
    <row r="40" spans="1:8" x14ac:dyDescent="0.25">
      <c r="A40" s="3" t="s">
        <v>50</v>
      </c>
      <c r="B40" s="3" t="s">
        <v>9</v>
      </c>
      <c r="C40" s="3">
        <v>1</v>
      </c>
      <c r="D40" s="3" t="s">
        <v>59</v>
      </c>
      <c r="E40" s="3">
        <v>4</v>
      </c>
      <c r="F40" s="3" t="s">
        <v>19</v>
      </c>
      <c r="G40" s="3" t="s">
        <v>26</v>
      </c>
      <c r="H40" s="3" t="s">
        <v>13</v>
      </c>
    </row>
    <row r="41" spans="1:8" x14ac:dyDescent="0.25">
      <c r="A41" s="3" t="s">
        <v>50</v>
      </c>
      <c r="B41" s="3" t="s">
        <v>9</v>
      </c>
      <c r="C41" s="3">
        <v>1</v>
      </c>
      <c r="D41" s="3" t="s">
        <v>60</v>
      </c>
      <c r="E41" s="3">
        <v>4</v>
      </c>
      <c r="F41" s="3" t="s">
        <v>22</v>
      </c>
      <c r="G41" s="3" t="s">
        <v>26</v>
      </c>
      <c r="H41" s="3" t="s">
        <v>13</v>
      </c>
    </row>
    <row r="42" spans="1:8" x14ac:dyDescent="0.25">
      <c r="A42" s="3" t="s">
        <v>61</v>
      </c>
      <c r="B42" s="3" t="s">
        <v>9</v>
      </c>
      <c r="C42" s="3">
        <v>1</v>
      </c>
      <c r="D42" s="3" t="s">
        <v>62</v>
      </c>
      <c r="E42" s="3">
        <v>0</v>
      </c>
      <c r="F42" s="3" t="s">
        <v>11</v>
      </c>
      <c r="G42" s="3" t="s">
        <v>12</v>
      </c>
      <c r="H42" s="3" t="s">
        <v>13</v>
      </c>
    </row>
    <row r="43" spans="1:8" x14ac:dyDescent="0.25">
      <c r="A43" s="3" t="s">
        <v>61</v>
      </c>
      <c r="B43" s="3" t="s">
        <v>9</v>
      </c>
      <c r="C43" s="3">
        <v>1</v>
      </c>
      <c r="D43" s="3" t="s">
        <v>63</v>
      </c>
      <c r="E43" s="3">
        <v>0</v>
      </c>
      <c r="F43" s="3" t="s">
        <v>11</v>
      </c>
      <c r="G43" s="3" t="s">
        <v>15</v>
      </c>
      <c r="H43" s="3" t="s">
        <v>13</v>
      </c>
    </row>
    <row r="44" spans="1:8" x14ac:dyDescent="0.25">
      <c r="A44" s="3" t="s">
        <v>61</v>
      </c>
      <c r="B44" s="3" t="s">
        <v>9</v>
      </c>
      <c r="C44" s="3">
        <v>1</v>
      </c>
      <c r="D44" s="3" t="s">
        <v>64</v>
      </c>
      <c r="E44" s="3">
        <v>1</v>
      </c>
      <c r="F44" s="3" t="s">
        <v>17</v>
      </c>
      <c r="G44" s="3" t="s">
        <v>15</v>
      </c>
      <c r="H44" s="3" t="s">
        <v>13</v>
      </c>
    </row>
    <row r="45" spans="1:8" x14ac:dyDescent="0.25">
      <c r="A45" s="3" t="s">
        <v>61</v>
      </c>
      <c r="B45" s="3" t="s">
        <v>9</v>
      </c>
      <c r="C45" s="3">
        <v>1</v>
      </c>
      <c r="D45" s="3" t="s">
        <v>65</v>
      </c>
      <c r="E45" s="3">
        <v>1</v>
      </c>
      <c r="F45" s="3" t="s">
        <v>19</v>
      </c>
      <c r="G45" s="3" t="s">
        <v>15</v>
      </c>
      <c r="H45" s="3" t="s">
        <v>13</v>
      </c>
    </row>
    <row r="46" spans="1:8" x14ac:dyDescent="0.25">
      <c r="A46" s="3" t="s">
        <v>61</v>
      </c>
      <c r="B46" s="3" t="s">
        <v>9</v>
      </c>
      <c r="C46" s="3">
        <v>1</v>
      </c>
      <c r="D46" s="3" t="s">
        <v>66</v>
      </c>
      <c r="E46" s="3">
        <v>2</v>
      </c>
      <c r="F46" s="3" t="s">
        <v>17</v>
      </c>
      <c r="G46" s="3" t="s">
        <v>15</v>
      </c>
      <c r="H46" s="3" t="s">
        <v>13</v>
      </c>
    </row>
    <row r="47" spans="1:8" x14ac:dyDescent="0.25">
      <c r="A47" s="3" t="s">
        <v>61</v>
      </c>
      <c r="B47" s="3" t="s">
        <v>9</v>
      </c>
      <c r="C47" s="3">
        <v>1</v>
      </c>
      <c r="D47" s="3" t="s">
        <v>67</v>
      </c>
      <c r="E47" s="3">
        <v>2</v>
      </c>
      <c r="F47" s="5" t="s">
        <v>22</v>
      </c>
      <c r="G47" s="3" t="s">
        <v>15</v>
      </c>
      <c r="H47" s="3" t="s">
        <v>13</v>
      </c>
    </row>
    <row r="48" spans="1:8" x14ac:dyDescent="0.25">
      <c r="A48" s="3" t="s">
        <v>61</v>
      </c>
      <c r="B48" s="3" t="s">
        <v>9</v>
      </c>
      <c r="C48" s="3">
        <v>1</v>
      </c>
      <c r="D48" s="3" t="s">
        <v>68</v>
      </c>
      <c r="E48" s="3">
        <v>3</v>
      </c>
      <c r="F48" s="3" t="s">
        <v>19</v>
      </c>
      <c r="G48" s="3" t="s">
        <v>15</v>
      </c>
      <c r="H48" s="3" t="s">
        <v>13</v>
      </c>
    </row>
    <row r="49" spans="1:8" x14ac:dyDescent="0.25">
      <c r="A49" s="3" t="s">
        <v>61</v>
      </c>
      <c r="B49" s="3" t="s">
        <v>9</v>
      </c>
      <c r="C49" s="3">
        <v>1</v>
      </c>
      <c r="D49" s="3" t="s">
        <v>69</v>
      </c>
      <c r="E49" s="3">
        <v>3</v>
      </c>
      <c r="F49" s="3" t="s">
        <v>22</v>
      </c>
      <c r="G49" s="3" t="s">
        <v>15</v>
      </c>
      <c r="H49" s="3" t="s">
        <v>13</v>
      </c>
    </row>
    <row r="50" spans="1:8" x14ac:dyDescent="0.25">
      <c r="A50" s="3" t="s">
        <v>61</v>
      </c>
      <c r="B50" s="3" t="s">
        <v>9</v>
      </c>
      <c r="C50" s="3">
        <v>1</v>
      </c>
      <c r="D50" s="3" t="s">
        <v>70</v>
      </c>
      <c r="E50" s="3">
        <v>4</v>
      </c>
      <c r="F50" s="3" t="s">
        <v>19</v>
      </c>
      <c r="G50" s="3" t="s">
        <v>26</v>
      </c>
      <c r="H50" s="3" t="s">
        <v>13</v>
      </c>
    </row>
    <row r="51" spans="1:8" x14ac:dyDescent="0.25">
      <c r="A51" s="3" t="s">
        <v>61</v>
      </c>
      <c r="B51" s="3" t="s">
        <v>9</v>
      </c>
      <c r="C51" s="3">
        <v>1</v>
      </c>
      <c r="D51" s="3" t="s">
        <v>71</v>
      </c>
      <c r="E51" s="3">
        <v>4</v>
      </c>
      <c r="F51" s="3" t="s">
        <v>22</v>
      </c>
      <c r="G51" s="3" t="s">
        <v>26</v>
      </c>
      <c r="H51" s="3" t="s">
        <v>13</v>
      </c>
    </row>
    <row r="52" spans="1:8" x14ac:dyDescent="0.25">
      <c r="A52" s="3" t="s">
        <v>72</v>
      </c>
      <c r="B52" s="3" t="s">
        <v>9</v>
      </c>
      <c r="C52" s="3">
        <v>2</v>
      </c>
      <c r="D52" s="3" t="s">
        <v>73</v>
      </c>
      <c r="E52" s="3">
        <v>0</v>
      </c>
      <c r="F52" s="3" t="s">
        <v>11</v>
      </c>
      <c r="G52" s="3" t="s">
        <v>12</v>
      </c>
      <c r="H52" s="3" t="s">
        <v>13</v>
      </c>
    </row>
    <row r="53" spans="1:8" x14ac:dyDescent="0.25">
      <c r="A53" s="3" t="s">
        <v>72</v>
      </c>
      <c r="B53" s="3" t="s">
        <v>9</v>
      </c>
      <c r="C53" s="3">
        <v>2</v>
      </c>
      <c r="D53" s="3" t="s">
        <v>74</v>
      </c>
      <c r="E53" s="3">
        <v>0</v>
      </c>
      <c r="F53" s="3" t="s">
        <v>11</v>
      </c>
      <c r="G53" s="3" t="s">
        <v>15</v>
      </c>
      <c r="H53" s="3" t="s">
        <v>13</v>
      </c>
    </row>
    <row r="54" spans="1:8" x14ac:dyDescent="0.25">
      <c r="A54" s="3" t="s">
        <v>72</v>
      </c>
      <c r="B54" s="3" t="s">
        <v>9</v>
      </c>
      <c r="C54" s="3">
        <v>2</v>
      </c>
      <c r="D54" s="3" t="s">
        <v>75</v>
      </c>
      <c r="E54" s="3">
        <v>1</v>
      </c>
      <c r="F54" s="3" t="s">
        <v>17</v>
      </c>
      <c r="G54" s="3" t="s">
        <v>15</v>
      </c>
      <c r="H54" s="3" t="s">
        <v>13</v>
      </c>
    </row>
    <row r="55" spans="1:8" x14ac:dyDescent="0.25">
      <c r="A55" s="3" t="s">
        <v>72</v>
      </c>
      <c r="B55" s="3" t="s">
        <v>9</v>
      </c>
      <c r="C55" s="3">
        <v>2</v>
      </c>
      <c r="D55" s="3" t="s">
        <v>76</v>
      </c>
      <c r="E55" s="3">
        <v>1</v>
      </c>
      <c r="F55" s="3" t="s">
        <v>19</v>
      </c>
      <c r="G55" s="3" t="s">
        <v>15</v>
      </c>
      <c r="H55" s="3" t="s">
        <v>13</v>
      </c>
    </row>
    <row r="56" spans="1:8" x14ac:dyDescent="0.25">
      <c r="A56" s="3" t="s">
        <v>72</v>
      </c>
      <c r="B56" s="3" t="s">
        <v>9</v>
      </c>
      <c r="C56" s="3">
        <v>2</v>
      </c>
      <c r="D56" s="3" t="s">
        <v>77</v>
      </c>
      <c r="E56" s="3">
        <v>2</v>
      </c>
      <c r="F56" s="3" t="s">
        <v>17</v>
      </c>
      <c r="G56" s="3" t="s">
        <v>15</v>
      </c>
      <c r="H56" s="3" t="s">
        <v>13</v>
      </c>
    </row>
    <row r="57" spans="1:8" x14ac:dyDescent="0.25">
      <c r="A57" s="3" t="s">
        <v>72</v>
      </c>
      <c r="B57" s="3" t="s">
        <v>9</v>
      </c>
      <c r="C57" s="3">
        <v>2</v>
      </c>
      <c r="D57" s="3" t="s">
        <v>78</v>
      </c>
      <c r="E57" s="3">
        <v>2</v>
      </c>
      <c r="F57" s="5" t="s">
        <v>22</v>
      </c>
      <c r="G57" s="3" t="s">
        <v>15</v>
      </c>
      <c r="H57" s="3" t="s">
        <v>13</v>
      </c>
    </row>
    <row r="58" spans="1:8" x14ac:dyDescent="0.25">
      <c r="A58" s="3" t="s">
        <v>72</v>
      </c>
      <c r="B58" s="3" t="s">
        <v>9</v>
      </c>
      <c r="C58" s="3">
        <v>2</v>
      </c>
      <c r="D58" s="3" t="s">
        <v>79</v>
      </c>
      <c r="E58" s="3">
        <v>3</v>
      </c>
      <c r="F58" s="3" t="s">
        <v>19</v>
      </c>
      <c r="G58" s="3" t="s">
        <v>15</v>
      </c>
      <c r="H58" s="3" t="s">
        <v>13</v>
      </c>
    </row>
    <row r="59" spans="1:8" x14ac:dyDescent="0.25">
      <c r="A59" s="3" t="s">
        <v>72</v>
      </c>
      <c r="B59" s="3" t="s">
        <v>9</v>
      </c>
      <c r="C59" s="3">
        <v>2</v>
      </c>
      <c r="D59" s="3" t="s">
        <v>80</v>
      </c>
      <c r="E59" s="3">
        <v>3</v>
      </c>
      <c r="F59" s="3" t="s">
        <v>22</v>
      </c>
      <c r="G59" s="3" t="s">
        <v>15</v>
      </c>
      <c r="H59" s="3" t="s">
        <v>13</v>
      </c>
    </row>
    <row r="60" spans="1:8" x14ac:dyDescent="0.25">
      <c r="A60" s="3" t="s">
        <v>72</v>
      </c>
      <c r="B60" s="3" t="s">
        <v>9</v>
      </c>
      <c r="C60" s="3">
        <v>2</v>
      </c>
      <c r="D60" s="3" t="s">
        <v>81</v>
      </c>
      <c r="E60" s="3">
        <v>4</v>
      </c>
      <c r="F60" s="3" t="s">
        <v>19</v>
      </c>
      <c r="G60" s="3" t="s">
        <v>26</v>
      </c>
      <c r="H60" s="3" t="s">
        <v>13</v>
      </c>
    </row>
    <row r="61" spans="1:8" x14ac:dyDescent="0.25">
      <c r="A61" s="3" t="s">
        <v>72</v>
      </c>
      <c r="B61" s="3" t="s">
        <v>9</v>
      </c>
      <c r="C61" s="3">
        <v>2</v>
      </c>
      <c r="D61" s="3" t="s">
        <v>82</v>
      </c>
      <c r="E61" s="3">
        <v>4</v>
      </c>
      <c r="F61" s="3" t="s">
        <v>22</v>
      </c>
      <c r="G61" s="3" t="s">
        <v>26</v>
      </c>
      <c r="H61" s="3" t="s">
        <v>13</v>
      </c>
    </row>
    <row r="62" spans="1:8" x14ac:dyDescent="0.25">
      <c r="A62" s="3" t="s">
        <v>83</v>
      </c>
      <c r="B62" s="3" t="s">
        <v>9</v>
      </c>
      <c r="C62" s="3">
        <v>2</v>
      </c>
      <c r="D62" s="3" t="s">
        <v>84</v>
      </c>
      <c r="E62" s="3">
        <v>0</v>
      </c>
      <c r="F62" s="3" t="s">
        <v>11</v>
      </c>
      <c r="G62" s="3" t="s">
        <v>12</v>
      </c>
      <c r="H62" s="3" t="s">
        <v>13</v>
      </c>
    </row>
    <row r="63" spans="1:8" x14ac:dyDescent="0.25">
      <c r="A63" s="3" t="s">
        <v>83</v>
      </c>
      <c r="B63" s="3" t="s">
        <v>9</v>
      </c>
      <c r="C63" s="3">
        <v>2</v>
      </c>
      <c r="D63" s="3" t="s">
        <v>85</v>
      </c>
      <c r="E63" s="3">
        <v>0</v>
      </c>
      <c r="F63" s="3" t="s">
        <v>11</v>
      </c>
      <c r="G63" s="3" t="s">
        <v>15</v>
      </c>
      <c r="H63" s="3" t="s">
        <v>13</v>
      </c>
    </row>
    <row r="64" spans="1:8" x14ac:dyDescent="0.25">
      <c r="A64" s="3" t="s">
        <v>83</v>
      </c>
      <c r="B64" s="3" t="s">
        <v>9</v>
      </c>
      <c r="C64" s="3">
        <v>2</v>
      </c>
      <c r="D64" s="3" t="s">
        <v>86</v>
      </c>
      <c r="E64" s="3">
        <v>1</v>
      </c>
      <c r="F64" s="3" t="s">
        <v>17</v>
      </c>
      <c r="G64" s="3" t="s">
        <v>15</v>
      </c>
      <c r="H64" s="3" t="s">
        <v>13</v>
      </c>
    </row>
    <row r="65" spans="1:8" x14ac:dyDescent="0.25">
      <c r="A65" s="3" t="s">
        <v>83</v>
      </c>
      <c r="B65" s="3" t="s">
        <v>9</v>
      </c>
      <c r="C65" s="3">
        <v>2</v>
      </c>
      <c r="D65" s="3" t="s">
        <v>87</v>
      </c>
      <c r="E65" s="3">
        <v>1</v>
      </c>
      <c r="F65" s="3" t="s">
        <v>19</v>
      </c>
      <c r="G65" s="3" t="s">
        <v>15</v>
      </c>
      <c r="H65" s="3" t="s">
        <v>13</v>
      </c>
    </row>
    <row r="66" spans="1:8" x14ac:dyDescent="0.25">
      <c r="A66" s="3" t="s">
        <v>83</v>
      </c>
      <c r="B66" s="3" t="s">
        <v>9</v>
      </c>
      <c r="C66" s="3">
        <v>2</v>
      </c>
      <c r="D66" s="3" t="s">
        <v>88</v>
      </c>
      <c r="E66" s="3">
        <v>2</v>
      </c>
      <c r="F66" s="3" t="s">
        <v>17</v>
      </c>
      <c r="G66" s="3" t="s">
        <v>15</v>
      </c>
      <c r="H66" s="3" t="s">
        <v>13</v>
      </c>
    </row>
    <row r="67" spans="1:8" x14ac:dyDescent="0.25">
      <c r="A67" s="3" t="s">
        <v>83</v>
      </c>
      <c r="B67" s="3" t="s">
        <v>9</v>
      </c>
      <c r="C67" s="3">
        <v>2</v>
      </c>
      <c r="D67" s="3" t="s">
        <v>89</v>
      </c>
      <c r="E67" s="3">
        <v>2</v>
      </c>
      <c r="F67" s="5" t="s">
        <v>22</v>
      </c>
      <c r="G67" s="3" t="s">
        <v>15</v>
      </c>
      <c r="H67" s="3" t="s">
        <v>13</v>
      </c>
    </row>
    <row r="68" spans="1:8" x14ac:dyDescent="0.25">
      <c r="A68" s="3" t="s">
        <v>83</v>
      </c>
      <c r="B68" s="3" t="s">
        <v>9</v>
      </c>
      <c r="C68" s="3">
        <v>2</v>
      </c>
      <c r="D68" s="3" t="s">
        <v>90</v>
      </c>
      <c r="E68" s="3">
        <v>3</v>
      </c>
      <c r="F68" s="3" t="s">
        <v>19</v>
      </c>
      <c r="G68" s="3" t="s">
        <v>15</v>
      </c>
      <c r="H68" s="3" t="s">
        <v>13</v>
      </c>
    </row>
    <row r="69" spans="1:8" x14ac:dyDescent="0.25">
      <c r="A69" s="3" t="s">
        <v>83</v>
      </c>
      <c r="B69" s="3" t="s">
        <v>9</v>
      </c>
      <c r="C69" s="3">
        <v>2</v>
      </c>
      <c r="D69" s="3" t="s">
        <v>91</v>
      </c>
      <c r="E69" s="3">
        <v>3</v>
      </c>
      <c r="F69" s="3" t="s">
        <v>22</v>
      </c>
      <c r="G69" s="3" t="s">
        <v>15</v>
      </c>
      <c r="H69" s="3" t="s">
        <v>13</v>
      </c>
    </row>
    <row r="70" spans="1:8" x14ac:dyDescent="0.25">
      <c r="A70" s="3" t="s">
        <v>83</v>
      </c>
      <c r="B70" s="3" t="s">
        <v>9</v>
      </c>
      <c r="C70" s="3">
        <v>2</v>
      </c>
      <c r="D70" s="3" t="s">
        <v>92</v>
      </c>
      <c r="E70" s="3">
        <v>4</v>
      </c>
      <c r="F70" s="3" t="s">
        <v>19</v>
      </c>
      <c r="G70" s="3" t="s">
        <v>26</v>
      </c>
      <c r="H70" s="3" t="s">
        <v>13</v>
      </c>
    </row>
    <row r="71" spans="1:8" x14ac:dyDescent="0.25">
      <c r="A71" s="3" t="s">
        <v>83</v>
      </c>
      <c r="B71" s="3" t="s">
        <v>9</v>
      </c>
      <c r="C71" s="3">
        <v>2</v>
      </c>
      <c r="D71" s="3" t="s">
        <v>93</v>
      </c>
      <c r="E71" s="3">
        <v>4</v>
      </c>
      <c r="F71" s="3" t="s">
        <v>22</v>
      </c>
      <c r="G71" s="3" t="s">
        <v>26</v>
      </c>
      <c r="H71" s="3" t="s">
        <v>13</v>
      </c>
    </row>
    <row r="72" spans="1:8" x14ac:dyDescent="0.25">
      <c r="A72" s="3" t="s">
        <v>94</v>
      </c>
      <c r="B72" s="3" t="s">
        <v>9</v>
      </c>
      <c r="C72" s="3">
        <v>2</v>
      </c>
      <c r="D72" s="3" t="s">
        <v>95</v>
      </c>
      <c r="E72" s="3">
        <v>0</v>
      </c>
      <c r="F72" s="3" t="s">
        <v>11</v>
      </c>
      <c r="G72" s="3" t="s">
        <v>12</v>
      </c>
      <c r="H72" s="3" t="s">
        <v>13</v>
      </c>
    </row>
    <row r="73" spans="1:8" x14ac:dyDescent="0.25">
      <c r="A73" s="3" t="s">
        <v>94</v>
      </c>
      <c r="B73" s="3" t="s">
        <v>9</v>
      </c>
      <c r="C73" s="3">
        <v>2</v>
      </c>
      <c r="D73" s="3" t="s">
        <v>96</v>
      </c>
      <c r="E73" s="3">
        <v>0</v>
      </c>
      <c r="F73" s="3" t="s">
        <v>11</v>
      </c>
      <c r="G73" s="3" t="s">
        <v>15</v>
      </c>
      <c r="H73" s="3" t="s">
        <v>13</v>
      </c>
    </row>
    <row r="74" spans="1:8" x14ac:dyDescent="0.25">
      <c r="A74" s="3" t="s">
        <v>94</v>
      </c>
      <c r="B74" s="3" t="s">
        <v>9</v>
      </c>
      <c r="C74" s="3">
        <v>2</v>
      </c>
      <c r="D74" s="3" t="s">
        <v>97</v>
      </c>
      <c r="E74" s="3">
        <v>1</v>
      </c>
      <c r="F74" s="3" t="s">
        <v>17</v>
      </c>
      <c r="G74" s="3" t="s">
        <v>15</v>
      </c>
      <c r="H74" s="3" t="s">
        <v>13</v>
      </c>
    </row>
    <row r="75" spans="1:8" x14ac:dyDescent="0.25">
      <c r="A75" s="3" t="s">
        <v>94</v>
      </c>
      <c r="B75" s="3" t="s">
        <v>9</v>
      </c>
      <c r="C75" s="3">
        <v>2</v>
      </c>
      <c r="D75" s="3" t="s">
        <v>98</v>
      </c>
      <c r="E75" s="3">
        <v>1</v>
      </c>
      <c r="F75" s="3" t="s">
        <v>19</v>
      </c>
      <c r="G75" s="3" t="s">
        <v>15</v>
      </c>
      <c r="H75" s="3" t="s">
        <v>13</v>
      </c>
    </row>
    <row r="76" spans="1:8" x14ac:dyDescent="0.25">
      <c r="A76" s="3" t="s">
        <v>94</v>
      </c>
      <c r="B76" s="3" t="s">
        <v>9</v>
      </c>
      <c r="C76" s="3">
        <v>2</v>
      </c>
      <c r="D76" s="3" t="s">
        <v>99</v>
      </c>
      <c r="E76" s="3">
        <v>2</v>
      </c>
      <c r="F76" s="3" t="s">
        <v>17</v>
      </c>
      <c r="G76" s="3" t="s">
        <v>15</v>
      </c>
      <c r="H76" s="3" t="s">
        <v>13</v>
      </c>
    </row>
    <row r="77" spans="1:8" x14ac:dyDescent="0.25">
      <c r="A77" s="3" t="s">
        <v>94</v>
      </c>
      <c r="B77" s="3" t="s">
        <v>9</v>
      </c>
      <c r="C77" s="3">
        <v>2</v>
      </c>
      <c r="D77" s="3" t="s">
        <v>100</v>
      </c>
      <c r="E77" s="3">
        <v>2</v>
      </c>
      <c r="F77" s="5" t="s">
        <v>22</v>
      </c>
      <c r="G77" s="3" t="s">
        <v>15</v>
      </c>
      <c r="H77" s="3" t="s">
        <v>13</v>
      </c>
    </row>
    <row r="78" spans="1:8" x14ac:dyDescent="0.25">
      <c r="A78" s="3" t="s">
        <v>94</v>
      </c>
      <c r="B78" s="3" t="s">
        <v>9</v>
      </c>
      <c r="C78" s="3">
        <v>2</v>
      </c>
      <c r="D78" s="3" t="s">
        <v>101</v>
      </c>
      <c r="E78" s="3">
        <v>3</v>
      </c>
      <c r="F78" s="3" t="s">
        <v>19</v>
      </c>
      <c r="G78" s="3" t="s">
        <v>15</v>
      </c>
      <c r="H78" s="3" t="s">
        <v>13</v>
      </c>
    </row>
    <row r="79" spans="1:8" x14ac:dyDescent="0.25">
      <c r="A79" s="3" t="s">
        <v>94</v>
      </c>
      <c r="B79" s="3" t="s">
        <v>9</v>
      </c>
      <c r="C79" s="3">
        <v>2</v>
      </c>
      <c r="D79" s="3" t="s">
        <v>102</v>
      </c>
      <c r="E79" s="3">
        <v>3</v>
      </c>
      <c r="F79" s="3" t="s">
        <v>22</v>
      </c>
      <c r="G79" s="3" t="s">
        <v>15</v>
      </c>
      <c r="H79" s="3" t="s">
        <v>13</v>
      </c>
    </row>
    <row r="80" spans="1:8" x14ac:dyDescent="0.25">
      <c r="A80" s="3" t="s">
        <v>94</v>
      </c>
      <c r="B80" s="3" t="s">
        <v>9</v>
      </c>
      <c r="C80" s="3">
        <v>2</v>
      </c>
      <c r="D80" s="3" t="s">
        <v>103</v>
      </c>
      <c r="E80" s="3">
        <v>4</v>
      </c>
      <c r="F80" s="3" t="s">
        <v>19</v>
      </c>
      <c r="G80" s="3" t="s">
        <v>26</v>
      </c>
      <c r="H80" s="3" t="s">
        <v>13</v>
      </c>
    </row>
    <row r="81" spans="1:8" x14ac:dyDescent="0.25">
      <c r="A81" s="3" t="s">
        <v>94</v>
      </c>
      <c r="B81" s="3" t="s">
        <v>9</v>
      </c>
      <c r="C81" s="3">
        <v>2</v>
      </c>
      <c r="D81" s="3" t="s">
        <v>104</v>
      </c>
      <c r="E81" s="3">
        <v>4</v>
      </c>
      <c r="F81" s="3" t="s">
        <v>22</v>
      </c>
      <c r="G81" s="3" t="s">
        <v>26</v>
      </c>
      <c r="H81" s="3" t="s">
        <v>13</v>
      </c>
    </row>
    <row r="82" spans="1:8" x14ac:dyDescent="0.25">
      <c r="A82" s="3" t="s">
        <v>105</v>
      </c>
      <c r="B82" s="3" t="s">
        <v>9</v>
      </c>
      <c r="C82" s="3">
        <v>2</v>
      </c>
      <c r="D82" s="3" t="s">
        <v>106</v>
      </c>
      <c r="E82" s="3">
        <v>0</v>
      </c>
      <c r="F82" s="3" t="s">
        <v>11</v>
      </c>
      <c r="G82" s="3" t="s">
        <v>12</v>
      </c>
      <c r="H82" s="3" t="s">
        <v>13</v>
      </c>
    </row>
    <row r="83" spans="1:8" x14ac:dyDescent="0.25">
      <c r="A83" s="3" t="s">
        <v>105</v>
      </c>
      <c r="B83" s="3" t="s">
        <v>9</v>
      </c>
      <c r="C83" s="3">
        <v>2</v>
      </c>
      <c r="D83" s="3" t="s">
        <v>107</v>
      </c>
      <c r="E83" s="3">
        <v>0</v>
      </c>
      <c r="F83" s="3" t="s">
        <v>11</v>
      </c>
      <c r="G83" s="3" t="s">
        <v>15</v>
      </c>
      <c r="H83" s="3" t="s">
        <v>13</v>
      </c>
    </row>
    <row r="84" spans="1:8" x14ac:dyDescent="0.25">
      <c r="A84" s="3" t="s">
        <v>105</v>
      </c>
      <c r="B84" s="3" t="s">
        <v>9</v>
      </c>
      <c r="C84" s="3">
        <v>2</v>
      </c>
      <c r="D84" s="3" t="s">
        <v>108</v>
      </c>
      <c r="E84" s="3">
        <v>1</v>
      </c>
      <c r="F84" s="3" t="s">
        <v>17</v>
      </c>
      <c r="G84" s="3" t="s">
        <v>15</v>
      </c>
      <c r="H84" s="3" t="s">
        <v>13</v>
      </c>
    </row>
    <row r="85" spans="1:8" x14ac:dyDescent="0.25">
      <c r="A85" s="3" t="s">
        <v>105</v>
      </c>
      <c r="B85" s="3" t="s">
        <v>9</v>
      </c>
      <c r="C85" s="3">
        <v>2</v>
      </c>
      <c r="D85" s="3" t="s">
        <v>109</v>
      </c>
      <c r="E85" s="3">
        <v>1</v>
      </c>
      <c r="F85" s="3" t="s">
        <v>19</v>
      </c>
      <c r="G85" s="3" t="s">
        <v>15</v>
      </c>
      <c r="H85" s="3" t="s">
        <v>13</v>
      </c>
    </row>
    <row r="86" spans="1:8" x14ac:dyDescent="0.25">
      <c r="A86" s="3" t="s">
        <v>105</v>
      </c>
      <c r="B86" s="3" t="s">
        <v>9</v>
      </c>
      <c r="C86" s="3">
        <v>2</v>
      </c>
      <c r="D86" s="3" t="s">
        <v>110</v>
      </c>
      <c r="E86" s="3">
        <v>2</v>
      </c>
      <c r="F86" s="3" t="s">
        <v>17</v>
      </c>
      <c r="G86" s="3" t="s">
        <v>15</v>
      </c>
      <c r="H86" s="3" t="s">
        <v>13</v>
      </c>
    </row>
    <row r="87" spans="1:8" x14ac:dyDescent="0.25">
      <c r="A87" s="3" t="s">
        <v>105</v>
      </c>
      <c r="B87" s="3" t="s">
        <v>9</v>
      </c>
      <c r="C87" s="3">
        <v>2</v>
      </c>
      <c r="D87" s="3" t="s">
        <v>111</v>
      </c>
      <c r="E87" s="3">
        <v>2</v>
      </c>
      <c r="F87" s="5" t="s">
        <v>22</v>
      </c>
      <c r="G87" s="3" t="s">
        <v>15</v>
      </c>
      <c r="H87" s="3" t="s">
        <v>13</v>
      </c>
    </row>
    <row r="88" spans="1:8" x14ac:dyDescent="0.25">
      <c r="A88" s="3" t="s">
        <v>105</v>
      </c>
      <c r="B88" s="3" t="s">
        <v>9</v>
      </c>
      <c r="C88" s="3">
        <v>2</v>
      </c>
      <c r="D88" s="3" t="s">
        <v>112</v>
      </c>
      <c r="E88" s="3">
        <v>3</v>
      </c>
      <c r="F88" s="3" t="s">
        <v>19</v>
      </c>
      <c r="G88" s="3" t="s">
        <v>15</v>
      </c>
      <c r="H88" s="3" t="s">
        <v>13</v>
      </c>
    </row>
    <row r="89" spans="1:8" x14ac:dyDescent="0.25">
      <c r="A89" s="3" t="s">
        <v>105</v>
      </c>
      <c r="B89" s="3" t="s">
        <v>9</v>
      </c>
      <c r="C89" s="3">
        <v>2</v>
      </c>
      <c r="D89" s="3" t="s">
        <v>113</v>
      </c>
      <c r="E89" s="3">
        <v>3</v>
      </c>
      <c r="F89" s="3" t="s">
        <v>22</v>
      </c>
      <c r="G89" s="3" t="s">
        <v>15</v>
      </c>
      <c r="H89" s="3" t="s">
        <v>13</v>
      </c>
    </row>
    <row r="90" spans="1:8" x14ac:dyDescent="0.25">
      <c r="A90" s="3" t="s">
        <v>105</v>
      </c>
      <c r="B90" s="3" t="s">
        <v>9</v>
      </c>
      <c r="C90" s="3">
        <v>2</v>
      </c>
      <c r="D90" s="3" t="s">
        <v>114</v>
      </c>
      <c r="E90" s="3">
        <v>4</v>
      </c>
      <c r="F90" s="3" t="s">
        <v>19</v>
      </c>
      <c r="G90" s="3" t="s">
        <v>26</v>
      </c>
      <c r="H90" s="3" t="s">
        <v>13</v>
      </c>
    </row>
    <row r="91" spans="1:8" x14ac:dyDescent="0.25">
      <c r="A91" s="3" t="s">
        <v>105</v>
      </c>
      <c r="B91" s="3" t="s">
        <v>9</v>
      </c>
      <c r="C91" s="3">
        <v>2</v>
      </c>
      <c r="D91" s="3" t="s">
        <v>115</v>
      </c>
      <c r="E91" s="3">
        <v>4</v>
      </c>
      <c r="F91" s="3" t="s">
        <v>22</v>
      </c>
      <c r="G91" s="3" t="s">
        <v>26</v>
      </c>
      <c r="H91" s="3" t="s">
        <v>13</v>
      </c>
    </row>
    <row r="92" spans="1:8" x14ac:dyDescent="0.25">
      <c r="A92" s="3" t="s">
        <v>116</v>
      </c>
      <c r="B92" s="3" t="s">
        <v>9</v>
      </c>
      <c r="C92" s="3">
        <v>2</v>
      </c>
      <c r="D92" s="3" t="s">
        <v>117</v>
      </c>
      <c r="E92" s="3">
        <v>0</v>
      </c>
      <c r="F92" s="3" t="s">
        <v>11</v>
      </c>
      <c r="G92" s="3" t="s">
        <v>12</v>
      </c>
      <c r="H92" s="3" t="s">
        <v>13</v>
      </c>
    </row>
    <row r="93" spans="1:8" x14ac:dyDescent="0.25">
      <c r="A93" s="3" t="s">
        <v>116</v>
      </c>
      <c r="B93" s="3" t="s">
        <v>9</v>
      </c>
      <c r="C93" s="3">
        <v>2</v>
      </c>
      <c r="D93" s="3" t="s">
        <v>118</v>
      </c>
      <c r="E93" s="3">
        <v>0</v>
      </c>
      <c r="F93" s="3" t="s">
        <v>11</v>
      </c>
      <c r="G93" s="3" t="s">
        <v>15</v>
      </c>
      <c r="H93" s="3" t="s">
        <v>13</v>
      </c>
    </row>
    <row r="94" spans="1:8" x14ac:dyDescent="0.25">
      <c r="A94" s="3" t="s">
        <v>116</v>
      </c>
      <c r="B94" s="3" t="s">
        <v>9</v>
      </c>
      <c r="C94" s="3">
        <v>2</v>
      </c>
      <c r="D94" s="3" t="s">
        <v>119</v>
      </c>
      <c r="E94" s="3">
        <v>1</v>
      </c>
      <c r="F94" s="3" t="s">
        <v>17</v>
      </c>
      <c r="G94" s="3" t="s">
        <v>15</v>
      </c>
      <c r="H94" s="3" t="s">
        <v>13</v>
      </c>
    </row>
    <row r="95" spans="1:8" x14ac:dyDescent="0.25">
      <c r="A95" s="3" t="s">
        <v>116</v>
      </c>
      <c r="B95" s="3" t="s">
        <v>9</v>
      </c>
      <c r="C95" s="3">
        <v>2</v>
      </c>
      <c r="D95" s="3" t="s">
        <v>120</v>
      </c>
      <c r="E95" s="3">
        <v>1</v>
      </c>
      <c r="F95" s="3" t="s">
        <v>19</v>
      </c>
      <c r="G95" s="3" t="s">
        <v>15</v>
      </c>
      <c r="H95" s="3" t="s">
        <v>13</v>
      </c>
    </row>
    <row r="96" spans="1:8" x14ac:dyDescent="0.25">
      <c r="A96" s="3" t="s">
        <v>116</v>
      </c>
      <c r="B96" s="3" t="s">
        <v>9</v>
      </c>
      <c r="C96" s="3">
        <v>2</v>
      </c>
      <c r="D96" s="3" t="s">
        <v>121</v>
      </c>
      <c r="E96" s="3">
        <v>2</v>
      </c>
      <c r="F96" s="3" t="s">
        <v>17</v>
      </c>
      <c r="G96" s="3" t="s">
        <v>15</v>
      </c>
      <c r="H96" s="3" t="s">
        <v>13</v>
      </c>
    </row>
    <row r="97" spans="1:8" x14ac:dyDescent="0.25">
      <c r="A97" s="3" t="s">
        <v>116</v>
      </c>
      <c r="B97" s="3" t="s">
        <v>9</v>
      </c>
      <c r="C97" s="3">
        <v>2</v>
      </c>
      <c r="D97" s="3" t="s">
        <v>122</v>
      </c>
      <c r="E97" s="3">
        <v>2</v>
      </c>
      <c r="F97" s="5" t="s">
        <v>22</v>
      </c>
      <c r="G97" s="3" t="s">
        <v>15</v>
      </c>
      <c r="H97" s="3" t="s">
        <v>13</v>
      </c>
    </row>
    <row r="98" spans="1:8" x14ac:dyDescent="0.25">
      <c r="A98" s="3" t="s">
        <v>116</v>
      </c>
      <c r="B98" s="3" t="s">
        <v>9</v>
      </c>
      <c r="C98" s="3">
        <v>2</v>
      </c>
      <c r="D98" s="3" t="s">
        <v>123</v>
      </c>
      <c r="E98" s="3">
        <v>3</v>
      </c>
      <c r="F98" s="3" t="s">
        <v>19</v>
      </c>
      <c r="G98" s="3" t="s">
        <v>15</v>
      </c>
      <c r="H98" s="3" t="s">
        <v>13</v>
      </c>
    </row>
    <row r="99" spans="1:8" x14ac:dyDescent="0.25">
      <c r="A99" s="3" t="s">
        <v>116</v>
      </c>
      <c r="B99" s="3" t="s">
        <v>9</v>
      </c>
      <c r="C99" s="3">
        <v>2</v>
      </c>
      <c r="D99" s="3" t="s">
        <v>124</v>
      </c>
      <c r="E99" s="3">
        <v>3</v>
      </c>
      <c r="F99" s="3" t="s">
        <v>22</v>
      </c>
      <c r="G99" s="3" t="s">
        <v>15</v>
      </c>
      <c r="H99" s="3" t="s">
        <v>13</v>
      </c>
    </row>
    <row r="100" spans="1:8" x14ac:dyDescent="0.25">
      <c r="A100" s="3" t="s">
        <v>116</v>
      </c>
      <c r="B100" s="3" t="s">
        <v>9</v>
      </c>
      <c r="C100" s="3">
        <v>2</v>
      </c>
      <c r="D100" s="3" t="s">
        <v>125</v>
      </c>
      <c r="E100" s="3">
        <v>4</v>
      </c>
      <c r="F100" s="3" t="s">
        <v>19</v>
      </c>
      <c r="G100" s="3" t="s">
        <v>26</v>
      </c>
      <c r="H100" s="3" t="s">
        <v>13</v>
      </c>
    </row>
    <row r="101" spans="1:8" x14ac:dyDescent="0.25">
      <c r="A101" s="3" t="s">
        <v>116</v>
      </c>
      <c r="B101" s="3" t="s">
        <v>9</v>
      </c>
      <c r="C101" s="3">
        <v>2</v>
      </c>
      <c r="D101" s="3" t="s">
        <v>126</v>
      </c>
      <c r="E101" s="3">
        <v>4</v>
      </c>
      <c r="F101" s="3" t="s">
        <v>22</v>
      </c>
      <c r="G101" s="3" t="s">
        <v>26</v>
      </c>
      <c r="H101" s="3" t="s">
        <v>13</v>
      </c>
    </row>
    <row r="102" spans="1:8" x14ac:dyDescent="0.25">
      <c r="A102" s="3" t="s">
        <v>127</v>
      </c>
      <c r="B102" s="3" t="s">
        <v>9</v>
      </c>
      <c r="C102" s="3">
        <v>1</v>
      </c>
      <c r="D102" s="3" t="s">
        <v>128</v>
      </c>
      <c r="E102" s="3">
        <v>0</v>
      </c>
      <c r="F102" s="3" t="s">
        <v>11</v>
      </c>
      <c r="G102" s="3" t="s">
        <v>12</v>
      </c>
      <c r="H102" s="3" t="s">
        <v>129</v>
      </c>
    </row>
    <row r="103" spans="1:8" x14ac:dyDescent="0.25">
      <c r="A103" s="3" t="s">
        <v>127</v>
      </c>
      <c r="B103" s="3" t="s">
        <v>9</v>
      </c>
      <c r="C103" s="3">
        <v>1</v>
      </c>
      <c r="D103" s="3" t="s">
        <v>130</v>
      </c>
      <c r="E103" s="3">
        <v>0</v>
      </c>
      <c r="F103" s="3" t="s">
        <v>11</v>
      </c>
      <c r="G103" s="3" t="s">
        <v>15</v>
      </c>
      <c r="H103" s="3" t="s">
        <v>129</v>
      </c>
    </row>
    <row r="104" spans="1:8" x14ac:dyDescent="0.25">
      <c r="A104" s="3" t="s">
        <v>127</v>
      </c>
      <c r="B104" s="3" t="s">
        <v>9</v>
      </c>
      <c r="C104" s="3">
        <v>1</v>
      </c>
      <c r="D104" s="3" t="s">
        <v>131</v>
      </c>
      <c r="E104" s="3">
        <v>1</v>
      </c>
      <c r="F104" s="3" t="s">
        <v>17</v>
      </c>
      <c r="G104" s="3" t="s">
        <v>15</v>
      </c>
      <c r="H104" s="3" t="s">
        <v>129</v>
      </c>
    </row>
    <row r="105" spans="1:8" x14ac:dyDescent="0.25">
      <c r="A105" s="3" t="s">
        <v>127</v>
      </c>
      <c r="B105" s="3" t="s">
        <v>9</v>
      </c>
      <c r="C105" s="3">
        <v>1</v>
      </c>
      <c r="D105" s="3" t="s">
        <v>132</v>
      </c>
      <c r="E105" s="3">
        <v>1</v>
      </c>
      <c r="F105" s="3" t="s">
        <v>19</v>
      </c>
      <c r="G105" s="3" t="s">
        <v>15</v>
      </c>
      <c r="H105" s="3" t="s">
        <v>129</v>
      </c>
    </row>
    <row r="106" spans="1:8" x14ac:dyDescent="0.25">
      <c r="A106" s="3" t="s">
        <v>127</v>
      </c>
      <c r="B106" s="3" t="s">
        <v>9</v>
      </c>
      <c r="C106" s="3">
        <v>1</v>
      </c>
      <c r="D106" s="3" t="s">
        <v>133</v>
      </c>
      <c r="E106" s="3">
        <v>2</v>
      </c>
      <c r="F106" s="3" t="s">
        <v>17</v>
      </c>
      <c r="G106" s="3" t="s">
        <v>15</v>
      </c>
      <c r="H106" s="3" t="s">
        <v>129</v>
      </c>
    </row>
    <row r="107" spans="1:8" x14ac:dyDescent="0.25">
      <c r="A107" s="3" t="s">
        <v>127</v>
      </c>
      <c r="B107" s="3" t="s">
        <v>9</v>
      </c>
      <c r="C107" s="3">
        <v>1</v>
      </c>
      <c r="D107" s="3" t="s">
        <v>134</v>
      </c>
      <c r="E107" s="3">
        <v>2</v>
      </c>
      <c r="F107" s="5" t="s">
        <v>22</v>
      </c>
      <c r="G107" s="3" t="s">
        <v>15</v>
      </c>
      <c r="H107" s="3" t="s">
        <v>129</v>
      </c>
    </row>
    <row r="108" spans="1:8" x14ac:dyDescent="0.25">
      <c r="A108" s="3" t="s">
        <v>127</v>
      </c>
      <c r="B108" s="3" t="s">
        <v>9</v>
      </c>
      <c r="C108" s="3">
        <v>1</v>
      </c>
      <c r="D108" s="3" t="s">
        <v>135</v>
      </c>
      <c r="E108" s="3">
        <v>3</v>
      </c>
      <c r="F108" s="3" t="s">
        <v>19</v>
      </c>
      <c r="G108" s="3" t="s">
        <v>15</v>
      </c>
      <c r="H108" s="3" t="s">
        <v>129</v>
      </c>
    </row>
    <row r="109" spans="1:8" x14ac:dyDescent="0.25">
      <c r="A109" s="3" t="s">
        <v>127</v>
      </c>
      <c r="B109" s="3" t="s">
        <v>9</v>
      </c>
      <c r="C109" s="3">
        <v>1</v>
      </c>
      <c r="D109" s="3" t="s">
        <v>136</v>
      </c>
      <c r="E109" s="3">
        <v>3</v>
      </c>
      <c r="F109" s="3" t="s">
        <v>22</v>
      </c>
      <c r="G109" s="3" t="s">
        <v>15</v>
      </c>
      <c r="H109" s="3" t="s">
        <v>129</v>
      </c>
    </row>
    <row r="110" spans="1:8" x14ac:dyDescent="0.25">
      <c r="A110" s="3" t="s">
        <v>127</v>
      </c>
      <c r="B110" s="3" t="s">
        <v>9</v>
      </c>
      <c r="C110" s="3">
        <v>1</v>
      </c>
      <c r="D110" s="3" t="s">
        <v>137</v>
      </c>
      <c r="E110" s="3">
        <v>4</v>
      </c>
      <c r="F110" s="3" t="s">
        <v>19</v>
      </c>
      <c r="G110" s="3" t="s">
        <v>26</v>
      </c>
      <c r="H110" s="3" t="s">
        <v>129</v>
      </c>
    </row>
    <row r="111" spans="1:8" x14ac:dyDescent="0.25">
      <c r="A111" s="3" t="s">
        <v>127</v>
      </c>
      <c r="B111" s="3" t="s">
        <v>9</v>
      </c>
      <c r="C111" s="3">
        <v>1</v>
      </c>
      <c r="D111" s="3" t="s">
        <v>138</v>
      </c>
      <c r="E111" s="3">
        <v>4</v>
      </c>
      <c r="F111" s="3" t="s">
        <v>22</v>
      </c>
      <c r="G111" s="3" t="s">
        <v>26</v>
      </c>
      <c r="H111" s="3" t="s">
        <v>129</v>
      </c>
    </row>
    <row r="112" spans="1:8" x14ac:dyDescent="0.25">
      <c r="A112" s="3" t="s">
        <v>139</v>
      </c>
      <c r="B112" s="3" t="s">
        <v>9</v>
      </c>
      <c r="C112" s="3">
        <v>1</v>
      </c>
      <c r="D112" s="3" t="s">
        <v>140</v>
      </c>
      <c r="E112" s="3">
        <v>0</v>
      </c>
      <c r="F112" s="3" t="s">
        <v>11</v>
      </c>
      <c r="G112" s="3" t="s">
        <v>12</v>
      </c>
      <c r="H112" s="3" t="s">
        <v>129</v>
      </c>
    </row>
    <row r="113" spans="1:8" x14ac:dyDescent="0.25">
      <c r="A113" s="3" t="s">
        <v>139</v>
      </c>
      <c r="B113" s="3" t="s">
        <v>9</v>
      </c>
      <c r="C113" s="3">
        <v>1</v>
      </c>
      <c r="D113" s="3" t="s">
        <v>141</v>
      </c>
      <c r="E113" s="3">
        <v>0</v>
      </c>
      <c r="F113" s="3" t="s">
        <v>11</v>
      </c>
      <c r="G113" s="3" t="s">
        <v>15</v>
      </c>
      <c r="H113" s="3" t="s">
        <v>129</v>
      </c>
    </row>
    <row r="114" spans="1:8" x14ac:dyDescent="0.25">
      <c r="A114" s="3" t="s">
        <v>139</v>
      </c>
      <c r="B114" s="3" t="s">
        <v>9</v>
      </c>
      <c r="C114" s="3">
        <v>1</v>
      </c>
      <c r="D114" s="3" t="s">
        <v>142</v>
      </c>
      <c r="E114" s="3">
        <v>1</v>
      </c>
      <c r="F114" s="3" t="s">
        <v>17</v>
      </c>
      <c r="G114" s="3" t="s">
        <v>15</v>
      </c>
      <c r="H114" s="3" t="s">
        <v>129</v>
      </c>
    </row>
    <row r="115" spans="1:8" x14ac:dyDescent="0.25">
      <c r="A115" s="3" t="s">
        <v>139</v>
      </c>
      <c r="B115" s="3" t="s">
        <v>9</v>
      </c>
      <c r="C115" s="3">
        <v>1</v>
      </c>
      <c r="D115" s="3" t="s">
        <v>143</v>
      </c>
      <c r="E115" s="3">
        <v>1</v>
      </c>
      <c r="F115" s="3" t="s">
        <v>19</v>
      </c>
      <c r="G115" s="3" t="s">
        <v>15</v>
      </c>
      <c r="H115" s="3" t="s">
        <v>129</v>
      </c>
    </row>
    <row r="116" spans="1:8" x14ac:dyDescent="0.25">
      <c r="A116" s="3" t="s">
        <v>139</v>
      </c>
      <c r="B116" s="3" t="s">
        <v>9</v>
      </c>
      <c r="C116" s="3">
        <v>1</v>
      </c>
      <c r="D116" s="3" t="s">
        <v>144</v>
      </c>
      <c r="E116" s="3">
        <v>2</v>
      </c>
      <c r="F116" s="3" t="s">
        <v>17</v>
      </c>
      <c r="G116" s="3" t="s">
        <v>15</v>
      </c>
      <c r="H116" s="3" t="s">
        <v>129</v>
      </c>
    </row>
    <row r="117" spans="1:8" x14ac:dyDescent="0.25">
      <c r="A117" s="3" t="s">
        <v>139</v>
      </c>
      <c r="B117" s="3" t="s">
        <v>9</v>
      </c>
      <c r="C117" s="3">
        <v>1</v>
      </c>
      <c r="D117" s="3" t="s">
        <v>145</v>
      </c>
      <c r="E117" s="3">
        <v>2</v>
      </c>
      <c r="F117" s="5" t="s">
        <v>22</v>
      </c>
      <c r="G117" s="3" t="s">
        <v>15</v>
      </c>
      <c r="H117" s="3" t="s">
        <v>129</v>
      </c>
    </row>
    <row r="118" spans="1:8" x14ac:dyDescent="0.25">
      <c r="A118" s="3" t="s">
        <v>139</v>
      </c>
      <c r="B118" s="3" t="s">
        <v>9</v>
      </c>
      <c r="C118" s="3">
        <v>1</v>
      </c>
      <c r="D118" s="3" t="s">
        <v>146</v>
      </c>
      <c r="E118" s="3">
        <v>3</v>
      </c>
      <c r="F118" s="3" t="s">
        <v>19</v>
      </c>
      <c r="G118" s="3" t="s">
        <v>15</v>
      </c>
      <c r="H118" s="3" t="s">
        <v>129</v>
      </c>
    </row>
    <row r="119" spans="1:8" x14ac:dyDescent="0.25">
      <c r="A119" s="3" t="s">
        <v>139</v>
      </c>
      <c r="B119" s="3" t="s">
        <v>9</v>
      </c>
      <c r="C119" s="3">
        <v>1</v>
      </c>
      <c r="D119" s="3" t="s">
        <v>147</v>
      </c>
      <c r="E119" s="3">
        <v>3</v>
      </c>
      <c r="F119" s="3" t="s">
        <v>22</v>
      </c>
      <c r="G119" s="3" t="s">
        <v>15</v>
      </c>
      <c r="H119" s="3" t="s">
        <v>129</v>
      </c>
    </row>
    <row r="120" spans="1:8" x14ac:dyDescent="0.25">
      <c r="A120" s="3" t="s">
        <v>139</v>
      </c>
      <c r="B120" s="3" t="s">
        <v>9</v>
      </c>
      <c r="C120" s="3">
        <v>1</v>
      </c>
      <c r="D120" s="3" t="s">
        <v>148</v>
      </c>
      <c r="E120" s="3">
        <v>4</v>
      </c>
      <c r="F120" s="3" t="s">
        <v>19</v>
      </c>
      <c r="G120" s="3" t="s">
        <v>26</v>
      </c>
      <c r="H120" s="3" t="s">
        <v>129</v>
      </c>
    </row>
    <row r="121" spans="1:8" x14ac:dyDescent="0.25">
      <c r="A121" s="3" t="s">
        <v>139</v>
      </c>
      <c r="B121" s="3" t="s">
        <v>9</v>
      </c>
      <c r="C121" s="3">
        <v>1</v>
      </c>
      <c r="D121" s="3" t="s">
        <v>149</v>
      </c>
      <c r="E121" s="3">
        <v>4</v>
      </c>
      <c r="F121" s="3" t="s">
        <v>22</v>
      </c>
      <c r="G121" s="3" t="s">
        <v>26</v>
      </c>
      <c r="H121" s="3" t="s">
        <v>129</v>
      </c>
    </row>
    <row r="122" spans="1:8" x14ac:dyDescent="0.25">
      <c r="A122" s="3" t="s">
        <v>150</v>
      </c>
      <c r="B122" s="3" t="s">
        <v>9</v>
      </c>
      <c r="C122" s="3">
        <v>1</v>
      </c>
      <c r="D122" s="3" t="s">
        <v>151</v>
      </c>
      <c r="E122" s="3">
        <v>0</v>
      </c>
      <c r="F122" s="3" t="s">
        <v>11</v>
      </c>
      <c r="G122" s="3" t="s">
        <v>12</v>
      </c>
      <c r="H122" s="3" t="s">
        <v>129</v>
      </c>
    </row>
    <row r="123" spans="1:8" x14ac:dyDescent="0.25">
      <c r="A123" s="3" t="s">
        <v>150</v>
      </c>
      <c r="B123" s="3" t="s">
        <v>9</v>
      </c>
      <c r="C123" s="3">
        <v>1</v>
      </c>
      <c r="D123" s="3" t="s">
        <v>152</v>
      </c>
      <c r="E123" s="3">
        <v>0</v>
      </c>
      <c r="F123" s="3" t="s">
        <v>11</v>
      </c>
      <c r="G123" s="3" t="s">
        <v>15</v>
      </c>
      <c r="H123" s="3" t="s">
        <v>129</v>
      </c>
    </row>
    <row r="124" spans="1:8" x14ac:dyDescent="0.25">
      <c r="A124" s="3" t="s">
        <v>150</v>
      </c>
      <c r="B124" s="3" t="s">
        <v>9</v>
      </c>
      <c r="C124" s="3">
        <v>1</v>
      </c>
      <c r="D124" s="3" t="s">
        <v>153</v>
      </c>
      <c r="E124" s="3">
        <v>1</v>
      </c>
      <c r="F124" s="3" t="s">
        <v>17</v>
      </c>
      <c r="G124" s="3" t="s">
        <v>15</v>
      </c>
      <c r="H124" s="3" t="s">
        <v>129</v>
      </c>
    </row>
    <row r="125" spans="1:8" x14ac:dyDescent="0.25">
      <c r="A125" s="3" t="s">
        <v>150</v>
      </c>
      <c r="B125" s="3" t="s">
        <v>9</v>
      </c>
      <c r="C125" s="3">
        <v>1</v>
      </c>
      <c r="D125" s="3" t="s">
        <v>154</v>
      </c>
      <c r="E125" s="3">
        <v>1</v>
      </c>
      <c r="F125" s="3" t="s">
        <v>19</v>
      </c>
      <c r="G125" s="3" t="s">
        <v>15</v>
      </c>
      <c r="H125" s="3" t="s">
        <v>129</v>
      </c>
    </row>
    <row r="126" spans="1:8" x14ac:dyDescent="0.25">
      <c r="A126" s="3" t="s">
        <v>150</v>
      </c>
      <c r="B126" s="3" t="s">
        <v>9</v>
      </c>
      <c r="C126" s="3">
        <v>1</v>
      </c>
      <c r="D126" s="3" t="s">
        <v>155</v>
      </c>
      <c r="E126" s="3">
        <v>2</v>
      </c>
      <c r="F126" s="3" t="s">
        <v>17</v>
      </c>
      <c r="G126" s="3" t="s">
        <v>15</v>
      </c>
      <c r="H126" s="3" t="s">
        <v>129</v>
      </c>
    </row>
    <row r="127" spans="1:8" x14ac:dyDescent="0.25">
      <c r="A127" s="3" t="s">
        <v>150</v>
      </c>
      <c r="B127" s="3" t="s">
        <v>9</v>
      </c>
      <c r="C127" s="3">
        <v>1</v>
      </c>
      <c r="D127" s="3" t="s">
        <v>156</v>
      </c>
      <c r="E127" s="3">
        <v>2</v>
      </c>
      <c r="F127" s="5" t="s">
        <v>22</v>
      </c>
      <c r="G127" s="3" t="s">
        <v>15</v>
      </c>
      <c r="H127" s="3" t="s">
        <v>129</v>
      </c>
    </row>
    <row r="128" spans="1:8" x14ac:dyDescent="0.25">
      <c r="A128" s="3" t="s">
        <v>150</v>
      </c>
      <c r="B128" s="3" t="s">
        <v>9</v>
      </c>
      <c r="C128" s="3">
        <v>1</v>
      </c>
      <c r="D128" s="3" t="s">
        <v>157</v>
      </c>
      <c r="E128" s="3">
        <v>3</v>
      </c>
      <c r="F128" s="3" t="s">
        <v>19</v>
      </c>
      <c r="G128" s="3" t="s">
        <v>15</v>
      </c>
      <c r="H128" s="3" t="s">
        <v>129</v>
      </c>
    </row>
    <row r="129" spans="1:8" x14ac:dyDescent="0.25">
      <c r="A129" s="3" t="s">
        <v>150</v>
      </c>
      <c r="B129" s="3" t="s">
        <v>9</v>
      </c>
      <c r="C129" s="3">
        <v>1</v>
      </c>
      <c r="D129" s="3" t="s">
        <v>158</v>
      </c>
      <c r="E129" s="3">
        <v>3</v>
      </c>
      <c r="F129" s="3" t="s">
        <v>22</v>
      </c>
      <c r="G129" s="3" t="s">
        <v>15</v>
      </c>
      <c r="H129" s="3" t="s">
        <v>129</v>
      </c>
    </row>
    <row r="130" spans="1:8" x14ac:dyDescent="0.25">
      <c r="A130" s="3" t="s">
        <v>150</v>
      </c>
      <c r="B130" s="3" t="s">
        <v>9</v>
      </c>
      <c r="C130" s="3">
        <v>1</v>
      </c>
      <c r="D130" s="3" t="s">
        <v>159</v>
      </c>
      <c r="E130" s="3">
        <v>4</v>
      </c>
      <c r="F130" s="3" t="s">
        <v>19</v>
      </c>
      <c r="G130" s="3" t="s">
        <v>26</v>
      </c>
      <c r="H130" s="3" t="s">
        <v>129</v>
      </c>
    </row>
    <row r="131" spans="1:8" x14ac:dyDescent="0.25">
      <c r="A131" s="3" t="s">
        <v>150</v>
      </c>
      <c r="B131" s="3" t="s">
        <v>9</v>
      </c>
      <c r="C131" s="3">
        <v>1</v>
      </c>
      <c r="D131" s="3" t="s">
        <v>160</v>
      </c>
      <c r="E131" s="3">
        <v>4</v>
      </c>
      <c r="F131" s="3" t="s">
        <v>22</v>
      </c>
      <c r="G131" s="3" t="s">
        <v>26</v>
      </c>
      <c r="H131" s="3" t="s">
        <v>129</v>
      </c>
    </row>
    <row r="132" spans="1:8" x14ac:dyDescent="0.25">
      <c r="A132" s="3" t="s">
        <v>161</v>
      </c>
      <c r="B132" s="3" t="s">
        <v>9</v>
      </c>
      <c r="C132" s="3">
        <v>1</v>
      </c>
      <c r="D132" s="3" t="s">
        <v>162</v>
      </c>
      <c r="E132" s="3">
        <v>0</v>
      </c>
      <c r="F132" s="3" t="s">
        <v>11</v>
      </c>
      <c r="G132" s="3" t="s">
        <v>12</v>
      </c>
      <c r="H132" s="3" t="s">
        <v>129</v>
      </c>
    </row>
    <row r="133" spans="1:8" x14ac:dyDescent="0.25">
      <c r="A133" s="3" t="s">
        <v>161</v>
      </c>
      <c r="B133" s="3" t="s">
        <v>9</v>
      </c>
      <c r="C133" s="3">
        <v>1</v>
      </c>
      <c r="D133" s="3" t="s">
        <v>163</v>
      </c>
      <c r="E133" s="3">
        <v>0</v>
      </c>
      <c r="F133" s="3" t="s">
        <v>11</v>
      </c>
      <c r="G133" s="6" t="s">
        <v>12</v>
      </c>
      <c r="H133" s="3" t="s">
        <v>129</v>
      </c>
    </row>
    <row r="134" spans="1:8" x14ac:dyDescent="0.25">
      <c r="A134" s="3" t="s">
        <v>161</v>
      </c>
      <c r="B134" s="3" t="s">
        <v>9</v>
      </c>
      <c r="C134" s="3">
        <v>1</v>
      </c>
      <c r="D134" s="3" t="s">
        <v>164</v>
      </c>
      <c r="E134" s="3">
        <v>0</v>
      </c>
      <c r="F134" s="3" t="s">
        <v>11</v>
      </c>
      <c r="G134" s="3" t="s">
        <v>15</v>
      </c>
      <c r="H134" s="3" t="s">
        <v>129</v>
      </c>
    </row>
    <row r="135" spans="1:8" x14ac:dyDescent="0.25">
      <c r="A135" s="3" t="s">
        <v>161</v>
      </c>
      <c r="B135" s="3" t="s">
        <v>9</v>
      </c>
      <c r="C135" s="3">
        <v>1</v>
      </c>
      <c r="D135" s="3" t="s">
        <v>165</v>
      </c>
      <c r="E135" s="3">
        <v>1</v>
      </c>
      <c r="F135" s="3" t="s">
        <v>17</v>
      </c>
      <c r="G135" s="3" t="s">
        <v>15</v>
      </c>
      <c r="H135" s="3" t="s">
        <v>129</v>
      </c>
    </row>
    <row r="136" spans="1:8" x14ac:dyDescent="0.25">
      <c r="A136" s="3" t="s">
        <v>161</v>
      </c>
      <c r="B136" s="3" t="s">
        <v>9</v>
      </c>
      <c r="C136" s="3">
        <v>1</v>
      </c>
      <c r="D136" s="3" t="s">
        <v>166</v>
      </c>
      <c r="E136" s="3">
        <v>1</v>
      </c>
      <c r="F136" s="3" t="s">
        <v>19</v>
      </c>
      <c r="G136" s="3" t="s">
        <v>15</v>
      </c>
      <c r="H136" s="3" t="s">
        <v>129</v>
      </c>
    </row>
    <row r="137" spans="1:8" x14ac:dyDescent="0.25">
      <c r="A137" s="3" t="s">
        <v>161</v>
      </c>
      <c r="B137" s="3" t="s">
        <v>9</v>
      </c>
      <c r="C137" s="3">
        <v>1</v>
      </c>
      <c r="D137" s="3" t="s">
        <v>167</v>
      </c>
      <c r="E137" s="3">
        <v>2</v>
      </c>
      <c r="F137" s="3" t="s">
        <v>17</v>
      </c>
      <c r="G137" s="3" t="s">
        <v>15</v>
      </c>
      <c r="H137" s="3" t="s">
        <v>129</v>
      </c>
    </row>
    <row r="138" spans="1:8" x14ac:dyDescent="0.25">
      <c r="A138" s="3" t="s">
        <v>161</v>
      </c>
      <c r="B138" s="3" t="s">
        <v>9</v>
      </c>
      <c r="C138" s="3">
        <v>1</v>
      </c>
      <c r="D138" s="3" t="s">
        <v>168</v>
      </c>
      <c r="E138" s="3">
        <v>2</v>
      </c>
      <c r="F138" s="5" t="s">
        <v>22</v>
      </c>
      <c r="G138" s="3" t="s">
        <v>15</v>
      </c>
      <c r="H138" s="3" t="s">
        <v>129</v>
      </c>
    </row>
    <row r="139" spans="1:8" x14ac:dyDescent="0.25">
      <c r="A139" s="3" t="s">
        <v>161</v>
      </c>
      <c r="B139" s="3" t="s">
        <v>9</v>
      </c>
      <c r="C139" s="3">
        <v>1</v>
      </c>
      <c r="D139" s="3" t="s">
        <v>169</v>
      </c>
      <c r="E139" s="3">
        <v>3</v>
      </c>
      <c r="F139" s="3" t="s">
        <v>19</v>
      </c>
      <c r="G139" s="3" t="s">
        <v>15</v>
      </c>
      <c r="H139" s="3" t="s">
        <v>129</v>
      </c>
    </row>
    <row r="140" spans="1:8" x14ac:dyDescent="0.25">
      <c r="A140" s="3" t="s">
        <v>161</v>
      </c>
      <c r="B140" s="3" t="s">
        <v>9</v>
      </c>
      <c r="C140" s="3">
        <v>1</v>
      </c>
      <c r="D140" s="3" t="s">
        <v>170</v>
      </c>
      <c r="E140" s="3">
        <v>3</v>
      </c>
      <c r="F140" s="3" t="s">
        <v>22</v>
      </c>
      <c r="G140" s="3" t="s">
        <v>15</v>
      </c>
      <c r="H140" s="3" t="s">
        <v>129</v>
      </c>
    </row>
    <row r="141" spans="1:8" x14ac:dyDescent="0.25">
      <c r="A141" s="3" t="s">
        <v>161</v>
      </c>
      <c r="B141" s="3" t="s">
        <v>9</v>
      </c>
      <c r="C141" s="3">
        <v>1</v>
      </c>
      <c r="D141" s="3" t="s">
        <v>171</v>
      </c>
      <c r="E141" s="3">
        <v>4</v>
      </c>
      <c r="F141" s="3" t="s">
        <v>19</v>
      </c>
      <c r="G141" s="3" t="s">
        <v>26</v>
      </c>
      <c r="H141" s="3" t="s">
        <v>129</v>
      </c>
    </row>
    <row r="142" spans="1:8" x14ac:dyDescent="0.25">
      <c r="A142" s="3" t="s">
        <v>161</v>
      </c>
      <c r="B142" s="3" t="s">
        <v>9</v>
      </c>
      <c r="C142" s="3">
        <v>1</v>
      </c>
      <c r="D142" s="3" t="s">
        <v>172</v>
      </c>
      <c r="E142" s="3">
        <v>4</v>
      </c>
      <c r="F142" s="3" t="s">
        <v>22</v>
      </c>
      <c r="G142" s="3" t="s">
        <v>26</v>
      </c>
      <c r="H142" s="3" t="s">
        <v>129</v>
      </c>
    </row>
    <row r="143" spans="1:8" x14ac:dyDescent="0.25">
      <c r="A143" s="3" t="s">
        <v>173</v>
      </c>
      <c r="B143" s="3" t="s">
        <v>9</v>
      </c>
      <c r="C143" s="3">
        <v>1</v>
      </c>
      <c r="D143" s="3" t="s">
        <v>174</v>
      </c>
      <c r="E143" s="3">
        <v>0</v>
      </c>
      <c r="F143" s="3" t="s">
        <v>11</v>
      </c>
      <c r="G143" s="3" t="s">
        <v>12</v>
      </c>
      <c r="H143" s="3" t="s">
        <v>129</v>
      </c>
    </row>
    <row r="144" spans="1:8" x14ac:dyDescent="0.25">
      <c r="A144" s="3" t="s">
        <v>173</v>
      </c>
      <c r="B144" s="3" t="s">
        <v>9</v>
      </c>
      <c r="C144" s="3">
        <v>1</v>
      </c>
      <c r="D144" s="3" t="s">
        <v>175</v>
      </c>
      <c r="E144" s="3">
        <v>0</v>
      </c>
      <c r="F144" s="3" t="s">
        <v>11</v>
      </c>
      <c r="G144" s="6" t="s">
        <v>12</v>
      </c>
      <c r="H144" s="3" t="s">
        <v>129</v>
      </c>
    </row>
    <row r="145" spans="1:8" x14ac:dyDescent="0.25">
      <c r="A145" s="3" t="s">
        <v>173</v>
      </c>
      <c r="B145" s="3" t="s">
        <v>9</v>
      </c>
      <c r="C145" s="3">
        <v>1</v>
      </c>
      <c r="D145" s="3" t="s">
        <v>176</v>
      </c>
      <c r="E145" s="3">
        <v>0</v>
      </c>
      <c r="F145" s="3" t="s">
        <v>11</v>
      </c>
      <c r="G145" s="3" t="s">
        <v>15</v>
      </c>
      <c r="H145" s="3" t="s">
        <v>129</v>
      </c>
    </row>
    <row r="146" spans="1:8" x14ac:dyDescent="0.25">
      <c r="A146" s="3" t="s">
        <v>173</v>
      </c>
      <c r="B146" s="3" t="s">
        <v>9</v>
      </c>
      <c r="C146" s="3">
        <v>1</v>
      </c>
      <c r="D146" s="3" t="s">
        <v>177</v>
      </c>
      <c r="E146" s="3">
        <v>1</v>
      </c>
      <c r="F146" s="3" t="s">
        <v>17</v>
      </c>
      <c r="G146" s="3" t="s">
        <v>15</v>
      </c>
      <c r="H146" s="3" t="s">
        <v>129</v>
      </c>
    </row>
    <row r="147" spans="1:8" x14ac:dyDescent="0.25">
      <c r="A147" s="3" t="s">
        <v>173</v>
      </c>
      <c r="B147" s="3" t="s">
        <v>9</v>
      </c>
      <c r="C147" s="3">
        <v>1</v>
      </c>
      <c r="D147" s="3" t="s">
        <v>178</v>
      </c>
      <c r="E147" s="3">
        <v>1</v>
      </c>
      <c r="F147" s="3" t="s">
        <v>19</v>
      </c>
      <c r="G147" s="3" t="s">
        <v>15</v>
      </c>
      <c r="H147" s="3" t="s">
        <v>129</v>
      </c>
    </row>
    <row r="148" spans="1:8" x14ac:dyDescent="0.25">
      <c r="A148" s="3" t="s">
        <v>173</v>
      </c>
      <c r="B148" s="3" t="s">
        <v>9</v>
      </c>
      <c r="C148" s="3">
        <v>1</v>
      </c>
      <c r="D148" s="3" t="s">
        <v>179</v>
      </c>
      <c r="E148" s="3">
        <v>2</v>
      </c>
      <c r="F148" s="3" t="s">
        <v>17</v>
      </c>
      <c r="G148" s="3" t="s">
        <v>15</v>
      </c>
      <c r="H148" s="3" t="s">
        <v>129</v>
      </c>
    </row>
    <row r="149" spans="1:8" x14ac:dyDescent="0.25">
      <c r="A149" s="3" t="s">
        <v>173</v>
      </c>
      <c r="B149" s="3" t="s">
        <v>9</v>
      </c>
      <c r="C149" s="3">
        <v>1</v>
      </c>
      <c r="D149" s="3" t="s">
        <v>180</v>
      </c>
      <c r="E149" s="3">
        <v>2</v>
      </c>
      <c r="F149" s="5" t="s">
        <v>22</v>
      </c>
      <c r="G149" s="3" t="s">
        <v>15</v>
      </c>
      <c r="H149" s="3" t="s">
        <v>129</v>
      </c>
    </row>
    <row r="150" spans="1:8" x14ac:dyDescent="0.25">
      <c r="A150" s="3" t="s">
        <v>173</v>
      </c>
      <c r="B150" s="3" t="s">
        <v>9</v>
      </c>
      <c r="C150" s="3">
        <v>1</v>
      </c>
      <c r="D150" s="3" t="s">
        <v>181</v>
      </c>
      <c r="E150" s="3">
        <v>3</v>
      </c>
      <c r="F150" s="3" t="s">
        <v>19</v>
      </c>
      <c r="G150" s="3" t="s">
        <v>15</v>
      </c>
      <c r="H150" s="3" t="s">
        <v>129</v>
      </c>
    </row>
    <row r="151" spans="1:8" x14ac:dyDescent="0.25">
      <c r="A151" s="3" t="s">
        <v>173</v>
      </c>
      <c r="B151" s="3" t="s">
        <v>9</v>
      </c>
      <c r="C151" s="3">
        <v>1</v>
      </c>
      <c r="D151" s="3" t="s">
        <v>182</v>
      </c>
      <c r="E151" s="3">
        <v>3</v>
      </c>
      <c r="F151" s="3" t="s">
        <v>22</v>
      </c>
      <c r="G151" s="3" t="s">
        <v>15</v>
      </c>
      <c r="H151" s="3" t="s">
        <v>129</v>
      </c>
    </row>
    <row r="152" spans="1:8" x14ac:dyDescent="0.25">
      <c r="A152" s="3" t="s">
        <v>173</v>
      </c>
      <c r="B152" s="3" t="s">
        <v>9</v>
      </c>
      <c r="C152" s="3">
        <v>1</v>
      </c>
      <c r="D152" s="3" t="s">
        <v>183</v>
      </c>
      <c r="E152" s="3">
        <v>4</v>
      </c>
      <c r="F152" s="3" t="s">
        <v>19</v>
      </c>
      <c r="G152" s="3" t="s">
        <v>26</v>
      </c>
      <c r="H152" s="3" t="s">
        <v>129</v>
      </c>
    </row>
    <row r="153" spans="1:8" x14ac:dyDescent="0.25">
      <c r="A153" s="3" t="s">
        <v>173</v>
      </c>
      <c r="B153" s="3" t="s">
        <v>9</v>
      </c>
      <c r="C153" s="3">
        <v>1</v>
      </c>
      <c r="D153" s="3" t="s">
        <v>184</v>
      </c>
      <c r="E153" s="3">
        <v>4</v>
      </c>
      <c r="F153" s="3" t="s">
        <v>22</v>
      </c>
      <c r="G153" s="3" t="s">
        <v>26</v>
      </c>
      <c r="H153" s="3" t="s">
        <v>129</v>
      </c>
    </row>
    <row r="154" spans="1:8" x14ac:dyDescent="0.25">
      <c r="A154" s="3" t="s">
        <v>185</v>
      </c>
      <c r="B154" s="3" t="s">
        <v>9</v>
      </c>
      <c r="C154" s="3">
        <v>2</v>
      </c>
      <c r="D154" s="3" t="s">
        <v>186</v>
      </c>
      <c r="E154" s="3">
        <v>0</v>
      </c>
      <c r="F154" s="3" t="s">
        <v>11</v>
      </c>
      <c r="G154" s="3" t="s">
        <v>12</v>
      </c>
      <c r="H154" s="3" t="s">
        <v>129</v>
      </c>
    </row>
    <row r="155" spans="1:8" x14ac:dyDescent="0.25">
      <c r="A155" s="3" t="s">
        <v>185</v>
      </c>
      <c r="B155" s="3" t="s">
        <v>9</v>
      </c>
      <c r="C155" s="3">
        <v>2</v>
      </c>
      <c r="D155" s="3" t="s">
        <v>187</v>
      </c>
      <c r="E155" s="3">
        <v>0</v>
      </c>
      <c r="F155" s="3" t="s">
        <v>11</v>
      </c>
      <c r="G155" s="3" t="s">
        <v>15</v>
      </c>
      <c r="H155" s="3" t="s">
        <v>129</v>
      </c>
    </row>
    <row r="156" spans="1:8" x14ac:dyDescent="0.25">
      <c r="A156" s="3" t="s">
        <v>185</v>
      </c>
      <c r="B156" s="3" t="s">
        <v>9</v>
      </c>
      <c r="C156" s="3">
        <v>2</v>
      </c>
      <c r="D156" s="3" t="s">
        <v>188</v>
      </c>
      <c r="E156" s="3">
        <v>1</v>
      </c>
      <c r="F156" s="3" t="s">
        <v>17</v>
      </c>
      <c r="G156" s="3" t="s">
        <v>15</v>
      </c>
      <c r="H156" s="3" t="s">
        <v>129</v>
      </c>
    </row>
    <row r="157" spans="1:8" x14ac:dyDescent="0.25">
      <c r="A157" s="3" t="s">
        <v>185</v>
      </c>
      <c r="B157" s="3" t="s">
        <v>9</v>
      </c>
      <c r="C157" s="3">
        <v>2</v>
      </c>
      <c r="D157" s="3" t="s">
        <v>189</v>
      </c>
      <c r="E157" s="3">
        <v>1</v>
      </c>
      <c r="F157" s="3" t="s">
        <v>19</v>
      </c>
      <c r="G157" s="3" t="s">
        <v>15</v>
      </c>
      <c r="H157" s="3" t="s">
        <v>129</v>
      </c>
    </row>
    <row r="158" spans="1:8" x14ac:dyDescent="0.25">
      <c r="A158" s="3" t="s">
        <v>185</v>
      </c>
      <c r="B158" s="3" t="s">
        <v>9</v>
      </c>
      <c r="C158" s="3">
        <v>2</v>
      </c>
      <c r="D158" s="3" t="s">
        <v>190</v>
      </c>
      <c r="E158" s="3">
        <v>2</v>
      </c>
      <c r="F158" s="3" t="s">
        <v>17</v>
      </c>
      <c r="G158" s="3" t="s">
        <v>15</v>
      </c>
      <c r="H158" s="3" t="s">
        <v>129</v>
      </c>
    </row>
    <row r="159" spans="1:8" x14ac:dyDescent="0.25">
      <c r="A159" s="3" t="s">
        <v>185</v>
      </c>
      <c r="B159" s="3" t="s">
        <v>9</v>
      </c>
      <c r="C159" s="3">
        <v>2</v>
      </c>
      <c r="D159" s="3" t="s">
        <v>191</v>
      </c>
      <c r="E159" s="3">
        <v>2</v>
      </c>
      <c r="F159" s="5" t="s">
        <v>22</v>
      </c>
      <c r="G159" s="3" t="s">
        <v>15</v>
      </c>
      <c r="H159" s="3" t="s">
        <v>129</v>
      </c>
    </row>
    <row r="160" spans="1:8" x14ac:dyDescent="0.25">
      <c r="A160" s="3" t="s">
        <v>185</v>
      </c>
      <c r="B160" s="3" t="s">
        <v>9</v>
      </c>
      <c r="C160" s="3">
        <v>2</v>
      </c>
      <c r="D160" s="3" t="s">
        <v>192</v>
      </c>
      <c r="E160" s="3">
        <v>3</v>
      </c>
      <c r="F160" s="3" t="s">
        <v>19</v>
      </c>
      <c r="G160" s="3" t="s">
        <v>15</v>
      </c>
      <c r="H160" s="3" t="s">
        <v>129</v>
      </c>
    </row>
    <row r="161" spans="1:8" x14ac:dyDescent="0.25">
      <c r="A161" s="3" t="s">
        <v>185</v>
      </c>
      <c r="B161" s="3" t="s">
        <v>9</v>
      </c>
      <c r="C161" s="3">
        <v>2</v>
      </c>
      <c r="D161" s="3" t="s">
        <v>193</v>
      </c>
      <c r="E161" s="3">
        <v>3</v>
      </c>
      <c r="F161" s="3" t="s">
        <v>22</v>
      </c>
      <c r="G161" s="3" t="s">
        <v>15</v>
      </c>
      <c r="H161" s="3" t="s">
        <v>129</v>
      </c>
    </row>
    <row r="162" spans="1:8" x14ac:dyDescent="0.25">
      <c r="A162" s="3" t="s">
        <v>185</v>
      </c>
      <c r="B162" s="3" t="s">
        <v>9</v>
      </c>
      <c r="C162" s="3">
        <v>2</v>
      </c>
      <c r="D162" s="3" t="s">
        <v>194</v>
      </c>
      <c r="E162" s="3">
        <v>4</v>
      </c>
      <c r="F162" s="3" t="s">
        <v>19</v>
      </c>
      <c r="G162" s="3" t="s">
        <v>26</v>
      </c>
      <c r="H162" s="3" t="s">
        <v>129</v>
      </c>
    </row>
    <row r="163" spans="1:8" x14ac:dyDescent="0.25">
      <c r="A163" s="3" t="s">
        <v>185</v>
      </c>
      <c r="B163" s="3" t="s">
        <v>9</v>
      </c>
      <c r="C163" s="3">
        <v>2</v>
      </c>
      <c r="D163" s="3" t="s">
        <v>195</v>
      </c>
      <c r="E163" s="3">
        <v>4</v>
      </c>
      <c r="F163" s="3" t="s">
        <v>22</v>
      </c>
      <c r="G163" s="3" t="s">
        <v>26</v>
      </c>
      <c r="H163" s="3" t="s">
        <v>129</v>
      </c>
    </row>
    <row r="164" spans="1:8" x14ac:dyDescent="0.25">
      <c r="A164" s="3" t="s">
        <v>196</v>
      </c>
      <c r="B164" s="3" t="s">
        <v>9</v>
      </c>
      <c r="C164" s="3">
        <v>2</v>
      </c>
      <c r="D164" s="3" t="s">
        <v>197</v>
      </c>
      <c r="E164" s="3">
        <v>0</v>
      </c>
      <c r="F164" s="3" t="s">
        <v>11</v>
      </c>
      <c r="G164" s="3" t="s">
        <v>12</v>
      </c>
      <c r="H164" s="3" t="s">
        <v>129</v>
      </c>
    </row>
    <row r="165" spans="1:8" x14ac:dyDescent="0.25">
      <c r="A165" s="3" t="s">
        <v>196</v>
      </c>
      <c r="B165" s="3" t="s">
        <v>9</v>
      </c>
      <c r="C165" s="3">
        <v>2</v>
      </c>
      <c r="D165" s="3" t="s">
        <v>198</v>
      </c>
      <c r="E165" s="3">
        <v>0</v>
      </c>
      <c r="F165" s="3" t="s">
        <v>11</v>
      </c>
      <c r="G165" s="6" t="s">
        <v>12</v>
      </c>
      <c r="H165" s="3" t="s">
        <v>129</v>
      </c>
    </row>
    <row r="166" spans="1:8" x14ac:dyDescent="0.25">
      <c r="A166" s="3" t="s">
        <v>196</v>
      </c>
      <c r="B166" s="3" t="s">
        <v>9</v>
      </c>
      <c r="C166" s="3">
        <v>2</v>
      </c>
      <c r="D166" s="3" t="s">
        <v>199</v>
      </c>
      <c r="E166" s="3">
        <v>0</v>
      </c>
      <c r="F166" s="3" t="s">
        <v>11</v>
      </c>
      <c r="G166" s="3" t="s">
        <v>15</v>
      </c>
      <c r="H166" s="3" t="s">
        <v>129</v>
      </c>
    </row>
    <row r="167" spans="1:8" x14ac:dyDescent="0.25">
      <c r="A167" s="3" t="s">
        <v>196</v>
      </c>
      <c r="B167" s="3" t="s">
        <v>9</v>
      </c>
      <c r="C167" s="3">
        <v>2</v>
      </c>
      <c r="D167" s="3" t="s">
        <v>200</v>
      </c>
      <c r="E167" s="3">
        <v>1</v>
      </c>
      <c r="F167" s="3" t="s">
        <v>17</v>
      </c>
      <c r="G167" s="3" t="s">
        <v>15</v>
      </c>
      <c r="H167" s="3" t="s">
        <v>129</v>
      </c>
    </row>
    <row r="168" spans="1:8" x14ac:dyDescent="0.25">
      <c r="A168" s="3" t="s">
        <v>196</v>
      </c>
      <c r="B168" s="3" t="s">
        <v>9</v>
      </c>
      <c r="C168" s="3">
        <v>2</v>
      </c>
      <c r="D168" s="3" t="s">
        <v>201</v>
      </c>
      <c r="E168" s="3">
        <v>1</v>
      </c>
      <c r="F168" s="3" t="s">
        <v>19</v>
      </c>
      <c r="G168" s="3" t="s">
        <v>15</v>
      </c>
      <c r="H168" s="3" t="s">
        <v>129</v>
      </c>
    </row>
    <row r="169" spans="1:8" x14ac:dyDescent="0.25">
      <c r="A169" s="3" t="s">
        <v>196</v>
      </c>
      <c r="B169" s="3" t="s">
        <v>9</v>
      </c>
      <c r="C169" s="3">
        <v>2</v>
      </c>
      <c r="D169" s="3" t="s">
        <v>202</v>
      </c>
      <c r="E169" s="3">
        <v>2</v>
      </c>
      <c r="F169" s="3" t="s">
        <v>17</v>
      </c>
      <c r="G169" s="3" t="s">
        <v>15</v>
      </c>
      <c r="H169" s="3" t="s">
        <v>129</v>
      </c>
    </row>
    <row r="170" spans="1:8" x14ac:dyDescent="0.25">
      <c r="A170" s="3" t="s">
        <v>196</v>
      </c>
      <c r="B170" s="3" t="s">
        <v>9</v>
      </c>
      <c r="C170" s="3">
        <v>2</v>
      </c>
      <c r="D170" s="3" t="s">
        <v>203</v>
      </c>
      <c r="E170" s="3">
        <v>2</v>
      </c>
      <c r="F170" s="5" t="s">
        <v>22</v>
      </c>
      <c r="G170" s="3" t="s">
        <v>15</v>
      </c>
      <c r="H170" s="3" t="s">
        <v>129</v>
      </c>
    </row>
    <row r="171" spans="1:8" x14ac:dyDescent="0.25">
      <c r="A171" s="3" t="s">
        <v>196</v>
      </c>
      <c r="B171" s="3" t="s">
        <v>9</v>
      </c>
      <c r="C171" s="3">
        <v>2</v>
      </c>
      <c r="D171" s="3" t="s">
        <v>204</v>
      </c>
      <c r="E171" s="3">
        <v>3</v>
      </c>
      <c r="F171" s="3" t="s">
        <v>19</v>
      </c>
      <c r="G171" s="3" t="s">
        <v>15</v>
      </c>
      <c r="H171" s="3" t="s">
        <v>129</v>
      </c>
    </row>
    <row r="172" spans="1:8" x14ac:dyDescent="0.25">
      <c r="A172" s="3" t="s">
        <v>196</v>
      </c>
      <c r="B172" s="3" t="s">
        <v>9</v>
      </c>
      <c r="C172" s="3">
        <v>2</v>
      </c>
      <c r="D172" s="3" t="s">
        <v>205</v>
      </c>
      <c r="E172" s="3">
        <v>3</v>
      </c>
      <c r="F172" s="3" t="s">
        <v>22</v>
      </c>
      <c r="G172" s="3" t="s">
        <v>15</v>
      </c>
      <c r="H172" s="3" t="s">
        <v>129</v>
      </c>
    </row>
    <row r="173" spans="1:8" x14ac:dyDescent="0.25">
      <c r="A173" s="3" t="s">
        <v>196</v>
      </c>
      <c r="B173" s="3" t="s">
        <v>9</v>
      </c>
      <c r="C173" s="3">
        <v>2</v>
      </c>
      <c r="D173" s="3" t="s">
        <v>206</v>
      </c>
      <c r="E173" s="3">
        <v>4</v>
      </c>
      <c r="F173" s="3" t="s">
        <v>19</v>
      </c>
      <c r="G173" s="3" t="s">
        <v>26</v>
      </c>
      <c r="H173" s="3" t="s">
        <v>129</v>
      </c>
    </row>
    <row r="174" spans="1:8" x14ac:dyDescent="0.25">
      <c r="A174" s="3" t="s">
        <v>196</v>
      </c>
      <c r="B174" s="3" t="s">
        <v>9</v>
      </c>
      <c r="C174" s="3">
        <v>2</v>
      </c>
      <c r="D174" s="3" t="s">
        <v>207</v>
      </c>
      <c r="E174" s="3">
        <v>4</v>
      </c>
      <c r="F174" s="3" t="s">
        <v>22</v>
      </c>
      <c r="G174" s="3" t="s">
        <v>26</v>
      </c>
      <c r="H174" s="3" t="s">
        <v>129</v>
      </c>
    </row>
    <row r="175" spans="1:8" x14ac:dyDescent="0.25">
      <c r="A175" s="3" t="s">
        <v>208</v>
      </c>
      <c r="B175" s="3" t="s">
        <v>9</v>
      </c>
      <c r="C175" s="3">
        <v>2</v>
      </c>
      <c r="D175" s="3" t="s">
        <v>209</v>
      </c>
      <c r="E175" s="3">
        <v>0</v>
      </c>
      <c r="F175" s="3" t="s">
        <v>11</v>
      </c>
      <c r="G175" s="3" t="s">
        <v>12</v>
      </c>
      <c r="H175" s="3" t="s">
        <v>129</v>
      </c>
    </row>
    <row r="176" spans="1:8" x14ac:dyDescent="0.25">
      <c r="A176" s="3" t="s">
        <v>208</v>
      </c>
      <c r="B176" s="3" t="s">
        <v>9</v>
      </c>
      <c r="C176" s="3">
        <v>2</v>
      </c>
      <c r="D176" s="3" t="s">
        <v>210</v>
      </c>
      <c r="E176" s="3">
        <v>0</v>
      </c>
      <c r="F176" s="3" t="s">
        <v>11</v>
      </c>
      <c r="G176" s="3" t="s">
        <v>15</v>
      </c>
      <c r="H176" s="3" t="s">
        <v>129</v>
      </c>
    </row>
    <row r="177" spans="1:8" x14ac:dyDescent="0.25">
      <c r="A177" s="3" t="s">
        <v>208</v>
      </c>
      <c r="B177" s="3" t="s">
        <v>9</v>
      </c>
      <c r="C177" s="3">
        <v>2</v>
      </c>
      <c r="D177" s="3" t="s">
        <v>211</v>
      </c>
      <c r="E177" s="3">
        <v>1</v>
      </c>
      <c r="F177" s="3" t="s">
        <v>17</v>
      </c>
      <c r="G177" s="3" t="s">
        <v>15</v>
      </c>
      <c r="H177" s="3" t="s">
        <v>129</v>
      </c>
    </row>
    <row r="178" spans="1:8" x14ac:dyDescent="0.25">
      <c r="A178" s="3" t="s">
        <v>208</v>
      </c>
      <c r="B178" s="3" t="s">
        <v>9</v>
      </c>
      <c r="C178" s="3">
        <v>2</v>
      </c>
      <c r="D178" s="3" t="s">
        <v>212</v>
      </c>
      <c r="E178" s="3">
        <v>1</v>
      </c>
      <c r="F178" s="3" t="s">
        <v>19</v>
      </c>
      <c r="G178" s="3" t="s">
        <v>15</v>
      </c>
      <c r="H178" s="3" t="s">
        <v>129</v>
      </c>
    </row>
    <row r="179" spans="1:8" x14ac:dyDescent="0.25">
      <c r="A179" s="3" t="s">
        <v>208</v>
      </c>
      <c r="B179" s="3" t="s">
        <v>9</v>
      </c>
      <c r="C179" s="3">
        <v>2</v>
      </c>
      <c r="D179" s="3" t="s">
        <v>213</v>
      </c>
      <c r="E179" s="3">
        <v>2</v>
      </c>
      <c r="F179" s="3" t="s">
        <v>17</v>
      </c>
      <c r="G179" s="3" t="s">
        <v>15</v>
      </c>
      <c r="H179" s="3" t="s">
        <v>129</v>
      </c>
    </row>
    <row r="180" spans="1:8" x14ac:dyDescent="0.25">
      <c r="A180" s="3" t="s">
        <v>208</v>
      </c>
      <c r="B180" s="3" t="s">
        <v>9</v>
      </c>
      <c r="C180" s="3">
        <v>2</v>
      </c>
      <c r="D180" s="3" t="s">
        <v>214</v>
      </c>
      <c r="E180" s="3">
        <v>2</v>
      </c>
      <c r="F180" s="5" t="s">
        <v>22</v>
      </c>
      <c r="G180" s="3" t="s">
        <v>15</v>
      </c>
      <c r="H180" s="3" t="s">
        <v>129</v>
      </c>
    </row>
    <row r="181" spans="1:8" x14ac:dyDescent="0.25">
      <c r="A181" s="3" t="s">
        <v>208</v>
      </c>
      <c r="B181" s="3" t="s">
        <v>9</v>
      </c>
      <c r="C181" s="3">
        <v>2</v>
      </c>
      <c r="D181" s="3" t="s">
        <v>215</v>
      </c>
      <c r="E181" s="3">
        <v>3</v>
      </c>
      <c r="F181" s="3" t="s">
        <v>19</v>
      </c>
      <c r="G181" s="3" t="s">
        <v>15</v>
      </c>
      <c r="H181" s="3" t="s">
        <v>129</v>
      </c>
    </row>
    <row r="182" spans="1:8" x14ac:dyDescent="0.25">
      <c r="A182" s="3" t="s">
        <v>208</v>
      </c>
      <c r="B182" s="3" t="s">
        <v>9</v>
      </c>
      <c r="C182" s="3">
        <v>2</v>
      </c>
      <c r="D182" s="3" t="s">
        <v>216</v>
      </c>
      <c r="E182" s="3">
        <v>3</v>
      </c>
      <c r="F182" s="3" t="s">
        <v>22</v>
      </c>
      <c r="G182" s="3" t="s">
        <v>15</v>
      </c>
      <c r="H182" s="3" t="s">
        <v>129</v>
      </c>
    </row>
    <row r="183" spans="1:8" x14ac:dyDescent="0.25">
      <c r="A183" s="3" t="s">
        <v>208</v>
      </c>
      <c r="B183" s="3" t="s">
        <v>9</v>
      </c>
      <c r="C183" s="3">
        <v>2</v>
      </c>
      <c r="D183" s="3" t="s">
        <v>217</v>
      </c>
      <c r="E183" s="3">
        <v>4</v>
      </c>
      <c r="F183" s="3" t="s">
        <v>19</v>
      </c>
      <c r="G183" s="3" t="s">
        <v>26</v>
      </c>
      <c r="H183" s="3" t="s">
        <v>129</v>
      </c>
    </row>
    <row r="184" spans="1:8" x14ac:dyDescent="0.25">
      <c r="A184" s="3" t="s">
        <v>208</v>
      </c>
      <c r="B184" s="3" t="s">
        <v>9</v>
      </c>
      <c r="C184" s="3">
        <v>2</v>
      </c>
      <c r="D184" s="3" t="s">
        <v>218</v>
      </c>
      <c r="E184" s="3">
        <v>4</v>
      </c>
      <c r="F184" s="3" t="s">
        <v>22</v>
      </c>
      <c r="G184" s="3" t="s">
        <v>26</v>
      </c>
      <c r="H184" s="3" t="s">
        <v>129</v>
      </c>
    </row>
    <row r="185" spans="1:8" x14ac:dyDescent="0.25">
      <c r="A185" s="3" t="s">
        <v>219</v>
      </c>
      <c r="B185" s="3" t="s">
        <v>9</v>
      </c>
      <c r="C185" s="3">
        <v>2</v>
      </c>
      <c r="D185" s="3" t="s">
        <v>220</v>
      </c>
      <c r="E185" s="3">
        <v>0</v>
      </c>
      <c r="F185" s="3" t="s">
        <v>11</v>
      </c>
      <c r="G185" s="3" t="s">
        <v>12</v>
      </c>
      <c r="H185" s="3" t="s">
        <v>129</v>
      </c>
    </row>
    <row r="186" spans="1:8" x14ac:dyDescent="0.25">
      <c r="A186" s="3" t="s">
        <v>219</v>
      </c>
      <c r="B186" s="3" t="s">
        <v>9</v>
      </c>
      <c r="C186" s="3">
        <v>2</v>
      </c>
      <c r="D186" s="3" t="s">
        <v>221</v>
      </c>
      <c r="E186" s="3">
        <v>0</v>
      </c>
      <c r="F186" s="3" t="s">
        <v>11</v>
      </c>
      <c r="G186" s="3" t="s">
        <v>15</v>
      </c>
      <c r="H186" s="3" t="s">
        <v>129</v>
      </c>
    </row>
    <row r="187" spans="1:8" x14ac:dyDescent="0.25">
      <c r="A187" s="3" t="s">
        <v>219</v>
      </c>
      <c r="B187" s="3" t="s">
        <v>9</v>
      </c>
      <c r="C187" s="3">
        <v>2</v>
      </c>
      <c r="D187" s="3" t="s">
        <v>222</v>
      </c>
      <c r="E187" s="3">
        <v>1</v>
      </c>
      <c r="F187" s="3" t="s">
        <v>17</v>
      </c>
      <c r="G187" s="3" t="s">
        <v>15</v>
      </c>
      <c r="H187" s="3" t="s">
        <v>129</v>
      </c>
    </row>
    <row r="188" spans="1:8" x14ac:dyDescent="0.25">
      <c r="A188" s="3" t="s">
        <v>219</v>
      </c>
      <c r="B188" s="3" t="s">
        <v>9</v>
      </c>
      <c r="C188" s="3">
        <v>2</v>
      </c>
      <c r="D188" s="3" t="s">
        <v>223</v>
      </c>
      <c r="E188" s="3">
        <v>1</v>
      </c>
      <c r="F188" s="3" t="s">
        <v>19</v>
      </c>
      <c r="G188" s="3" t="s">
        <v>15</v>
      </c>
      <c r="H188" s="3" t="s">
        <v>129</v>
      </c>
    </row>
    <row r="189" spans="1:8" x14ac:dyDescent="0.25">
      <c r="A189" s="3" t="s">
        <v>219</v>
      </c>
      <c r="B189" s="3" t="s">
        <v>9</v>
      </c>
      <c r="C189" s="3">
        <v>2</v>
      </c>
      <c r="D189" s="3" t="s">
        <v>224</v>
      </c>
      <c r="E189" s="3">
        <v>2</v>
      </c>
      <c r="F189" s="3" t="s">
        <v>17</v>
      </c>
      <c r="G189" s="3" t="s">
        <v>15</v>
      </c>
      <c r="H189" s="3" t="s">
        <v>129</v>
      </c>
    </row>
    <row r="190" spans="1:8" x14ac:dyDescent="0.25">
      <c r="A190" s="3" t="s">
        <v>219</v>
      </c>
      <c r="B190" s="3" t="s">
        <v>9</v>
      </c>
      <c r="C190" s="3">
        <v>2</v>
      </c>
      <c r="D190" s="3" t="s">
        <v>225</v>
      </c>
      <c r="E190" s="3">
        <v>2</v>
      </c>
      <c r="F190" s="5" t="s">
        <v>22</v>
      </c>
      <c r="G190" s="3" t="s">
        <v>15</v>
      </c>
      <c r="H190" s="3" t="s">
        <v>129</v>
      </c>
    </row>
    <row r="191" spans="1:8" x14ac:dyDescent="0.25">
      <c r="A191" s="3" t="s">
        <v>219</v>
      </c>
      <c r="B191" s="3" t="s">
        <v>9</v>
      </c>
      <c r="C191" s="3">
        <v>2</v>
      </c>
      <c r="D191" s="3" t="s">
        <v>226</v>
      </c>
      <c r="E191" s="3">
        <v>3</v>
      </c>
      <c r="F191" s="3" t="s">
        <v>19</v>
      </c>
      <c r="G191" s="3" t="s">
        <v>15</v>
      </c>
      <c r="H191" s="3" t="s">
        <v>129</v>
      </c>
    </row>
    <row r="192" spans="1:8" x14ac:dyDescent="0.25">
      <c r="A192" s="3" t="s">
        <v>219</v>
      </c>
      <c r="B192" s="3" t="s">
        <v>9</v>
      </c>
      <c r="C192" s="3">
        <v>2</v>
      </c>
      <c r="D192" s="3" t="s">
        <v>227</v>
      </c>
      <c r="E192" s="3">
        <v>3</v>
      </c>
      <c r="F192" s="3" t="s">
        <v>22</v>
      </c>
      <c r="G192" s="3" t="s">
        <v>15</v>
      </c>
      <c r="H192" s="3" t="s">
        <v>129</v>
      </c>
    </row>
    <row r="193" spans="1:8" x14ac:dyDescent="0.25">
      <c r="A193" s="3" t="s">
        <v>219</v>
      </c>
      <c r="B193" s="3" t="s">
        <v>9</v>
      </c>
      <c r="C193" s="3">
        <v>2</v>
      </c>
      <c r="D193" s="3" t="s">
        <v>228</v>
      </c>
      <c r="E193" s="3">
        <v>4</v>
      </c>
      <c r="F193" s="3" t="s">
        <v>19</v>
      </c>
      <c r="G193" s="3" t="s">
        <v>26</v>
      </c>
      <c r="H193" s="3" t="s">
        <v>129</v>
      </c>
    </row>
    <row r="194" spans="1:8" x14ac:dyDescent="0.25">
      <c r="A194" s="3" t="s">
        <v>219</v>
      </c>
      <c r="B194" s="3" t="s">
        <v>9</v>
      </c>
      <c r="C194" s="3">
        <v>2</v>
      </c>
      <c r="D194" s="3" t="s">
        <v>229</v>
      </c>
      <c r="E194" s="3">
        <v>4</v>
      </c>
      <c r="F194" s="3" t="s">
        <v>22</v>
      </c>
      <c r="G194" s="3" t="s">
        <v>26</v>
      </c>
      <c r="H194" s="3" t="s">
        <v>129</v>
      </c>
    </row>
    <row r="195" spans="1:8" x14ac:dyDescent="0.25">
      <c r="A195" s="3" t="s">
        <v>230</v>
      </c>
      <c r="B195" s="3" t="s">
        <v>9</v>
      </c>
      <c r="C195" s="3">
        <v>2</v>
      </c>
      <c r="D195" s="3" t="s">
        <v>231</v>
      </c>
      <c r="E195" s="3">
        <v>0</v>
      </c>
      <c r="F195" s="3" t="s">
        <v>11</v>
      </c>
      <c r="G195" s="3" t="s">
        <v>12</v>
      </c>
      <c r="H195" s="3" t="s">
        <v>129</v>
      </c>
    </row>
    <row r="196" spans="1:8" x14ac:dyDescent="0.25">
      <c r="A196" s="3" t="s">
        <v>230</v>
      </c>
      <c r="B196" s="3" t="s">
        <v>9</v>
      </c>
      <c r="C196" s="3">
        <v>2</v>
      </c>
      <c r="D196" s="3" t="s">
        <v>232</v>
      </c>
      <c r="E196" s="3">
        <v>0</v>
      </c>
      <c r="F196" s="3" t="s">
        <v>11</v>
      </c>
      <c r="G196" s="3" t="s">
        <v>15</v>
      </c>
      <c r="H196" s="3" t="s">
        <v>129</v>
      </c>
    </row>
    <row r="197" spans="1:8" x14ac:dyDescent="0.25">
      <c r="A197" s="3" t="s">
        <v>230</v>
      </c>
      <c r="B197" s="3" t="s">
        <v>9</v>
      </c>
      <c r="C197" s="3">
        <v>2</v>
      </c>
      <c r="D197" s="3" t="s">
        <v>233</v>
      </c>
      <c r="E197" s="3">
        <v>1</v>
      </c>
      <c r="F197" s="3" t="s">
        <v>17</v>
      </c>
      <c r="G197" s="3" t="s">
        <v>15</v>
      </c>
      <c r="H197" s="3" t="s">
        <v>129</v>
      </c>
    </row>
    <row r="198" spans="1:8" x14ac:dyDescent="0.25">
      <c r="A198" s="3" t="s">
        <v>230</v>
      </c>
      <c r="B198" s="3" t="s">
        <v>9</v>
      </c>
      <c r="C198" s="3">
        <v>2</v>
      </c>
      <c r="D198" s="3" t="s">
        <v>234</v>
      </c>
      <c r="E198" s="3">
        <v>1</v>
      </c>
      <c r="F198" s="3" t="s">
        <v>19</v>
      </c>
      <c r="G198" s="3" t="s">
        <v>15</v>
      </c>
      <c r="H198" s="3" t="s">
        <v>129</v>
      </c>
    </row>
    <row r="199" spans="1:8" x14ac:dyDescent="0.25">
      <c r="A199" s="3" t="s">
        <v>230</v>
      </c>
      <c r="B199" s="3" t="s">
        <v>9</v>
      </c>
      <c r="C199" s="3">
        <v>2</v>
      </c>
      <c r="D199" s="3" t="s">
        <v>235</v>
      </c>
      <c r="E199" s="3">
        <v>2</v>
      </c>
      <c r="F199" s="3" t="s">
        <v>17</v>
      </c>
      <c r="G199" s="3" t="s">
        <v>15</v>
      </c>
      <c r="H199" s="3" t="s">
        <v>129</v>
      </c>
    </row>
    <row r="200" spans="1:8" x14ac:dyDescent="0.25">
      <c r="A200" s="3" t="s">
        <v>230</v>
      </c>
      <c r="B200" s="3" t="s">
        <v>9</v>
      </c>
      <c r="C200" s="3">
        <v>2</v>
      </c>
      <c r="D200" s="3" t="s">
        <v>236</v>
      </c>
      <c r="E200" s="3">
        <v>2</v>
      </c>
      <c r="F200" s="5" t="s">
        <v>22</v>
      </c>
      <c r="G200" s="3" t="s">
        <v>15</v>
      </c>
      <c r="H200" s="3" t="s">
        <v>129</v>
      </c>
    </row>
    <row r="201" spans="1:8" x14ac:dyDescent="0.25">
      <c r="A201" s="3" t="s">
        <v>230</v>
      </c>
      <c r="B201" s="3" t="s">
        <v>9</v>
      </c>
      <c r="C201" s="3">
        <v>2</v>
      </c>
      <c r="D201" s="3" t="s">
        <v>237</v>
      </c>
      <c r="E201" s="3">
        <v>3</v>
      </c>
      <c r="F201" s="3" t="s">
        <v>19</v>
      </c>
      <c r="G201" s="3" t="s">
        <v>15</v>
      </c>
      <c r="H201" s="3" t="s">
        <v>129</v>
      </c>
    </row>
    <row r="202" spans="1:8" x14ac:dyDescent="0.25">
      <c r="A202" s="3" t="s">
        <v>230</v>
      </c>
      <c r="B202" s="3" t="s">
        <v>9</v>
      </c>
      <c r="C202" s="3">
        <v>2</v>
      </c>
      <c r="D202" s="3" t="s">
        <v>238</v>
      </c>
      <c r="E202" s="3">
        <v>3</v>
      </c>
      <c r="F202" s="3" t="s">
        <v>22</v>
      </c>
      <c r="G202" s="3" t="s">
        <v>15</v>
      </c>
      <c r="H202" s="3" t="s">
        <v>129</v>
      </c>
    </row>
    <row r="203" spans="1:8" x14ac:dyDescent="0.25">
      <c r="A203" s="3" t="s">
        <v>230</v>
      </c>
      <c r="B203" s="3" t="s">
        <v>9</v>
      </c>
      <c r="C203" s="3">
        <v>2</v>
      </c>
      <c r="D203" s="3" t="s">
        <v>239</v>
      </c>
      <c r="E203" s="3">
        <v>4</v>
      </c>
      <c r="F203" s="3" t="s">
        <v>19</v>
      </c>
      <c r="G203" s="3" t="s">
        <v>26</v>
      </c>
      <c r="H203" s="3" t="s">
        <v>129</v>
      </c>
    </row>
    <row r="204" spans="1:8" x14ac:dyDescent="0.25">
      <c r="A204" s="3" t="s">
        <v>230</v>
      </c>
      <c r="B204" s="3" t="s">
        <v>9</v>
      </c>
      <c r="C204" s="3">
        <v>2</v>
      </c>
      <c r="D204" s="3" t="s">
        <v>240</v>
      </c>
      <c r="E204" s="3">
        <v>4</v>
      </c>
      <c r="F204" s="3" t="s">
        <v>22</v>
      </c>
      <c r="G204" s="3" t="s">
        <v>26</v>
      </c>
      <c r="H204" s="3" t="s">
        <v>129</v>
      </c>
    </row>
    <row r="205" spans="1:8" x14ac:dyDescent="0.25">
      <c r="A205" s="7" t="str">
        <f>REPLACE("FEDXDF1",6,1,"M")</f>
        <v>FEDXDM1</v>
      </c>
      <c r="B205" s="7" t="s">
        <v>241</v>
      </c>
      <c r="C205" s="7">
        <v>3</v>
      </c>
      <c r="D205" s="7" t="s">
        <v>242</v>
      </c>
      <c r="E205" s="7">
        <v>0</v>
      </c>
      <c r="F205" s="7" t="s">
        <v>11</v>
      </c>
      <c r="G205" s="7" t="s">
        <v>12</v>
      </c>
      <c r="H205" s="7" t="s">
        <v>13</v>
      </c>
    </row>
    <row r="206" spans="1:8" x14ac:dyDescent="0.25">
      <c r="A206" s="3" t="str">
        <f t="shared" ref="A206:A214" si="0">REPLACE("FEDXDF1",6,1,"M")</f>
        <v>FEDXDM1</v>
      </c>
      <c r="B206" s="3" t="s">
        <v>241</v>
      </c>
      <c r="C206" s="3">
        <v>3</v>
      </c>
      <c r="D206" s="3" t="s">
        <v>243</v>
      </c>
      <c r="E206" s="3">
        <v>0</v>
      </c>
      <c r="F206" s="3" t="s">
        <v>11</v>
      </c>
      <c r="G206" s="3" t="s">
        <v>15</v>
      </c>
      <c r="H206" s="7" t="s">
        <v>13</v>
      </c>
    </row>
    <row r="207" spans="1:8" x14ac:dyDescent="0.25">
      <c r="A207" s="3" t="str">
        <f t="shared" si="0"/>
        <v>FEDXDM1</v>
      </c>
      <c r="B207" s="3" t="s">
        <v>241</v>
      </c>
      <c r="C207" s="3">
        <v>3</v>
      </c>
      <c r="D207" s="3" t="s">
        <v>244</v>
      </c>
      <c r="E207" s="3">
        <v>1</v>
      </c>
      <c r="F207" s="3" t="s">
        <v>17</v>
      </c>
      <c r="G207" s="3" t="s">
        <v>15</v>
      </c>
      <c r="H207" s="7" t="s">
        <v>13</v>
      </c>
    </row>
    <row r="208" spans="1:8" x14ac:dyDescent="0.25">
      <c r="A208" s="3" t="str">
        <f t="shared" si="0"/>
        <v>FEDXDM1</v>
      </c>
      <c r="B208" s="3" t="s">
        <v>241</v>
      </c>
      <c r="C208" s="3">
        <v>3</v>
      </c>
      <c r="D208" s="3" t="s">
        <v>245</v>
      </c>
      <c r="E208" s="3">
        <v>1</v>
      </c>
      <c r="F208" s="3" t="s">
        <v>19</v>
      </c>
      <c r="G208" s="3" t="s">
        <v>15</v>
      </c>
      <c r="H208" s="7" t="s">
        <v>13</v>
      </c>
    </row>
    <row r="209" spans="1:8" x14ac:dyDescent="0.25">
      <c r="A209" s="3" t="str">
        <f t="shared" si="0"/>
        <v>FEDXDM1</v>
      </c>
      <c r="B209" s="3" t="s">
        <v>241</v>
      </c>
      <c r="C209" s="3">
        <v>3</v>
      </c>
      <c r="D209" s="3" t="s">
        <v>246</v>
      </c>
      <c r="E209" s="3">
        <v>2</v>
      </c>
      <c r="F209" s="3" t="s">
        <v>17</v>
      </c>
      <c r="G209" s="3" t="s">
        <v>15</v>
      </c>
      <c r="H209" s="7" t="s">
        <v>13</v>
      </c>
    </row>
    <row r="210" spans="1:8" x14ac:dyDescent="0.25">
      <c r="A210" s="3" t="str">
        <f t="shared" si="0"/>
        <v>FEDXDM1</v>
      </c>
      <c r="B210" s="3" t="s">
        <v>241</v>
      </c>
      <c r="C210" s="3">
        <v>3</v>
      </c>
      <c r="D210" s="3" t="s">
        <v>247</v>
      </c>
      <c r="E210" s="3">
        <v>2</v>
      </c>
      <c r="F210" s="5" t="s">
        <v>22</v>
      </c>
      <c r="G210" s="3" t="s">
        <v>15</v>
      </c>
      <c r="H210" s="7" t="s">
        <v>13</v>
      </c>
    </row>
    <row r="211" spans="1:8" x14ac:dyDescent="0.25">
      <c r="A211" s="3" t="str">
        <f t="shared" si="0"/>
        <v>FEDXDM1</v>
      </c>
      <c r="B211" s="3" t="s">
        <v>241</v>
      </c>
      <c r="C211" s="3">
        <v>3</v>
      </c>
      <c r="D211" s="3" t="s">
        <v>248</v>
      </c>
      <c r="E211" s="3">
        <v>3</v>
      </c>
      <c r="F211" s="3" t="s">
        <v>19</v>
      </c>
      <c r="G211" s="3" t="s">
        <v>15</v>
      </c>
      <c r="H211" s="7" t="s">
        <v>13</v>
      </c>
    </row>
    <row r="212" spans="1:8" x14ac:dyDescent="0.25">
      <c r="A212" s="3" t="str">
        <f t="shared" si="0"/>
        <v>FEDXDM1</v>
      </c>
      <c r="B212" s="3" t="s">
        <v>241</v>
      </c>
      <c r="C212" s="3">
        <v>3</v>
      </c>
      <c r="D212" s="3" t="s">
        <v>249</v>
      </c>
      <c r="E212" s="3">
        <v>3</v>
      </c>
      <c r="F212" s="3" t="s">
        <v>22</v>
      </c>
      <c r="G212" s="3" t="s">
        <v>15</v>
      </c>
      <c r="H212" s="7" t="s">
        <v>13</v>
      </c>
    </row>
    <row r="213" spans="1:8" x14ac:dyDescent="0.25">
      <c r="A213" s="3" t="str">
        <f t="shared" si="0"/>
        <v>FEDXDM1</v>
      </c>
      <c r="B213" s="3" t="s">
        <v>241</v>
      </c>
      <c r="C213" s="3">
        <v>3</v>
      </c>
      <c r="D213" s="3" t="s">
        <v>250</v>
      </c>
      <c r="E213" s="3">
        <v>4</v>
      </c>
      <c r="F213" s="3" t="s">
        <v>19</v>
      </c>
      <c r="G213" s="3" t="s">
        <v>26</v>
      </c>
      <c r="H213" s="7" t="s">
        <v>13</v>
      </c>
    </row>
    <row r="214" spans="1:8" x14ac:dyDescent="0.25">
      <c r="A214" s="3" t="str">
        <f t="shared" si="0"/>
        <v>FEDXDM1</v>
      </c>
      <c r="B214" s="3" t="s">
        <v>241</v>
      </c>
      <c r="C214" s="3">
        <v>3</v>
      </c>
      <c r="D214" s="3" t="s">
        <v>251</v>
      </c>
      <c r="E214" s="3">
        <v>4</v>
      </c>
      <c r="F214" s="3" t="s">
        <v>22</v>
      </c>
      <c r="G214" s="3" t="s">
        <v>26</v>
      </c>
      <c r="H214" s="7" t="s">
        <v>13</v>
      </c>
    </row>
    <row r="215" spans="1:8" x14ac:dyDescent="0.25">
      <c r="A215" s="3" t="str">
        <f>REPLACE("FEDXDF2",6,1,"M")</f>
        <v>FEDXDM2</v>
      </c>
      <c r="B215" s="3" t="s">
        <v>241</v>
      </c>
      <c r="C215" s="3">
        <v>3</v>
      </c>
      <c r="D215" s="3" t="s">
        <v>252</v>
      </c>
      <c r="E215" s="3">
        <v>0</v>
      </c>
      <c r="F215" s="3" t="s">
        <v>11</v>
      </c>
      <c r="G215" s="3" t="s">
        <v>12</v>
      </c>
      <c r="H215" s="7" t="s">
        <v>13</v>
      </c>
    </row>
    <row r="216" spans="1:8" x14ac:dyDescent="0.25">
      <c r="A216" s="3" t="str">
        <f t="shared" ref="A216:A224" si="1">REPLACE("FEDXDF2",6,1,"M")</f>
        <v>FEDXDM2</v>
      </c>
      <c r="B216" s="3" t="s">
        <v>241</v>
      </c>
      <c r="C216" s="3">
        <v>3</v>
      </c>
      <c r="D216" s="3" t="s">
        <v>253</v>
      </c>
      <c r="E216" s="3">
        <v>0</v>
      </c>
      <c r="F216" s="3" t="s">
        <v>11</v>
      </c>
      <c r="G216" s="3" t="s">
        <v>15</v>
      </c>
      <c r="H216" s="7" t="s">
        <v>13</v>
      </c>
    </row>
    <row r="217" spans="1:8" x14ac:dyDescent="0.25">
      <c r="A217" s="3" t="str">
        <f t="shared" si="1"/>
        <v>FEDXDM2</v>
      </c>
      <c r="B217" s="3" t="s">
        <v>241</v>
      </c>
      <c r="C217" s="3">
        <v>3</v>
      </c>
      <c r="D217" s="3" t="s">
        <v>254</v>
      </c>
      <c r="E217" s="3">
        <v>1</v>
      </c>
      <c r="F217" s="3" t="s">
        <v>17</v>
      </c>
      <c r="G217" s="3" t="s">
        <v>15</v>
      </c>
      <c r="H217" s="7" t="s">
        <v>13</v>
      </c>
    </row>
    <row r="218" spans="1:8" x14ac:dyDescent="0.25">
      <c r="A218" s="3" t="str">
        <f t="shared" si="1"/>
        <v>FEDXDM2</v>
      </c>
      <c r="B218" s="3" t="s">
        <v>241</v>
      </c>
      <c r="C218" s="3">
        <v>3</v>
      </c>
      <c r="D218" s="3" t="s">
        <v>255</v>
      </c>
      <c r="E218" s="3">
        <v>1</v>
      </c>
      <c r="F218" s="3" t="s">
        <v>19</v>
      </c>
      <c r="G218" s="3" t="s">
        <v>15</v>
      </c>
      <c r="H218" s="7" t="s">
        <v>13</v>
      </c>
    </row>
    <row r="219" spans="1:8" x14ac:dyDescent="0.25">
      <c r="A219" s="3" t="str">
        <f t="shared" si="1"/>
        <v>FEDXDM2</v>
      </c>
      <c r="B219" s="3" t="s">
        <v>241</v>
      </c>
      <c r="C219" s="3">
        <v>3</v>
      </c>
      <c r="D219" s="3" t="s">
        <v>256</v>
      </c>
      <c r="E219" s="3">
        <v>2</v>
      </c>
      <c r="F219" s="3" t="s">
        <v>17</v>
      </c>
      <c r="G219" s="3" t="s">
        <v>15</v>
      </c>
      <c r="H219" s="7" t="s">
        <v>13</v>
      </c>
    </row>
    <row r="220" spans="1:8" x14ac:dyDescent="0.25">
      <c r="A220" s="3" t="str">
        <f t="shared" si="1"/>
        <v>FEDXDM2</v>
      </c>
      <c r="B220" s="3" t="s">
        <v>241</v>
      </c>
      <c r="C220" s="3">
        <v>3</v>
      </c>
      <c r="D220" s="3" t="s">
        <v>257</v>
      </c>
      <c r="E220" s="3">
        <v>2</v>
      </c>
      <c r="F220" s="5" t="s">
        <v>22</v>
      </c>
      <c r="G220" s="3" t="s">
        <v>15</v>
      </c>
      <c r="H220" s="7" t="s">
        <v>13</v>
      </c>
    </row>
    <row r="221" spans="1:8" x14ac:dyDescent="0.25">
      <c r="A221" s="3" t="str">
        <f t="shared" si="1"/>
        <v>FEDXDM2</v>
      </c>
      <c r="B221" s="3" t="s">
        <v>241</v>
      </c>
      <c r="C221" s="3">
        <v>3</v>
      </c>
      <c r="D221" s="3" t="s">
        <v>258</v>
      </c>
      <c r="E221" s="3">
        <v>3</v>
      </c>
      <c r="F221" s="3" t="s">
        <v>19</v>
      </c>
      <c r="G221" s="3" t="s">
        <v>15</v>
      </c>
      <c r="H221" s="7" t="s">
        <v>13</v>
      </c>
    </row>
    <row r="222" spans="1:8" x14ac:dyDescent="0.25">
      <c r="A222" s="3" t="str">
        <f t="shared" si="1"/>
        <v>FEDXDM2</v>
      </c>
      <c r="B222" s="3" t="s">
        <v>241</v>
      </c>
      <c r="C222" s="3">
        <v>3</v>
      </c>
      <c r="D222" s="3" t="s">
        <v>259</v>
      </c>
      <c r="E222" s="3">
        <v>3</v>
      </c>
      <c r="F222" s="3" t="s">
        <v>22</v>
      </c>
      <c r="G222" s="3" t="s">
        <v>15</v>
      </c>
      <c r="H222" s="7" t="s">
        <v>13</v>
      </c>
    </row>
    <row r="223" spans="1:8" x14ac:dyDescent="0.25">
      <c r="A223" s="3" t="str">
        <f t="shared" si="1"/>
        <v>FEDXDM2</v>
      </c>
      <c r="B223" s="3" t="s">
        <v>241</v>
      </c>
      <c r="C223" s="3">
        <v>3</v>
      </c>
      <c r="D223" s="3" t="s">
        <v>260</v>
      </c>
      <c r="E223" s="3">
        <v>4</v>
      </c>
      <c r="F223" s="3" t="s">
        <v>19</v>
      </c>
      <c r="G223" s="3" t="s">
        <v>26</v>
      </c>
      <c r="H223" s="7" t="s">
        <v>13</v>
      </c>
    </row>
    <row r="224" spans="1:8" x14ac:dyDescent="0.25">
      <c r="A224" s="3" t="str">
        <f t="shared" si="1"/>
        <v>FEDXDM2</v>
      </c>
      <c r="B224" s="3" t="s">
        <v>241</v>
      </c>
      <c r="C224" s="3">
        <v>3</v>
      </c>
      <c r="D224" s="3" t="s">
        <v>261</v>
      </c>
      <c r="E224" s="3">
        <v>4</v>
      </c>
      <c r="F224" s="3" t="s">
        <v>22</v>
      </c>
      <c r="G224" s="3" t="s">
        <v>26</v>
      </c>
      <c r="H224" s="7" t="s">
        <v>13</v>
      </c>
    </row>
    <row r="225" spans="1:8" x14ac:dyDescent="0.25">
      <c r="A225" s="3" t="str">
        <f>REPLACE("FEDXDF3",6,1,"M")</f>
        <v>FEDXDM3</v>
      </c>
      <c r="B225" s="3" t="s">
        <v>241</v>
      </c>
      <c r="C225" s="3">
        <v>3</v>
      </c>
      <c r="D225" s="3" t="s">
        <v>262</v>
      </c>
      <c r="E225" s="3">
        <v>0</v>
      </c>
      <c r="F225" s="3" t="s">
        <v>11</v>
      </c>
      <c r="G225" s="3" t="s">
        <v>12</v>
      </c>
      <c r="H225" s="7" t="s">
        <v>13</v>
      </c>
    </row>
    <row r="226" spans="1:8" x14ac:dyDescent="0.25">
      <c r="A226" s="3" t="str">
        <f t="shared" ref="A226:A234" si="2">REPLACE("FEDXDF3",6,1,"M")</f>
        <v>FEDXDM3</v>
      </c>
      <c r="B226" s="3" t="s">
        <v>241</v>
      </c>
      <c r="C226" s="3">
        <v>3</v>
      </c>
      <c r="D226" s="3" t="s">
        <v>263</v>
      </c>
      <c r="E226" s="3">
        <v>0</v>
      </c>
      <c r="F226" s="3" t="s">
        <v>11</v>
      </c>
      <c r="G226" s="3" t="s">
        <v>15</v>
      </c>
      <c r="H226" s="7" t="s">
        <v>13</v>
      </c>
    </row>
    <row r="227" spans="1:8" x14ac:dyDescent="0.25">
      <c r="A227" s="3" t="str">
        <f t="shared" si="2"/>
        <v>FEDXDM3</v>
      </c>
      <c r="B227" s="3" t="s">
        <v>241</v>
      </c>
      <c r="C227" s="3">
        <v>3</v>
      </c>
      <c r="D227" s="3" t="s">
        <v>264</v>
      </c>
      <c r="E227" s="3">
        <v>1</v>
      </c>
      <c r="F227" s="3" t="s">
        <v>17</v>
      </c>
      <c r="G227" s="3" t="s">
        <v>15</v>
      </c>
      <c r="H227" s="7" t="s">
        <v>13</v>
      </c>
    </row>
    <row r="228" spans="1:8" x14ac:dyDescent="0.25">
      <c r="A228" s="3" t="str">
        <f t="shared" si="2"/>
        <v>FEDXDM3</v>
      </c>
      <c r="B228" s="3" t="s">
        <v>241</v>
      </c>
      <c r="C228" s="3">
        <v>3</v>
      </c>
      <c r="D228" s="3" t="s">
        <v>265</v>
      </c>
      <c r="E228" s="3">
        <v>1</v>
      </c>
      <c r="F228" s="3" t="s">
        <v>19</v>
      </c>
      <c r="G228" s="3" t="s">
        <v>15</v>
      </c>
      <c r="H228" s="7" t="s">
        <v>13</v>
      </c>
    </row>
    <row r="229" spans="1:8" x14ac:dyDescent="0.25">
      <c r="A229" s="3" t="str">
        <f t="shared" si="2"/>
        <v>FEDXDM3</v>
      </c>
      <c r="B229" s="3" t="s">
        <v>241</v>
      </c>
      <c r="C229" s="3">
        <v>3</v>
      </c>
      <c r="D229" s="3" t="s">
        <v>266</v>
      </c>
      <c r="E229" s="3">
        <v>2</v>
      </c>
      <c r="F229" s="3" t="s">
        <v>17</v>
      </c>
      <c r="G229" s="3" t="s">
        <v>15</v>
      </c>
      <c r="H229" s="7" t="s">
        <v>13</v>
      </c>
    </row>
    <row r="230" spans="1:8" x14ac:dyDescent="0.25">
      <c r="A230" s="3" t="str">
        <f t="shared" si="2"/>
        <v>FEDXDM3</v>
      </c>
      <c r="B230" s="3" t="s">
        <v>241</v>
      </c>
      <c r="C230" s="3">
        <v>3</v>
      </c>
      <c r="D230" s="3" t="s">
        <v>267</v>
      </c>
      <c r="E230" s="3">
        <v>2</v>
      </c>
      <c r="F230" s="5" t="s">
        <v>22</v>
      </c>
      <c r="G230" s="3" t="s">
        <v>15</v>
      </c>
      <c r="H230" s="7" t="s">
        <v>13</v>
      </c>
    </row>
    <row r="231" spans="1:8" x14ac:dyDescent="0.25">
      <c r="A231" s="3" t="str">
        <f t="shared" si="2"/>
        <v>FEDXDM3</v>
      </c>
      <c r="B231" s="3" t="s">
        <v>241</v>
      </c>
      <c r="C231" s="3">
        <v>3</v>
      </c>
      <c r="D231" s="3" t="s">
        <v>268</v>
      </c>
      <c r="E231" s="3">
        <v>3</v>
      </c>
      <c r="F231" s="3" t="s">
        <v>19</v>
      </c>
      <c r="G231" s="3" t="s">
        <v>15</v>
      </c>
      <c r="H231" s="7" t="s">
        <v>13</v>
      </c>
    </row>
    <row r="232" spans="1:8" x14ac:dyDescent="0.25">
      <c r="A232" s="3" t="str">
        <f t="shared" si="2"/>
        <v>FEDXDM3</v>
      </c>
      <c r="B232" s="3" t="s">
        <v>241</v>
      </c>
      <c r="C232" s="3">
        <v>3</v>
      </c>
      <c r="D232" s="3" t="s">
        <v>269</v>
      </c>
      <c r="E232" s="3">
        <v>3</v>
      </c>
      <c r="F232" s="3" t="s">
        <v>22</v>
      </c>
      <c r="G232" s="3" t="s">
        <v>15</v>
      </c>
      <c r="H232" s="7" t="s">
        <v>13</v>
      </c>
    </row>
    <row r="233" spans="1:8" x14ac:dyDescent="0.25">
      <c r="A233" s="3" t="str">
        <f t="shared" si="2"/>
        <v>FEDXDM3</v>
      </c>
      <c r="B233" s="3" t="s">
        <v>241</v>
      </c>
      <c r="C233" s="3">
        <v>3</v>
      </c>
      <c r="D233" s="3" t="s">
        <v>270</v>
      </c>
      <c r="E233" s="3">
        <v>4</v>
      </c>
      <c r="F233" s="3" t="s">
        <v>19</v>
      </c>
      <c r="G233" s="3" t="s">
        <v>26</v>
      </c>
      <c r="H233" s="7" t="s">
        <v>13</v>
      </c>
    </row>
    <row r="234" spans="1:8" x14ac:dyDescent="0.25">
      <c r="A234" s="3" t="str">
        <f t="shared" si="2"/>
        <v>FEDXDM3</v>
      </c>
      <c r="B234" s="3" t="s">
        <v>241</v>
      </c>
      <c r="C234" s="3">
        <v>3</v>
      </c>
      <c r="D234" s="3" t="s">
        <v>271</v>
      </c>
      <c r="E234" s="3">
        <v>4</v>
      </c>
      <c r="F234" s="3" t="s">
        <v>22</v>
      </c>
      <c r="G234" s="3" t="s">
        <v>26</v>
      </c>
      <c r="H234" s="7" t="s">
        <v>13</v>
      </c>
    </row>
    <row r="235" spans="1:8" x14ac:dyDescent="0.25">
      <c r="A235" s="3" t="str">
        <f>REPLACE("FEDXDF4",6,1,"M")</f>
        <v>FEDXDM4</v>
      </c>
      <c r="B235" s="3" t="s">
        <v>241</v>
      </c>
      <c r="C235" s="3">
        <v>3</v>
      </c>
      <c r="D235" s="3" t="s">
        <v>272</v>
      </c>
      <c r="E235" s="3">
        <v>0</v>
      </c>
      <c r="F235" s="3" t="s">
        <v>11</v>
      </c>
      <c r="G235" s="3" t="s">
        <v>12</v>
      </c>
      <c r="H235" s="7" t="s">
        <v>13</v>
      </c>
    </row>
    <row r="236" spans="1:8" x14ac:dyDescent="0.25">
      <c r="A236" s="3" t="str">
        <f t="shared" ref="A236:A244" si="3">REPLACE("FEDXDF4",6,1,"M")</f>
        <v>FEDXDM4</v>
      </c>
      <c r="B236" s="3" t="s">
        <v>241</v>
      </c>
      <c r="C236" s="3">
        <v>3</v>
      </c>
      <c r="D236" s="3" t="s">
        <v>273</v>
      </c>
      <c r="E236" s="3">
        <v>0</v>
      </c>
      <c r="F236" s="3" t="s">
        <v>11</v>
      </c>
      <c r="G236" s="3" t="s">
        <v>15</v>
      </c>
      <c r="H236" s="7" t="s">
        <v>13</v>
      </c>
    </row>
    <row r="237" spans="1:8" x14ac:dyDescent="0.25">
      <c r="A237" s="3" t="str">
        <f t="shared" si="3"/>
        <v>FEDXDM4</v>
      </c>
      <c r="B237" s="3" t="s">
        <v>241</v>
      </c>
      <c r="C237" s="3">
        <v>3</v>
      </c>
      <c r="D237" s="3" t="s">
        <v>274</v>
      </c>
      <c r="E237" s="3">
        <v>1</v>
      </c>
      <c r="F237" s="3" t="s">
        <v>17</v>
      </c>
      <c r="G237" s="3" t="s">
        <v>15</v>
      </c>
      <c r="H237" s="7" t="s">
        <v>13</v>
      </c>
    </row>
    <row r="238" spans="1:8" x14ac:dyDescent="0.25">
      <c r="A238" s="3" t="str">
        <f t="shared" si="3"/>
        <v>FEDXDM4</v>
      </c>
      <c r="B238" s="3" t="s">
        <v>241</v>
      </c>
      <c r="C238" s="3">
        <v>3</v>
      </c>
      <c r="D238" s="3" t="s">
        <v>275</v>
      </c>
      <c r="E238" s="3">
        <v>1</v>
      </c>
      <c r="F238" s="3" t="s">
        <v>19</v>
      </c>
      <c r="G238" s="3" t="s">
        <v>15</v>
      </c>
      <c r="H238" s="7" t="s">
        <v>13</v>
      </c>
    </row>
    <row r="239" spans="1:8" x14ac:dyDescent="0.25">
      <c r="A239" s="3" t="str">
        <f t="shared" si="3"/>
        <v>FEDXDM4</v>
      </c>
      <c r="B239" s="3" t="s">
        <v>241</v>
      </c>
      <c r="C239" s="3">
        <v>3</v>
      </c>
      <c r="D239" s="3" t="s">
        <v>276</v>
      </c>
      <c r="E239" s="3">
        <v>2</v>
      </c>
      <c r="F239" s="3" t="s">
        <v>17</v>
      </c>
      <c r="G239" s="3" t="s">
        <v>15</v>
      </c>
      <c r="H239" s="7" t="s">
        <v>13</v>
      </c>
    </row>
    <row r="240" spans="1:8" x14ac:dyDescent="0.25">
      <c r="A240" s="3" t="str">
        <f t="shared" si="3"/>
        <v>FEDXDM4</v>
      </c>
      <c r="B240" s="3" t="s">
        <v>241</v>
      </c>
      <c r="C240" s="3">
        <v>3</v>
      </c>
      <c r="D240" s="3" t="s">
        <v>277</v>
      </c>
      <c r="E240" s="3">
        <v>2</v>
      </c>
      <c r="F240" s="5" t="s">
        <v>22</v>
      </c>
      <c r="G240" s="3" t="s">
        <v>15</v>
      </c>
      <c r="H240" s="7" t="s">
        <v>13</v>
      </c>
    </row>
    <row r="241" spans="1:8" x14ac:dyDescent="0.25">
      <c r="A241" s="3" t="str">
        <f t="shared" si="3"/>
        <v>FEDXDM4</v>
      </c>
      <c r="B241" s="3" t="s">
        <v>241</v>
      </c>
      <c r="C241" s="3">
        <v>3</v>
      </c>
      <c r="D241" s="3" t="s">
        <v>278</v>
      </c>
      <c r="E241" s="3">
        <v>3</v>
      </c>
      <c r="F241" s="3" t="s">
        <v>19</v>
      </c>
      <c r="G241" s="3" t="s">
        <v>15</v>
      </c>
      <c r="H241" s="7" t="s">
        <v>13</v>
      </c>
    </row>
    <row r="242" spans="1:8" x14ac:dyDescent="0.25">
      <c r="A242" s="3" t="str">
        <f t="shared" si="3"/>
        <v>FEDXDM4</v>
      </c>
      <c r="B242" s="3" t="s">
        <v>241</v>
      </c>
      <c r="C242" s="3">
        <v>3</v>
      </c>
      <c r="D242" s="3" t="s">
        <v>279</v>
      </c>
      <c r="E242" s="3">
        <v>3</v>
      </c>
      <c r="F242" s="3" t="s">
        <v>22</v>
      </c>
      <c r="G242" s="3" t="s">
        <v>15</v>
      </c>
      <c r="H242" s="7" t="s">
        <v>13</v>
      </c>
    </row>
    <row r="243" spans="1:8" x14ac:dyDescent="0.25">
      <c r="A243" s="3" t="str">
        <f t="shared" si="3"/>
        <v>FEDXDM4</v>
      </c>
      <c r="B243" s="3" t="s">
        <v>241</v>
      </c>
      <c r="C243" s="3">
        <v>3</v>
      </c>
      <c r="D243" s="3" t="s">
        <v>280</v>
      </c>
      <c r="E243" s="3">
        <v>4</v>
      </c>
      <c r="F243" s="3" t="s">
        <v>19</v>
      </c>
      <c r="G243" s="3" t="s">
        <v>26</v>
      </c>
      <c r="H243" s="7" t="s">
        <v>13</v>
      </c>
    </row>
    <row r="244" spans="1:8" x14ac:dyDescent="0.25">
      <c r="A244" s="3" t="str">
        <f t="shared" si="3"/>
        <v>FEDXDM4</v>
      </c>
      <c r="B244" s="3" t="s">
        <v>241</v>
      </c>
      <c r="C244" s="3">
        <v>3</v>
      </c>
      <c r="D244" s="3" t="s">
        <v>281</v>
      </c>
      <c r="E244" s="3">
        <v>4</v>
      </c>
      <c r="F244" s="3" t="s">
        <v>22</v>
      </c>
      <c r="G244" s="3" t="s">
        <v>26</v>
      </c>
      <c r="H244" s="7" t="s">
        <v>13</v>
      </c>
    </row>
    <row r="245" spans="1:8" x14ac:dyDescent="0.25">
      <c r="A245" s="3" t="str">
        <f>REPLACE("FEDXDF5",6,1,"M")</f>
        <v>FEDXDM5</v>
      </c>
      <c r="B245" s="3" t="s">
        <v>241</v>
      </c>
      <c r="C245" s="3">
        <v>3</v>
      </c>
      <c r="D245" s="3" t="s">
        <v>282</v>
      </c>
      <c r="E245" s="3">
        <v>0</v>
      </c>
      <c r="F245" s="3" t="s">
        <v>11</v>
      </c>
      <c r="G245" s="3" t="s">
        <v>12</v>
      </c>
      <c r="H245" s="7" t="s">
        <v>13</v>
      </c>
    </row>
    <row r="246" spans="1:8" x14ac:dyDescent="0.25">
      <c r="A246" s="3" t="str">
        <f t="shared" ref="A246:A255" si="4">REPLACE("FEDXDF5",6,1,"M")</f>
        <v>FEDXDM5</v>
      </c>
      <c r="B246" s="3" t="s">
        <v>241</v>
      </c>
      <c r="C246" s="3">
        <v>3</v>
      </c>
      <c r="D246" s="3" t="s">
        <v>283</v>
      </c>
      <c r="E246" s="3">
        <v>0</v>
      </c>
      <c r="F246" s="3" t="s">
        <v>11</v>
      </c>
      <c r="G246" s="6" t="s">
        <v>12</v>
      </c>
      <c r="H246" s="7" t="s">
        <v>13</v>
      </c>
    </row>
    <row r="247" spans="1:8" x14ac:dyDescent="0.25">
      <c r="A247" s="3" t="str">
        <f t="shared" si="4"/>
        <v>FEDXDM5</v>
      </c>
      <c r="B247" s="3" t="s">
        <v>241</v>
      </c>
      <c r="C247" s="3">
        <v>3</v>
      </c>
      <c r="D247" s="3" t="s">
        <v>284</v>
      </c>
      <c r="E247" s="3">
        <v>0</v>
      </c>
      <c r="F247" s="3" t="s">
        <v>11</v>
      </c>
      <c r="G247" s="3" t="s">
        <v>15</v>
      </c>
      <c r="H247" s="7" t="s">
        <v>13</v>
      </c>
    </row>
    <row r="248" spans="1:8" x14ac:dyDescent="0.25">
      <c r="A248" s="3" t="str">
        <f t="shared" si="4"/>
        <v>FEDXDM5</v>
      </c>
      <c r="B248" s="3" t="s">
        <v>241</v>
      </c>
      <c r="C248" s="3">
        <v>3</v>
      </c>
      <c r="D248" s="3" t="s">
        <v>285</v>
      </c>
      <c r="E248" s="3">
        <v>1</v>
      </c>
      <c r="F248" s="3" t="s">
        <v>17</v>
      </c>
      <c r="G248" s="3" t="s">
        <v>15</v>
      </c>
      <c r="H248" s="7" t="s">
        <v>13</v>
      </c>
    </row>
    <row r="249" spans="1:8" x14ac:dyDescent="0.25">
      <c r="A249" s="3" t="str">
        <f t="shared" si="4"/>
        <v>FEDXDM5</v>
      </c>
      <c r="B249" s="3" t="s">
        <v>241</v>
      </c>
      <c r="C249" s="3">
        <v>3</v>
      </c>
      <c r="D249" s="3" t="s">
        <v>286</v>
      </c>
      <c r="E249" s="3">
        <v>1</v>
      </c>
      <c r="F249" s="3" t="s">
        <v>19</v>
      </c>
      <c r="G249" s="3" t="s">
        <v>15</v>
      </c>
      <c r="H249" s="7" t="s">
        <v>13</v>
      </c>
    </row>
    <row r="250" spans="1:8" x14ac:dyDescent="0.25">
      <c r="A250" s="3" t="str">
        <f t="shared" si="4"/>
        <v>FEDXDM5</v>
      </c>
      <c r="B250" s="3" t="s">
        <v>241</v>
      </c>
      <c r="C250" s="3">
        <v>3</v>
      </c>
      <c r="D250" s="3" t="s">
        <v>287</v>
      </c>
      <c r="E250" s="3">
        <v>2</v>
      </c>
      <c r="F250" s="3" t="s">
        <v>17</v>
      </c>
      <c r="G250" s="3" t="s">
        <v>15</v>
      </c>
      <c r="H250" s="7" t="s">
        <v>13</v>
      </c>
    </row>
    <row r="251" spans="1:8" x14ac:dyDescent="0.25">
      <c r="A251" s="3" t="str">
        <f t="shared" si="4"/>
        <v>FEDXDM5</v>
      </c>
      <c r="B251" s="3" t="s">
        <v>241</v>
      </c>
      <c r="C251" s="3">
        <v>3</v>
      </c>
      <c r="D251" s="3" t="s">
        <v>288</v>
      </c>
      <c r="E251" s="3">
        <v>2</v>
      </c>
      <c r="F251" s="5" t="s">
        <v>22</v>
      </c>
      <c r="G251" s="3" t="s">
        <v>15</v>
      </c>
      <c r="H251" s="7" t="s">
        <v>13</v>
      </c>
    </row>
    <row r="252" spans="1:8" x14ac:dyDescent="0.25">
      <c r="A252" s="3" t="str">
        <f t="shared" si="4"/>
        <v>FEDXDM5</v>
      </c>
      <c r="B252" s="3" t="s">
        <v>241</v>
      </c>
      <c r="C252" s="3">
        <v>3</v>
      </c>
      <c r="D252" s="3" t="s">
        <v>289</v>
      </c>
      <c r="E252" s="3">
        <v>3</v>
      </c>
      <c r="F252" s="3" t="s">
        <v>19</v>
      </c>
      <c r="G252" s="3" t="s">
        <v>15</v>
      </c>
      <c r="H252" s="7" t="s">
        <v>13</v>
      </c>
    </row>
    <row r="253" spans="1:8" x14ac:dyDescent="0.25">
      <c r="A253" s="3" t="str">
        <f t="shared" si="4"/>
        <v>FEDXDM5</v>
      </c>
      <c r="B253" s="3" t="s">
        <v>241</v>
      </c>
      <c r="C253" s="3">
        <v>3</v>
      </c>
      <c r="D253" s="3" t="s">
        <v>290</v>
      </c>
      <c r="E253" s="3">
        <v>3</v>
      </c>
      <c r="F253" s="3" t="s">
        <v>22</v>
      </c>
      <c r="G253" s="3" t="s">
        <v>15</v>
      </c>
      <c r="H253" s="7" t="s">
        <v>13</v>
      </c>
    </row>
    <row r="254" spans="1:8" x14ac:dyDescent="0.25">
      <c r="A254" s="3" t="str">
        <f t="shared" si="4"/>
        <v>FEDXDM5</v>
      </c>
      <c r="B254" s="3" t="s">
        <v>241</v>
      </c>
      <c r="C254" s="3">
        <v>3</v>
      </c>
      <c r="D254" s="3" t="s">
        <v>291</v>
      </c>
      <c r="E254" s="3">
        <v>4</v>
      </c>
      <c r="F254" s="3" t="s">
        <v>19</v>
      </c>
      <c r="G254" s="3" t="s">
        <v>26</v>
      </c>
      <c r="H254" s="7" t="s">
        <v>13</v>
      </c>
    </row>
    <row r="255" spans="1:8" x14ac:dyDescent="0.25">
      <c r="A255" s="3" t="str">
        <f t="shared" si="4"/>
        <v>FEDXDM5</v>
      </c>
      <c r="B255" s="3" t="s">
        <v>241</v>
      </c>
      <c r="C255" s="3">
        <v>3</v>
      </c>
      <c r="D255" s="3" t="s">
        <v>292</v>
      </c>
      <c r="E255" s="3">
        <v>4</v>
      </c>
      <c r="F255" s="3" t="s">
        <v>22</v>
      </c>
      <c r="G255" s="3" t="s">
        <v>26</v>
      </c>
      <c r="H255" s="7" t="s">
        <v>13</v>
      </c>
    </row>
    <row r="256" spans="1:8" x14ac:dyDescent="0.25">
      <c r="A256" s="3" t="str">
        <f>REPLACE("FEDXDF6",6,1,"M")</f>
        <v>FEDXDM6</v>
      </c>
      <c r="B256" s="3" t="s">
        <v>241</v>
      </c>
      <c r="C256" s="3">
        <v>4</v>
      </c>
      <c r="D256" s="3" t="s">
        <v>293</v>
      </c>
      <c r="E256" s="3">
        <v>0</v>
      </c>
      <c r="F256" s="3" t="s">
        <v>11</v>
      </c>
      <c r="G256" s="3" t="s">
        <v>12</v>
      </c>
      <c r="H256" s="7" t="s">
        <v>13</v>
      </c>
    </row>
    <row r="257" spans="1:8" x14ac:dyDescent="0.25">
      <c r="A257" s="3" t="str">
        <f t="shared" ref="A257:A265" si="5">REPLACE("FEDXDF6",6,1,"M")</f>
        <v>FEDXDM6</v>
      </c>
      <c r="B257" s="3" t="s">
        <v>241</v>
      </c>
      <c r="C257" s="3">
        <v>4</v>
      </c>
      <c r="D257" s="3" t="s">
        <v>294</v>
      </c>
      <c r="E257" s="3">
        <v>0</v>
      </c>
      <c r="F257" s="3" t="s">
        <v>11</v>
      </c>
      <c r="G257" s="3" t="s">
        <v>15</v>
      </c>
      <c r="H257" s="7" t="s">
        <v>13</v>
      </c>
    </row>
    <row r="258" spans="1:8" x14ac:dyDescent="0.25">
      <c r="A258" s="3" t="str">
        <f t="shared" si="5"/>
        <v>FEDXDM6</v>
      </c>
      <c r="B258" s="3" t="s">
        <v>241</v>
      </c>
      <c r="C258" s="3">
        <v>4</v>
      </c>
      <c r="D258" s="3" t="s">
        <v>295</v>
      </c>
      <c r="E258" s="3">
        <v>1</v>
      </c>
      <c r="F258" s="3" t="s">
        <v>17</v>
      </c>
      <c r="G258" s="3" t="s">
        <v>15</v>
      </c>
      <c r="H258" s="7" t="s">
        <v>13</v>
      </c>
    </row>
    <row r="259" spans="1:8" x14ac:dyDescent="0.25">
      <c r="A259" s="3" t="str">
        <f t="shared" si="5"/>
        <v>FEDXDM6</v>
      </c>
      <c r="B259" s="3" t="s">
        <v>241</v>
      </c>
      <c r="C259" s="3">
        <v>4</v>
      </c>
      <c r="D259" s="3" t="s">
        <v>296</v>
      </c>
      <c r="E259" s="3">
        <v>1</v>
      </c>
      <c r="F259" s="3" t="s">
        <v>19</v>
      </c>
      <c r="G259" s="3" t="s">
        <v>15</v>
      </c>
      <c r="H259" s="7" t="s">
        <v>13</v>
      </c>
    </row>
    <row r="260" spans="1:8" x14ac:dyDescent="0.25">
      <c r="A260" s="3" t="str">
        <f t="shared" si="5"/>
        <v>FEDXDM6</v>
      </c>
      <c r="B260" s="3" t="s">
        <v>241</v>
      </c>
      <c r="C260" s="3">
        <v>4</v>
      </c>
      <c r="D260" s="3" t="s">
        <v>297</v>
      </c>
      <c r="E260" s="3">
        <v>2</v>
      </c>
      <c r="F260" s="3" t="s">
        <v>17</v>
      </c>
      <c r="G260" s="3" t="s">
        <v>15</v>
      </c>
      <c r="H260" s="7" t="s">
        <v>13</v>
      </c>
    </row>
    <row r="261" spans="1:8" x14ac:dyDescent="0.25">
      <c r="A261" s="3" t="str">
        <f t="shared" si="5"/>
        <v>FEDXDM6</v>
      </c>
      <c r="B261" s="3" t="s">
        <v>241</v>
      </c>
      <c r="C261" s="3">
        <v>4</v>
      </c>
      <c r="D261" s="3" t="s">
        <v>298</v>
      </c>
      <c r="E261" s="3">
        <v>2</v>
      </c>
      <c r="F261" s="5" t="s">
        <v>22</v>
      </c>
      <c r="G261" s="3" t="s">
        <v>15</v>
      </c>
      <c r="H261" s="7" t="s">
        <v>13</v>
      </c>
    </row>
    <row r="262" spans="1:8" x14ac:dyDescent="0.25">
      <c r="A262" s="3" t="str">
        <f t="shared" si="5"/>
        <v>FEDXDM6</v>
      </c>
      <c r="B262" s="3" t="s">
        <v>241</v>
      </c>
      <c r="C262" s="3">
        <v>4</v>
      </c>
      <c r="D262" s="3" t="s">
        <v>299</v>
      </c>
      <c r="E262" s="3">
        <v>3</v>
      </c>
      <c r="F262" s="3" t="s">
        <v>19</v>
      </c>
      <c r="G262" s="3" t="s">
        <v>15</v>
      </c>
      <c r="H262" s="7" t="s">
        <v>13</v>
      </c>
    </row>
    <row r="263" spans="1:8" x14ac:dyDescent="0.25">
      <c r="A263" s="3" t="str">
        <f t="shared" si="5"/>
        <v>FEDXDM6</v>
      </c>
      <c r="B263" s="3" t="s">
        <v>241</v>
      </c>
      <c r="C263" s="3">
        <v>4</v>
      </c>
      <c r="D263" s="3" t="s">
        <v>300</v>
      </c>
      <c r="E263" s="3">
        <v>3</v>
      </c>
      <c r="F263" s="3" t="s">
        <v>22</v>
      </c>
      <c r="G263" s="3" t="s">
        <v>15</v>
      </c>
      <c r="H263" s="7" t="s">
        <v>13</v>
      </c>
    </row>
    <row r="264" spans="1:8" x14ac:dyDescent="0.25">
      <c r="A264" s="3" t="str">
        <f t="shared" si="5"/>
        <v>FEDXDM6</v>
      </c>
      <c r="B264" s="3" t="s">
        <v>241</v>
      </c>
      <c r="C264" s="3">
        <v>4</v>
      </c>
      <c r="D264" s="3" t="s">
        <v>301</v>
      </c>
      <c r="E264" s="3">
        <v>4</v>
      </c>
      <c r="F264" s="3" t="s">
        <v>19</v>
      </c>
      <c r="G264" s="3" t="s">
        <v>26</v>
      </c>
      <c r="H264" s="7" t="s">
        <v>13</v>
      </c>
    </row>
    <row r="265" spans="1:8" x14ac:dyDescent="0.25">
      <c r="A265" s="3" t="str">
        <f t="shared" si="5"/>
        <v>FEDXDM6</v>
      </c>
      <c r="B265" s="3" t="s">
        <v>241</v>
      </c>
      <c r="C265" s="3">
        <v>4</v>
      </c>
      <c r="D265" s="3" t="s">
        <v>302</v>
      </c>
      <c r="E265" s="3">
        <v>4</v>
      </c>
      <c r="F265" s="3" t="s">
        <v>22</v>
      </c>
      <c r="G265" s="3" t="s">
        <v>26</v>
      </c>
      <c r="H265" s="7" t="s">
        <v>13</v>
      </c>
    </row>
    <row r="266" spans="1:8" x14ac:dyDescent="0.25">
      <c r="A266" s="3" t="str">
        <f>REPLACE("FEDXDF7",6,1,"M")</f>
        <v>FEDXDM7</v>
      </c>
      <c r="B266" s="3" t="s">
        <v>241</v>
      </c>
      <c r="C266" s="3">
        <v>4</v>
      </c>
      <c r="D266" s="3" t="s">
        <v>303</v>
      </c>
      <c r="E266" s="3">
        <v>0</v>
      </c>
      <c r="F266" s="3" t="s">
        <v>11</v>
      </c>
      <c r="G266" s="3" t="s">
        <v>12</v>
      </c>
      <c r="H266" s="7" t="s">
        <v>13</v>
      </c>
    </row>
    <row r="267" spans="1:8" x14ac:dyDescent="0.25">
      <c r="A267" s="3" t="str">
        <f t="shared" ref="A267:A276" si="6">REPLACE("FEDXDF7",6,1,"M")</f>
        <v>FEDXDM7</v>
      </c>
      <c r="B267" s="3" t="s">
        <v>241</v>
      </c>
      <c r="C267" s="3">
        <v>4</v>
      </c>
      <c r="D267" s="3" t="s">
        <v>304</v>
      </c>
      <c r="E267" s="3">
        <v>0</v>
      </c>
      <c r="F267" s="3" t="s">
        <v>11</v>
      </c>
      <c r="G267" s="6" t="s">
        <v>12</v>
      </c>
      <c r="H267" s="7" t="s">
        <v>13</v>
      </c>
    </row>
    <row r="268" spans="1:8" x14ac:dyDescent="0.25">
      <c r="A268" s="3" t="str">
        <f t="shared" si="6"/>
        <v>FEDXDM7</v>
      </c>
      <c r="B268" s="3" t="s">
        <v>241</v>
      </c>
      <c r="C268" s="3">
        <v>4</v>
      </c>
      <c r="D268" s="3" t="s">
        <v>305</v>
      </c>
      <c r="E268" s="3">
        <v>0</v>
      </c>
      <c r="F268" s="3" t="s">
        <v>11</v>
      </c>
      <c r="G268" s="3" t="s">
        <v>15</v>
      </c>
      <c r="H268" s="7" t="s">
        <v>13</v>
      </c>
    </row>
    <row r="269" spans="1:8" x14ac:dyDescent="0.25">
      <c r="A269" s="3" t="str">
        <f t="shared" si="6"/>
        <v>FEDXDM7</v>
      </c>
      <c r="B269" s="3" t="s">
        <v>241</v>
      </c>
      <c r="C269" s="3">
        <v>4</v>
      </c>
      <c r="D269" s="3" t="s">
        <v>306</v>
      </c>
      <c r="E269" s="3">
        <v>1</v>
      </c>
      <c r="F269" s="3" t="s">
        <v>17</v>
      </c>
      <c r="G269" s="3" t="s">
        <v>15</v>
      </c>
      <c r="H269" s="7" t="s">
        <v>13</v>
      </c>
    </row>
    <row r="270" spans="1:8" x14ac:dyDescent="0.25">
      <c r="A270" s="3" t="str">
        <f t="shared" si="6"/>
        <v>FEDXDM7</v>
      </c>
      <c r="B270" s="3" t="s">
        <v>241</v>
      </c>
      <c r="C270" s="3">
        <v>4</v>
      </c>
      <c r="D270" s="3" t="s">
        <v>307</v>
      </c>
      <c r="E270" s="3">
        <v>1</v>
      </c>
      <c r="F270" s="3" t="s">
        <v>19</v>
      </c>
      <c r="G270" s="3" t="s">
        <v>15</v>
      </c>
      <c r="H270" s="7" t="s">
        <v>13</v>
      </c>
    </row>
    <row r="271" spans="1:8" x14ac:dyDescent="0.25">
      <c r="A271" s="3" t="str">
        <f t="shared" si="6"/>
        <v>FEDXDM7</v>
      </c>
      <c r="B271" s="3" t="s">
        <v>241</v>
      </c>
      <c r="C271" s="3">
        <v>4</v>
      </c>
      <c r="D271" s="3" t="s">
        <v>308</v>
      </c>
      <c r="E271" s="3">
        <v>2</v>
      </c>
      <c r="F271" s="3" t="s">
        <v>17</v>
      </c>
      <c r="G271" s="3" t="s">
        <v>15</v>
      </c>
      <c r="H271" s="7" t="s">
        <v>13</v>
      </c>
    </row>
    <row r="272" spans="1:8" x14ac:dyDescent="0.25">
      <c r="A272" s="3" t="str">
        <f t="shared" si="6"/>
        <v>FEDXDM7</v>
      </c>
      <c r="B272" s="3" t="s">
        <v>241</v>
      </c>
      <c r="C272" s="3">
        <v>4</v>
      </c>
      <c r="D272" s="3" t="s">
        <v>309</v>
      </c>
      <c r="E272" s="3">
        <v>2</v>
      </c>
      <c r="F272" s="5" t="s">
        <v>22</v>
      </c>
      <c r="G272" s="3" t="s">
        <v>15</v>
      </c>
      <c r="H272" s="7" t="s">
        <v>13</v>
      </c>
    </row>
    <row r="273" spans="1:8" x14ac:dyDescent="0.25">
      <c r="A273" s="3" t="str">
        <f t="shared" si="6"/>
        <v>FEDXDM7</v>
      </c>
      <c r="B273" s="3" t="s">
        <v>241</v>
      </c>
      <c r="C273" s="3">
        <v>4</v>
      </c>
      <c r="D273" s="3" t="s">
        <v>310</v>
      </c>
      <c r="E273" s="3">
        <v>3</v>
      </c>
      <c r="F273" s="3" t="s">
        <v>19</v>
      </c>
      <c r="G273" s="3" t="s">
        <v>15</v>
      </c>
      <c r="H273" s="7" t="s">
        <v>13</v>
      </c>
    </row>
    <row r="274" spans="1:8" x14ac:dyDescent="0.25">
      <c r="A274" s="3" t="str">
        <f t="shared" si="6"/>
        <v>FEDXDM7</v>
      </c>
      <c r="B274" s="3" t="s">
        <v>241</v>
      </c>
      <c r="C274" s="3">
        <v>4</v>
      </c>
      <c r="D274" s="3" t="s">
        <v>311</v>
      </c>
      <c r="E274" s="3">
        <v>3</v>
      </c>
      <c r="F274" s="3" t="s">
        <v>22</v>
      </c>
      <c r="G274" s="3" t="s">
        <v>15</v>
      </c>
      <c r="H274" s="7" t="s">
        <v>13</v>
      </c>
    </row>
    <row r="275" spans="1:8" x14ac:dyDescent="0.25">
      <c r="A275" s="3" t="str">
        <f t="shared" si="6"/>
        <v>FEDXDM7</v>
      </c>
      <c r="B275" s="3" t="s">
        <v>241</v>
      </c>
      <c r="C275" s="3">
        <v>4</v>
      </c>
      <c r="D275" s="3" t="s">
        <v>312</v>
      </c>
      <c r="E275" s="3">
        <v>4</v>
      </c>
      <c r="F275" s="3" t="s">
        <v>19</v>
      </c>
      <c r="G275" s="3" t="s">
        <v>26</v>
      </c>
      <c r="H275" s="7" t="s">
        <v>13</v>
      </c>
    </row>
    <row r="276" spans="1:8" x14ac:dyDescent="0.25">
      <c r="A276" s="3" t="str">
        <f t="shared" si="6"/>
        <v>FEDXDM7</v>
      </c>
      <c r="B276" s="3" t="s">
        <v>241</v>
      </c>
      <c r="C276" s="3">
        <v>4</v>
      </c>
      <c r="D276" s="3" t="s">
        <v>313</v>
      </c>
      <c r="E276" s="3">
        <v>4</v>
      </c>
      <c r="F276" s="3" t="s">
        <v>22</v>
      </c>
      <c r="G276" s="3" t="s">
        <v>26</v>
      </c>
      <c r="H276" s="7" t="s">
        <v>13</v>
      </c>
    </row>
    <row r="277" spans="1:8" x14ac:dyDescent="0.25">
      <c r="A277" s="3" t="str">
        <f>REPLACE("FEDXDF8",6,1,"M")</f>
        <v>FEDXDM8</v>
      </c>
      <c r="B277" s="3" t="s">
        <v>241</v>
      </c>
      <c r="C277" s="3">
        <v>4</v>
      </c>
      <c r="D277" s="3" t="s">
        <v>314</v>
      </c>
      <c r="E277" s="3">
        <v>0</v>
      </c>
      <c r="F277" s="3" t="s">
        <v>11</v>
      </c>
      <c r="G277" s="3" t="s">
        <v>12</v>
      </c>
      <c r="H277" s="7" t="s">
        <v>13</v>
      </c>
    </row>
    <row r="278" spans="1:8" x14ac:dyDescent="0.25">
      <c r="A278" s="3" t="str">
        <f t="shared" ref="A278:A285" si="7">REPLACE("FEDXDF8",6,1,"M")</f>
        <v>FEDXDM8</v>
      </c>
      <c r="B278" s="3" t="s">
        <v>241</v>
      </c>
      <c r="C278" s="3">
        <v>4</v>
      </c>
      <c r="D278" s="3" t="s">
        <v>315</v>
      </c>
      <c r="E278" s="3">
        <v>0</v>
      </c>
      <c r="F278" s="3" t="s">
        <v>11</v>
      </c>
      <c r="G278" s="3" t="s">
        <v>15</v>
      </c>
      <c r="H278" s="7" t="s">
        <v>13</v>
      </c>
    </row>
    <row r="279" spans="1:8" x14ac:dyDescent="0.25">
      <c r="A279" s="3" t="str">
        <f t="shared" si="7"/>
        <v>FEDXDM8</v>
      </c>
      <c r="B279" s="3" t="s">
        <v>241</v>
      </c>
      <c r="C279" s="3">
        <v>4</v>
      </c>
      <c r="D279" s="3" t="s">
        <v>316</v>
      </c>
      <c r="E279" s="3">
        <v>1</v>
      </c>
      <c r="F279" s="3" t="s">
        <v>17</v>
      </c>
      <c r="G279" s="3" t="s">
        <v>15</v>
      </c>
      <c r="H279" s="7" t="s">
        <v>13</v>
      </c>
    </row>
    <row r="280" spans="1:8" x14ac:dyDescent="0.25">
      <c r="A280" s="3" t="str">
        <f t="shared" si="7"/>
        <v>FEDXDM8</v>
      </c>
      <c r="B280" s="3" t="s">
        <v>241</v>
      </c>
      <c r="C280" s="3">
        <v>4</v>
      </c>
      <c r="D280" s="3" t="s">
        <v>317</v>
      </c>
      <c r="E280" s="3">
        <v>1</v>
      </c>
      <c r="F280" s="3" t="s">
        <v>19</v>
      </c>
      <c r="G280" s="3" t="s">
        <v>15</v>
      </c>
      <c r="H280" s="7" t="s">
        <v>13</v>
      </c>
    </row>
    <row r="281" spans="1:8" x14ac:dyDescent="0.25">
      <c r="A281" s="3" t="str">
        <f t="shared" si="7"/>
        <v>FEDXDM8</v>
      </c>
      <c r="B281" s="3" t="s">
        <v>241</v>
      </c>
      <c r="C281" s="3">
        <v>4</v>
      </c>
      <c r="D281" s="3" t="s">
        <v>318</v>
      </c>
      <c r="E281" s="3">
        <v>2</v>
      </c>
      <c r="F281" s="3" t="s">
        <v>17</v>
      </c>
      <c r="G281" s="3" t="s">
        <v>15</v>
      </c>
      <c r="H281" s="7" t="s">
        <v>13</v>
      </c>
    </row>
    <row r="282" spans="1:8" x14ac:dyDescent="0.25">
      <c r="A282" s="3" t="str">
        <f t="shared" si="7"/>
        <v>FEDXDM8</v>
      </c>
      <c r="B282" s="3" t="s">
        <v>241</v>
      </c>
      <c r="C282" s="3">
        <v>4</v>
      </c>
      <c r="D282" s="3" t="s">
        <v>319</v>
      </c>
      <c r="E282" s="3">
        <v>2</v>
      </c>
      <c r="F282" s="5" t="s">
        <v>22</v>
      </c>
      <c r="G282" s="3" t="s">
        <v>15</v>
      </c>
      <c r="H282" s="7" t="s">
        <v>13</v>
      </c>
    </row>
    <row r="283" spans="1:8" x14ac:dyDescent="0.25">
      <c r="A283" s="3" t="str">
        <f t="shared" si="7"/>
        <v>FEDXDM8</v>
      </c>
      <c r="B283" s="3" t="s">
        <v>241</v>
      </c>
      <c r="C283" s="3">
        <v>4</v>
      </c>
      <c r="D283" s="3" t="s">
        <v>320</v>
      </c>
      <c r="E283" s="3">
        <v>3</v>
      </c>
      <c r="F283" s="3" t="s">
        <v>19</v>
      </c>
      <c r="G283" s="3" t="s">
        <v>15</v>
      </c>
      <c r="H283" s="7" t="s">
        <v>13</v>
      </c>
    </row>
    <row r="284" spans="1:8" x14ac:dyDescent="0.25">
      <c r="A284" s="3" t="str">
        <f t="shared" si="7"/>
        <v>FEDXDM8</v>
      </c>
      <c r="B284" s="3" t="s">
        <v>241</v>
      </c>
      <c r="C284" s="3">
        <v>4</v>
      </c>
      <c r="D284" s="3" t="s">
        <v>321</v>
      </c>
      <c r="E284" s="3">
        <v>3</v>
      </c>
      <c r="F284" s="3" t="s">
        <v>22</v>
      </c>
      <c r="G284" s="3" t="s">
        <v>15</v>
      </c>
      <c r="H284" s="7" t="s">
        <v>13</v>
      </c>
    </row>
    <row r="285" spans="1:8" x14ac:dyDescent="0.25">
      <c r="A285" s="3" t="str">
        <f t="shared" si="7"/>
        <v>FEDXDM8</v>
      </c>
      <c r="B285" s="3" t="s">
        <v>241</v>
      </c>
      <c r="C285" s="3">
        <v>4</v>
      </c>
      <c r="D285" s="3" t="s">
        <v>322</v>
      </c>
      <c r="E285" s="3">
        <v>4</v>
      </c>
      <c r="F285" s="3" t="s">
        <v>19</v>
      </c>
      <c r="G285" s="3" t="s">
        <v>26</v>
      </c>
      <c r="H285" s="7" t="s">
        <v>13</v>
      </c>
    </row>
    <row r="286" spans="1:8" x14ac:dyDescent="0.25">
      <c r="A286" s="3" t="str">
        <f>REPLACE("FEDXDF8",6,1,"M")</f>
        <v>FEDXDM8</v>
      </c>
      <c r="B286" s="3" t="s">
        <v>241</v>
      </c>
      <c r="C286" s="3">
        <v>4</v>
      </c>
      <c r="D286" s="3" t="s">
        <v>323</v>
      </c>
      <c r="E286" s="3">
        <v>4</v>
      </c>
      <c r="F286" s="3" t="s">
        <v>22</v>
      </c>
      <c r="G286" s="3" t="s">
        <v>26</v>
      </c>
      <c r="H286" s="7" t="s">
        <v>13</v>
      </c>
    </row>
    <row r="287" spans="1:8" x14ac:dyDescent="0.25">
      <c r="A287" s="3" t="str">
        <f>REPLACE("FEDXDF9",6,1,"M")</f>
        <v>FEDXDM9</v>
      </c>
      <c r="B287" s="3" t="s">
        <v>241</v>
      </c>
      <c r="C287" s="3">
        <v>4</v>
      </c>
      <c r="D287" s="3" t="s">
        <v>324</v>
      </c>
      <c r="E287" s="3">
        <v>0</v>
      </c>
      <c r="F287" s="3" t="s">
        <v>11</v>
      </c>
      <c r="G287" s="3" t="s">
        <v>12</v>
      </c>
      <c r="H287" s="7" t="s">
        <v>13</v>
      </c>
    </row>
    <row r="288" spans="1:8" x14ac:dyDescent="0.25">
      <c r="A288" s="3" t="str">
        <f t="shared" ref="A288:A296" si="8">REPLACE("FEDXDF9",6,1,"M")</f>
        <v>FEDXDM9</v>
      </c>
      <c r="B288" s="3" t="s">
        <v>241</v>
      </c>
      <c r="C288" s="3">
        <v>4</v>
      </c>
      <c r="D288" s="3" t="s">
        <v>325</v>
      </c>
      <c r="E288" s="3">
        <v>0</v>
      </c>
      <c r="F288" s="3" t="s">
        <v>11</v>
      </c>
      <c r="G288" s="3" t="s">
        <v>15</v>
      </c>
      <c r="H288" s="7" t="s">
        <v>13</v>
      </c>
    </row>
    <row r="289" spans="1:8" x14ac:dyDescent="0.25">
      <c r="A289" s="3" t="str">
        <f t="shared" si="8"/>
        <v>FEDXDM9</v>
      </c>
      <c r="B289" s="3" t="s">
        <v>241</v>
      </c>
      <c r="C289" s="3">
        <v>4</v>
      </c>
      <c r="D289" s="3" t="s">
        <v>326</v>
      </c>
      <c r="E289" s="3">
        <v>1</v>
      </c>
      <c r="F289" s="3" t="s">
        <v>17</v>
      </c>
      <c r="G289" s="3" t="s">
        <v>15</v>
      </c>
      <c r="H289" s="7" t="s">
        <v>13</v>
      </c>
    </row>
    <row r="290" spans="1:8" x14ac:dyDescent="0.25">
      <c r="A290" s="3" t="str">
        <f t="shared" si="8"/>
        <v>FEDXDM9</v>
      </c>
      <c r="B290" s="3" t="s">
        <v>241</v>
      </c>
      <c r="C290" s="3">
        <v>4</v>
      </c>
      <c r="D290" s="3" t="s">
        <v>327</v>
      </c>
      <c r="E290" s="3">
        <v>1</v>
      </c>
      <c r="F290" s="3" t="s">
        <v>19</v>
      </c>
      <c r="G290" s="3" t="s">
        <v>15</v>
      </c>
      <c r="H290" s="7" t="s">
        <v>13</v>
      </c>
    </row>
    <row r="291" spans="1:8" x14ac:dyDescent="0.25">
      <c r="A291" s="3" t="str">
        <f t="shared" si="8"/>
        <v>FEDXDM9</v>
      </c>
      <c r="B291" s="3" t="s">
        <v>241</v>
      </c>
      <c r="C291" s="3">
        <v>4</v>
      </c>
      <c r="D291" s="3" t="s">
        <v>328</v>
      </c>
      <c r="E291" s="3">
        <v>2</v>
      </c>
      <c r="F291" s="3" t="s">
        <v>17</v>
      </c>
      <c r="G291" s="3" t="s">
        <v>15</v>
      </c>
      <c r="H291" s="7" t="s">
        <v>13</v>
      </c>
    </row>
    <row r="292" spans="1:8" x14ac:dyDescent="0.25">
      <c r="A292" s="3" t="str">
        <f t="shared" si="8"/>
        <v>FEDXDM9</v>
      </c>
      <c r="B292" s="3" t="s">
        <v>241</v>
      </c>
      <c r="C292" s="3">
        <v>4</v>
      </c>
      <c r="D292" s="3" t="s">
        <v>329</v>
      </c>
      <c r="E292" s="3">
        <v>2</v>
      </c>
      <c r="F292" s="5" t="s">
        <v>22</v>
      </c>
      <c r="G292" s="3" t="s">
        <v>15</v>
      </c>
      <c r="H292" s="7" t="s">
        <v>13</v>
      </c>
    </row>
    <row r="293" spans="1:8" x14ac:dyDescent="0.25">
      <c r="A293" s="3" t="str">
        <f t="shared" si="8"/>
        <v>FEDXDM9</v>
      </c>
      <c r="B293" s="3" t="s">
        <v>241</v>
      </c>
      <c r="C293" s="3">
        <v>4</v>
      </c>
      <c r="D293" s="3" t="s">
        <v>330</v>
      </c>
      <c r="E293" s="3">
        <v>3</v>
      </c>
      <c r="F293" s="3" t="s">
        <v>19</v>
      </c>
      <c r="G293" s="3" t="s">
        <v>15</v>
      </c>
      <c r="H293" s="7" t="s">
        <v>13</v>
      </c>
    </row>
    <row r="294" spans="1:8" x14ac:dyDescent="0.25">
      <c r="A294" s="3" t="str">
        <f t="shared" si="8"/>
        <v>FEDXDM9</v>
      </c>
      <c r="B294" s="3" t="s">
        <v>241</v>
      </c>
      <c r="C294" s="3">
        <v>4</v>
      </c>
      <c r="D294" s="3" t="s">
        <v>331</v>
      </c>
      <c r="E294" s="3">
        <v>3</v>
      </c>
      <c r="F294" s="3" t="s">
        <v>22</v>
      </c>
      <c r="G294" s="3" t="s">
        <v>15</v>
      </c>
      <c r="H294" s="7" t="s">
        <v>13</v>
      </c>
    </row>
    <row r="295" spans="1:8" x14ac:dyDescent="0.25">
      <c r="A295" s="3" t="str">
        <f t="shared" si="8"/>
        <v>FEDXDM9</v>
      </c>
      <c r="B295" s="3" t="s">
        <v>241</v>
      </c>
      <c r="C295" s="3">
        <v>4</v>
      </c>
      <c r="D295" s="3" t="s">
        <v>332</v>
      </c>
      <c r="E295" s="3">
        <v>4</v>
      </c>
      <c r="F295" s="3" t="s">
        <v>19</v>
      </c>
      <c r="G295" s="3" t="s">
        <v>26</v>
      </c>
      <c r="H295" s="7" t="s">
        <v>13</v>
      </c>
    </row>
    <row r="296" spans="1:8" x14ac:dyDescent="0.25">
      <c r="A296" s="3" t="str">
        <f t="shared" si="8"/>
        <v>FEDXDM9</v>
      </c>
      <c r="B296" s="3" t="s">
        <v>241</v>
      </c>
      <c r="C296" s="3">
        <v>4</v>
      </c>
      <c r="D296" s="3" t="s">
        <v>333</v>
      </c>
      <c r="E296" s="3">
        <v>4</v>
      </c>
      <c r="F296" s="3" t="s">
        <v>22</v>
      </c>
      <c r="G296" s="3" t="s">
        <v>26</v>
      </c>
      <c r="H296" s="7" t="s">
        <v>13</v>
      </c>
    </row>
    <row r="297" spans="1:8" x14ac:dyDescent="0.25">
      <c r="A297" s="3" t="str">
        <f>REPLACE("FEDXDF10",6,1,"M")</f>
        <v>FEDXDM10</v>
      </c>
      <c r="B297" s="3" t="s">
        <v>241</v>
      </c>
      <c r="C297" s="3">
        <v>4</v>
      </c>
      <c r="D297" s="3" t="s">
        <v>334</v>
      </c>
      <c r="E297" s="3">
        <v>0</v>
      </c>
      <c r="F297" s="3" t="s">
        <v>11</v>
      </c>
      <c r="G297" s="3" t="s">
        <v>12</v>
      </c>
      <c r="H297" s="7" t="s">
        <v>13</v>
      </c>
    </row>
    <row r="298" spans="1:8" x14ac:dyDescent="0.25">
      <c r="A298" s="3" t="str">
        <f t="shared" ref="A298:A306" si="9">REPLACE("FEDXDF10",6,1,"M")</f>
        <v>FEDXDM10</v>
      </c>
      <c r="B298" s="3" t="s">
        <v>241</v>
      </c>
      <c r="C298" s="3">
        <v>4</v>
      </c>
      <c r="D298" s="3" t="s">
        <v>335</v>
      </c>
      <c r="E298" s="3">
        <v>0</v>
      </c>
      <c r="F298" s="3" t="s">
        <v>11</v>
      </c>
      <c r="G298" s="3" t="s">
        <v>15</v>
      </c>
      <c r="H298" s="7" t="s">
        <v>13</v>
      </c>
    </row>
    <row r="299" spans="1:8" x14ac:dyDescent="0.25">
      <c r="A299" s="3" t="str">
        <f t="shared" si="9"/>
        <v>FEDXDM10</v>
      </c>
      <c r="B299" s="3" t="s">
        <v>241</v>
      </c>
      <c r="C299" s="3">
        <v>4</v>
      </c>
      <c r="D299" s="3" t="s">
        <v>336</v>
      </c>
      <c r="E299" s="3">
        <v>1</v>
      </c>
      <c r="F299" s="3" t="s">
        <v>17</v>
      </c>
      <c r="G299" s="3" t="s">
        <v>15</v>
      </c>
      <c r="H299" s="7" t="s">
        <v>13</v>
      </c>
    </row>
    <row r="300" spans="1:8" x14ac:dyDescent="0.25">
      <c r="A300" s="3" t="str">
        <f t="shared" si="9"/>
        <v>FEDXDM10</v>
      </c>
      <c r="B300" s="3" t="s">
        <v>241</v>
      </c>
      <c r="C300" s="3">
        <v>4</v>
      </c>
      <c r="D300" s="3" t="s">
        <v>337</v>
      </c>
      <c r="E300" s="3">
        <v>1</v>
      </c>
      <c r="F300" s="3" t="s">
        <v>19</v>
      </c>
      <c r="G300" s="3" t="s">
        <v>15</v>
      </c>
      <c r="H300" s="7" t="s">
        <v>13</v>
      </c>
    </row>
    <row r="301" spans="1:8" x14ac:dyDescent="0.25">
      <c r="A301" s="3" t="str">
        <f t="shared" si="9"/>
        <v>FEDXDM10</v>
      </c>
      <c r="B301" s="3" t="s">
        <v>241</v>
      </c>
      <c r="C301" s="3">
        <v>4</v>
      </c>
      <c r="D301" s="3" t="s">
        <v>338</v>
      </c>
      <c r="E301" s="3">
        <v>2</v>
      </c>
      <c r="F301" s="3" t="s">
        <v>17</v>
      </c>
      <c r="G301" s="3" t="s">
        <v>15</v>
      </c>
      <c r="H301" s="7" t="s">
        <v>13</v>
      </c>
    </row>
    <row r="302" spans="1:8" x14ac:dyDescent="0.25">
      <c r="A302" s="3" t="str">
        <f t="shared" si="9"/>
        <v>FEDXDM10</v>
      </c>
      <c r="B302" s="3" t="s">
        <v>241</v>
      </c>
      <c r="C302" s="3">
        <v>4</v>
      </c>
      <c r="D302" s="3" t="s">
        <v>339</v>
      </c>
      <c r="E302" s="3">
        <v>2</v>
      </c>
      <c r="F302" s="5" t="s">
        <v>22</v>
      </c>
      <c r="G302" s="3" t="s">
        <v>15</v>
      </c>
      <c r="H302" s="7" t="s">
        <v>13</v>
      </c>
    </row>
    <row r="303" spans="1:8" x14ac:dyDescent="0.25">
      <c r="A303" s="3" t="str">
        <f t="shared" si="9"/>
        <v>FEDXDM10</v>
      </c>
      <c r="B303" s="3" t="s">
        <v>241</v>
      </c>
      <c r="C303" s="3">
        <v>4</v>
      </c>
      <c r="D303" s="3" t="s">
        <v>340</v>
      </c>
      <c r="E303" s="3">
        <v>3</v>
      </c>
      <c r="F303" s="3" t="s">
        <v>19</v>
      </c>
      <c r="G303" s="3" t="s">
        <v>15</v>
      </c>
      <c r="H303" s="7" t="s">
        <v>13</v>
      </c>
    </row>
    <row r="304" spans="1:8" x14ac:dyDescent="0.25">
      <c r="A304" s="3" t="str">
        <f t="shared" si="9"/>
        <v>FEDXDM10</v>
      </c>
      <c r="B304" s="3" t="s">
        <v>241</v>
      </c>
      <c r="C304" s="3">
        <v>4</v>
      </c>
      <c r="D304" s="3" t="s">
        <v>341</v>
      </c>
      <c r="E304" s="3">
        <v>3</v>
      </c>
      <c r="F304" s="3" t="s">
        <v>22</v>
      </c>
      <c r="G304" s="3" t="s">
        <v>15</v>
      </c>
      <c r="H304" s="7" t="s">
        <v>13</v>
      </c>
    </row>
    <row r="305" spans="1:8" x14ac:dyDescent="0.25">
      <c r="A305" s="3" t="str">
        <f t="shared" si="9"/>
        <v>FEDXDM10</v>
      </c>
      <c r="B305" s="3" t="s">
        <v>241</v>
      </c>
      <c r="C305" s="3">
        <v>4</v>
      </c>
      <c r="D305" s="3" t="s">
        <v>342</v>
      </c>
      <c r="E305" s="3">
        <v>4</v>
      </c>
      <c r="F305" s="3" t="s">
        <v>19</v>
      </c>
      <c r="G305" s="3" t="s">
        <v>26</v>
      </c>
      <c r="H305" s="7" t="s">
        <v>13</v>
      </c>
    </row>
    <row r="306" spans="1:8" x14ac:dyDescent="0.25">
      <c r="A306" s="3" t="str">
        <f t="shared" si="9"/>
        <v>FEDXDM10</v>
      </c>
      <c r="B306" s="3" t="s">
        <v>241</v>
      </c>
      <c r="C306" s="3">
        <v>4</v>
      </c>
      <c r="D306" s="3" t="s">
        <v>343</v>
      </c>
      <c r="E306" s="3">
        <v>4</v>
      </c>
      <c r="F306" s="3" t="s">
        <v>22</v>
      </c>
      <c r="G306" s="3" t="s">
        <v>26</v>
      </c>
      <c r="H306" s="7" t="s">
        <v>13</v>
      </c>
    </row>
    <row r="307" spans="1:8" x14ac:dyDescent="0.25">
      <c r="A307" s="3" t="str">
        <f>REPLACE("FEDXDF11",6,1,"M")</f>
        <v>FEDXDM11</v>
      </c>
      <c r="B307" s="3" t="s">
        <v>241</v>
      </c>
      <c r="C307" s="3">
        <v>3</v>
      </c>
      <c r="D307" s="3" t="s">
        <v>344</v>
      </c>
      <c r="E307" s="3">
        <v>0</v>
      </c>
      <c r="F307" s="3" t="s">
        <v>11</v>
      </c>
      <c r="G307" s="3" t="s">
        <v>12</v>
      </c>
      <c r="H307" s="3" t="s">
        <v>129</v>
      </c>
    </row>
    <row r="308" spans="1:8" x14ac:dyDescent="0.25">
      <c r="A308" s="3" t="str">
        <f t="shared" ref="A308:A316" si="10">REPLACE("FEDXDF11",6,1,"M")</f>
        <v>FEDXDM11</v>
      </c>
      <c r="B308" s="3" t="s">
        <v>241</v>
      </c>
      <c r="C308" s="3">
        <v>3</v>
      </c>
      <c r="D308" s="3" t="s">
        <v>345</v>
      </c>
      <c r="E308" s="3">
        <v>0</v>
      </c>
      <c r="F308" s="3" t="s">
        <v>11</v>
      </c>
      <c r="G308" s="3" t="s">
        <v>15</v>
      </c>
      <c r="H308" s="3" t="s">
        <v>129</v>
      </c>
    </row>
    <row r="309" spans="1:8" x14ac:dyDescent="0.25">
      <c r="A309" s="3" t="str">
        <f t="shared" si="10"/>
        <v>FEDXDM11</v>
      </c>
      <c r="B309" s="3" t="s">
        <v>241</v>
      </c>
      <c r="C309" s="3">
        <v>3</v>
      </c>
      <c r="D309" s="3" t="s">
        <v>346</v>
      </c>
      <c r="E309" s="3">
        <v>1</v>
      </c>
      <c r="F309" s="3" t="s">
        <v>17</v>
      </c>
      <c r="G309" s="3" t="s">
        <v>15</v>
      </c>
      <c r="H309" s="3" t="s">
        <v>129</v>
      </c>
    </row>
    <row r="310" spans="1:8" x14ac:dyDescent="0.25">
      <c r="A310" s="3" t="str">
        <f t="shared" si="10"/>
        <v>FEDXDM11</v>
      </c>
      <c r="B310" s="3" t="s">
        <v>241</v>
      </c>
      <c r="C310" s="3">
        <v>3</v>
      </c>
      <c r="D310" s="3" t="s">
        <v>347</v>
      </c>
      <c r="E310" s="3">
        <v>1</v>
      </c>
      <c r="F310" s="3" t="s">
        <v>19</v>
      </c>
      <c r="G310" s="3" t="s">
        <v>15</v>
      </c>
      <c r="H310" s="3" t="s">
        <v>129</v>
      </c>
    </row>
    <row r="311" spans="1:8" x14ac:dyDescent="0.25">
      <c r="A311" s="3" t="str">
        <f t="shared" si="10"/>
        <v>FEDXDM11</v>
      </c>
      <c r="B311" s="3" t="s">
        <v>241</v>
      </c>
      <c r="C311" s="3">
        <v>3</v>
      </c>
      <c r="D311" s="3" t="s">
        <v>348</v>
      </c>
      <c r="E311" s="3">
        <v>2</v>
      </c>
      <c r="F311" s="3" t="s">
        <v>17</v>
      </c>
      <c r="G311" s="3" t="s">
        <v>15</v>
      </c>
      <c r="H311" s="3" t="s">
        <v>129</v>
      </c>
    </row>
    <row r="312" spans="1:8" x14ac:dyDescent="0.25">
      <c r="A312" s="3" t="str">
        <f t="shared" si="10"/>
        <v>FEDXDM11</v>
      </c>
      <c r="B312" s="3" t="s">
        <v>241</v>
      </c>
      <c r="C312" s="3">
        <v>3</v>
      </c>
      <c r="D312" s="3" t="s">
        <v>349</v>
      </c>
      <c r="E312" s="3">
        <v>2</v>
      </c>
      <c r="F312" s="5" t="s">
        <v>22</v>
      </c>
      <c r="G312" s="3" t="s">
        <v>15</v>
      </c>
      <c r="H312" s="3" t="s">
        <v>129</v>
      </c>
    </row>
    <row r="313" spans="1:8" x14ac:dyDescent="0.25">
      <c r="A313" s="3" t="str">
        <f t="shared" si="10"/>
        <v>FEDXDM11</v>
      </c>
      <c r="B313" s="3" t="s">
        <v>241</v>
      </c>
      <c r="C313" s="3">
        <v>3</v>
      </c>
      <c r="D313" s="3" t="s">
        <v>350</v>
      </c>
      <c r="E313" s="3">
        <v>3</v>
      </c>
      <c r="F313" s="3" t="s">
        <v>19</v>
      </c>
      <c r="G313" s="3" t="s">
        <v>15</v>
      </c>
      <c r="H313" s="3" t="s">
        <v>129</v>
      </c>
    </row>
    <row r="314" spans="1:8" x14ac:dyDescent="0.25">
      <c r="A314" s="3" t="str">
        <f t="shared" si="10"/>
        <v>FEDXDM11</v>
      </c>
      <c r="B314" s="3" t="s">
        <v>241</v>
      </c>
      <c r="C314" s="3">
        <v>3</v>
      </c>
      <c r="D314" s="3" t="s">
        <v>351</v>
      </c>
      <c r="E314" s="3">
        <v>3</v>
      </c>
      <c r="F314" s="3" t="s">
        <v>22</v>
      </c>
      <c r="G314" s="3" t="s">
        <v>15</v>
      </c>
      <c r="H314" s="3" t="s">
        <v>129</v>
      </c>
    </row>
    <row r="315" spans="1:8" x14ac:dyDescent="0.25">
      <c r="A315" s="3" t="str">
        <f t="shared" si="10"/>
        <v>FEDXDM11</v>
      </c>
      <c r="B315" s="3" t="s">
        <v>241</v>
      </c>
      <c r="C315" s="3">
        <v>3</v>
      </c>
      <c r="D315" s="3" t="s">
        <v>352</v>
      </c>
      <c r="E315" s="3">
        <v>4</v>
      </c>
      <c r="F315" s="3" t="s">
        <v>19</v>
      </c>
      <c r="G315" s="3" t="s">
        <v>26</v>
      </c>
      <c r="H315" s="3" t="s">
        <v>129</v>
      </c>
    </row>
    <row r="316" spans="1:8" x14ac:dyDescent="0.25">
      <c r="A316" s="3" t="str">
        <f t="shared" si="10"/>
        <v>FEDXDM11</v>
      </c>
      <c r="B316" s="3" t="s">
        <v>241</v>
      </c>
      <c r="C316" s="3">
        <v>3</v>
      </c>
      <c r="D316" s="3" t="s">
        <v>353</v>
      </c>
      <c r="E316" s="3">
        <v>4</v>
      </c>
      <c r="F316" s="3" t="s">
        <v>22</v>
      </c>
      <c r="G316" s="3" t="s">
        <v>26</v>
      </c>
      <c r="H316" s="3" t="s">
        <v>129</v>
      </c>
    </row>
    <row r="317" spans="1:8" x14ac:dyDescent="0.25">
      <c r="A317" s="3" t="str">
        <f>REPLACE("FEDXDF12",6,1,"M")</f>
        <v>FEDXDM12</v>
      </c>
      <c r="B317" s="3" t="s">
        <v>241</v>
      </c>
      <c r="C317" s="3">
        <v>3</v>
      </c>
      <c r="D317" s="3" t="s">
        <v>354</v>
      </c>
      <c r="E317" s="3">
        <v>0</v>
      </c>
      <c r="F317" s="3" t="s">
        <v>11</v>
      </c>
      <c r="G317" s="3" t="s">
        <v>12</v>
      </c>
      <c r="H317" s="3" t="s">
        <v>129</v>
      </c>
    </row>
    <row r="318" spans="1:8" x14ac:dyDescent="0.25">
      <c r="A318" s="3" t="str">
        <f t="shared" ref="A318:A326" si="11">REPLACE("FEDXDF12",6,1,"M")</f>
        <v>FEDXDM12</v>
      </c>
      <c r="B318" s="3" t="s">
        <v>241</v>
      </c>
      <c r="C318" s="3">
        <v>3</v>
      </c>
      <c r="D318" s="3" t="s">
        <v>355</v>
      </c>
      <c r="E318" s="3">
        <v>0</v>
      </c>
      <c r="F318" s="3" t="s">
        <v>11</v>
      </c>
      <c r="G318" s="3" t="s">
        <v>15</v>
      </c>
      <c r="H318" s="3" t="s">
        <v>129</v>
      </c>
    </row>
    <row r="319" spans="1:8" x14ac:dyDescent="0.25">
      <c r="A319" s="3" t="str">
        <f t="shared" si="11"/>
        <v>FEDXDM12</v>
      </c>
      <c r="B319" s="3" t="s">
        <v>241</v>
      </c>
      <c r="C319" s="3">
        <v>3</v>
      </c>
      <c r="D319" s="3" t="s">
        <v>356</v>
      </c>
      <c r="E319" s="3">
        <v>1</v>
      </c>
      <c r="F319" s="3" t="s">
        <v>17</v>
      </c>
      <c r="G319" s="3" t="s">
        <v>15</v>
      </c>
      <c r="H319" s="3" t="s">
        <v>129</v>
      </c>
    </row>
    <row r="320" spans="1:8" x14ac:dyDescent="0.25">
      <c r="A320" s="3" t="str">
        <f t="shared" si="11"/>
        <v>FEDXDM12</v>
      </c>
      <c r="B320" s="3" t="s">
        <v>241</v>
      </c>
      <c r="C320" s="3">
        <v>3</v>
      </c>
      <c r="D320" s="3" t="s">
        <v>357</v>
      </c>
      <c r="E320" s="3">
        <v>1</v>
      </c>
      <c r="F320" s="3" t="s">
        <v>19</v>
      </c>
      <c r="G320" s="3" t="s">
        <v>15</v>
      </c>
      <c r="H320" s="3" t="s">
        <v>129</v>
      </c>
    </row>
    <row r="321" spans="1:8" x14ac:dyDescent="0.25">
      <c r="A321" s="3" t="str">
        <f t="shared" si="11"/>
        <v>FEDXDM12</v>
      </c>
      <c r="B321" s="3" t="s">
        <v>241</v>
      </c>
      <c r="C321" s="3">
        <v>3</v>
      </c>
      <c r="D321" s="3" t="s">
        <v>358</v>
      </c>
      <c r="E321" s="3">
        <v>2</v>
      </c>
      <c r="F321" s="3" t="s">
        <v>17</v>
      </c>
      <c r="G321" s="3" t="s">
        <v>15</v>
      </c>
      <c r="H321" s="3" t="s">
        <v>129</v>
      </c>
    </row>
    <row r="322" spans="1:8" x14ac:dyDescent="0.25">
      <c r="A322" s="3" t="str">
        <f t="shared" si="11"/>
        <v>FEDXDM12</v>
      </c>
      <c r="B322" s="3" t="s">
        <v>241</v>
      </c>
      <c r="C322" s="3">
        <v>3</v>
      </c>
      <c r="D322" s="3" t="s">
        <v>359</v>
      </c>
      <c r="E322" s="3">
        <v>2</v>
      </c>
      <c r="F322" s="5" t="s">
        <v>22</v>
      </c>
      <c r="G322" s="3" t="s">
        <v>15</v>
      </c>
      <c r="H322" s="3" t="s">
        <v>129</v>
      </c>
    </row>
    <row r="323" spans="1:8" x14ac:dyDescent="0.25">
      <c r="A323" s="3" t="str">
        <f t="shared" si="11"/>
        <v>FEDXDM12</v>
      </c>
      <c r="B323" s="3" t="s">
        <v>241</v>
      </c>
      <c r="C323" s="3">
        <v>3</v>
      </c>
      <c r="D323" s="3" t="s">
        <v>360</v>
      </c>
      <c r="E323" s="3">
        <v>3</v>
      </c>
      <c r="F323" s="3" t="s">
        <v>19</v>
      </c>
      <c r="G323" s="3" t="s">
        <v>15</v>
      </c>
      <c r="H323" s="3" t="s">
        <v>129</v>
      </c>
    </row>
    <row r="324" spans="1:8" x14ac:dyDescent="0.25">
      <c r="A324" s="3" t="str">
        <f t="shared" si="11"/>
        <v>FEDXDM12</v>
      </c>
      <c r="B324" s="3" t="s">
        <v>241</v>
      </c>
      <c r="C324" s="3">
        <v>3</v>
      </c>
      <c r="D324" s="3" t="s">
        <v>361</v>
      </c>
      <c r="E324" s="3">
        <v>3</v>
      </c>
      <c r="F324" s="3" t="s">
        <v>22</v>
      </c>
      <c r="G324" s="3" t="s">
        <v>15</v>
      </c>
      <c r="H324" s="3" t="s">
        <v>129</v>
      </c>
    </row>
    <row r="325" spans="1:8" x14ac:dyDescent="0.25">
      <c r="A325" s="3" t="str">
        <f t="shared" si="11"/>
        <v>FEDXDM12</v>
      </c>
      <c r="B325" s="3" t="s">
        <v>241</v>
      </c>
      <c r="C325" s="3">
        <v>3</v>
      </c>
      <c r="D325" s="3" t="s">
        <v>362</v>
      </c>
      <c r="E325" s="3">
        <v>4</v>
      </c>
      <c r="F325" s="3" t="s">
        <v>19</v>
      </c>
      <c r="G325" s="3" t="s">
        <v>26</v>
      </c>
      <c r="H325" s="3" t="s">
        <v>129</v>
      </c>
    </row>
    <row r="326" spans="1:8" x14ac:dyDescent="0.25">
      <c r="A326" s="3" t="str">
        <f t="shared" si="11"/>
        <v>FEDXDM12</v>
      </c>
      <c r="B326" s="3" t="s">
        <v>241</v>
      </c>
      <c r="C326" s="3">
        <v>3</v>
      </c>
      <c r="D326" s="3" t="s">
        <v>363</v>
      </c>
      <c r="E326" s="3">
        <v>4</v>
      </c>
      <c r="F326" s="3" t="s">
        <v>22</v>
      </c>
      <c r="G326" s="3" t="s">
        <v>26</v>
      </c>
      <c r="H326" s="3" t="s">
        <v>129</v>
      </c>
    </row>
    <row r="327" spans="1:8" x14ac:dyDescent="0.25">
      <c r="A327" s="3" t="str">
        <f>REPLACE("FEDXDF13",6,1,"M")</f>
        <v>FEDXDM13</v>
      </c>
      <c r="B327" s="3" t="s">
        <v>241</v>
      </c>
      <c r="C327" s="3">
        <v>3</v>
      </c>
      <c r="D327" s="3" t="s">
        <v>364</v>
      </c>
      <c r="E327" s="3">
        <v>0</v>
      </c>
      <c r="F327" s="3" t="s">
        <v>11</v>
      </c>
      <c r="G327" s="3" t="s">
        <v>12</v>
      </c>
      <c r="H327" s="3" t="s">
        <v>129</v>
      </c>
    </row>
    <row r="328" spans="1:8" x14ac:dyDescent="0.25">
      <c r="A328" s="3" t="str">
        <f t="shared" ref="A328:A336" si="12">REPLACE("FEDXDF13",6,1,"M")</f>
        <v>FEDXDM13</v>
      </c>
      <c r="B328" s="3" t="s">
        <v>241</v>
      </c>
      <c r="C328" s="3">
        <v>3</v>
      </c>
      <c r="D328" s="3" t="s">
        <v>365</v>
      </c>
      <c r="E328" s="3">
        <v>0</v>
      </c>
      <c r="F328" s="3" t="s">
        <v>11</v>
      </c>
      <c r="G328" s="3" t="s">
        <v>15</v>
      </c>
      <c r="H328" s="3" t="s">
        <v>129</v>
      </c>
    </row>
    <row r="329" spans="1:8" x14ac:dyDescent="0.25">
      <c r="A329" s="3" t="str">
        <f t="shared" si="12"/>
        <v>FEDXDM13</v>
      </c>
      <c r="B329" s="3" t="s">
        <v>241</v>
      </c>
      <c r="C329" s="3">
        <v>3</v>
      </c>
      <c r="D329" s="3" t="s">
        <v>366</v>
      </c>
      <c r="E329" s="3">
        <v>1</v>
      </c>
      <c r="F329" s="3" t="s">
        <v>17</v>
      </c>
      <c r="G329" s="3" t="s">
        <v>15</v>
      </c>
      <c r="H329" s="3" t="s">
        <v>129</v>
      </c>
    </row>
    <row r="330" spans="1:8" x14ac:dyDescent="0.25">
      <c r="A330" s="3" t="str">
        <f t="shared" si="12"/>
        <v>FEDXDM13</v>
      </c>
      <c r="B330" s="3" t="s">
        <v>241</v>
      </c>
      <c r="C330" s="3">
        <v>3</v>
      </c>
      <c r="D330" s="3" t="s">
        <v>367</v>
      </c>
      <c r="E330" s="3">
        <v>1</v>
      </c>
      <c r="F330" s="3" t="s">
        <v>19</v>
      </c>
      <c r="G330" s="3" t="s">
        <v>15</v>
      </c>
      <c r="H330" s="3" t="s">
        <v>129</v>
      </c>
    </row>
    <row r="331" spans="1:8" x14ac:dyDescent="0.25">
      <c r="A331" s="3" t="str">
        <f t="shared" si="12"/>
        <v>FEDXDM13</v>
      </c>
      <c r="B331" s="3" t="s">
        <v>241</v>
      </c>
      <c r="C331" s="3">
        <v>3</v>
      </c>
      <c r="D331" s="3" t="s">
        <v>368</v>
      </c>
      <c r="E331" s="3">
        <v>2</v>
      </c>
      <c r="F331" s="3" t="s">
        <v>17</v>
      </c>
      <c r="G331" s="3" t="s">
        <v>15</v>
      </c>
      <c r="H331" s="3" t="s">
        <v>129</v>
      </c>
    </row>
    <row r="332" spans="1:8" x14ac:dyDescent="0.25">
      <c r="A332" s="3" t="str">
        <f t="shared" si="12"/>
        <v>FEDXDM13</v>
      </c>
      <c r="B332" s="3" t="s">
        <v>241</v>
      </c>
      <c r="C332" s="3">
        <v>3</v>
      </c>
      <c r="D332" s="3" t="s">
        <v>369</v>
      </c>
      <c r="E332" s="3">
        <v>2</v>
      </c>
      <c r="F332" s="5" t="s">
        <v>22</v>
      </c>
      <c r="G332" s="3" t="s">
        <v>15</v>
      </c>
      <c r="H332" s="3" t="s">
        <v>129</v>
      </c>
    </row>
    <row r="333" spans="1:8" x14ac:dyDescent="0.25">
      <c r="A333" s="3" t="str">
        <f t="shared" si="12"/>
        <v>FEDXDM13</v>
      </c>
      <c r="B333" s="3" t="s">
        <v>241</v>
      </c>
      <c r="C333" s="3">
        <v>3</v>
      </c>
      <c r="D333" s="3" t="s">
        <v>370</v>
      </c>
      <c r="E333" s="3">
        <v>3</v>
      </c>
      <c r="F333" s="3" t="s">
        <v>19</v>
      </c>
      <c r="G333" s="3" t="s">
        <v>15</v>
      </c>
      <c r="H333" s="3" t="s">
        <v>129</v>
      </c>
    </row>
    <row r="334" spans="1:8" x14ac:dyDescent="0.25">
      <c r="A334" s="3" t="str">
        <f t="shared" si="12"/>
        <v>FEDXDM13</v>
      </c>
      <c r="B334" s="3" t="s">
        <v>241</v>
      </c>
      <c r="C334" s="3">
        <v>3</v>
      </c>
      <c r="D334" s="3" t="s">
        <v>371</v>
      </c>
      <c r="E334" s="3">
        <v>3</v>
      </c>
      <c r="F334" s="3" t="s">
        <v>22</v>
      </c>
      <c r="G334" s="3" t="s">
        <v>15</v>
      </c>
      <c r="H334" s="3" t="s">
        <v>129</v>
      </c>
    </row>
    <row r="335" spans="1:8" x14ac:dyDescent="0.25">
      <c r="A335" s="3" t="str">
        <f t="shared" si="12"/>
        <v>FEDXDM13</v>
      </c>
      <c r="B335" s="3" t="s">
        <v>241</v>
      </c>
      <c r="C335" s="3">
        <v>3</v>
      </c>
      <c r="D335" s="3" t="s">
        <v>372</v>
      </c>
      <c r="E335" s="3">
        <v>4</v>
      </c>
      <c r="F335" s="3" t="s">
        <v>19</v>
      </c>
      <c r="G335" s="3" t="s">
        <v>26</v>
      </c>
      <c r="H335" s="3" t="s">
        <v>129</v>
      </c>
    </row>
    <row r="336" spans="1:8" x14ac:dyDescent="0.25">
      <c r="A336" s="3" t="str">
        <f t="shared" si="12"/>
        <v>FEDXDM13</v>
      </c>
      <c r="B336" s="3" t="s">
        <v>241</v>
      </c>
      <c r="C336" s="3">
        <v>3</v>
      </c>
      <c r="D336" s="3" t="s">
        <v>373</v>
      </c>
      <c r="E336" s="3">
        <v>4</v>
      </c>
      <c r="F336" s="3" t="s">
        <v>22</v>
      </c>
      <c r="G336" s="3" t="s">
        <v>26</v>
      </c>
      <c r="H336" s="3" t="s">
        <v>129</v>
      </c>
    </row>
    <row r="337" spans="1:8" x14ac:dyDescent="0.25">
      <c r="A337" s="3" t="str">
        <f>REPLACE("FEDXDF14",6,1,"M")</f>
        <v>FEDXDM14</v>
      </c>
      <c r="B337" s="3" t="s">
        <v>241</v>
      </c>
      <c r="C337" s="3">
        <v>3</v>
      </c>
      <c r="D337" s="3" t="s">
        <v>374</v>
      </c>
      <c r="E337" s="3">
        <v>0</v>
      </c>
      <c r="F337" s="3" t="s">
        <v>11</v>
      </c>
      <c r="G337" s="3" t="s">
        <v>12</v>
      </c>
      <c r="H337" s="3" t="s">
        <v>129</v>
      </c>
    </row>
    <row r="338" spans="1:8" x14ac:dyDescent="0.25">
      <c r="A338" s="3" t="str">
        <f t="shared" ref="A338:A346" si="13">REPLACE("FEDXDF14",6,1,"M")</f>
        <v>FEDXDM14</v>
      </c>
      <c r="B338" s="3" t="s">
        <v>241</v>
      </c>
      <c r="C338" s="3">
        <v>3</v>
      </c>
      <c r="D338" s="3" t="s">
        <v>375</v>
      </c>
      <c r="E338" s="3">
        <v>0</v>
      </c>
      <c r="F338" s="3" t="s">
        <v>11</v>
      </c>
      <c r="G338" s="3" t="s">
        <v>15</v>
      </c>
      <c r="H338" s="3" t="s">
        <v>129</v>
      </c>
    </row>
    <row r="339" spans="1:8" x14ac:dyDescent="0.25">
      <c r="A339" s="3" t="str">
        <f t="shared" si="13"/>
        <v>FEDXDM14</v>
      </c>
      <c r="B339" s="3" t="s">
        <v>241</v>
      </c>
      <c r="C339" s="3">
        <v>3</v>
      </c>
      <c r="D339" s="3" t="s">
        <v>376</v>
      </c>
      <c r="E339" s="3">
        <v>1</v>
      </c>
      <c r="F339" s="3" t="s">
        <v>17</v>
      </c>
      <c r="G339" s="3" t="s">
        <v>15</v>
      </c>
      <c r="H339" s="3" t="s">
        <v>129</v>
      </c>
    </row>
    <row r="340" spans="1:8" x14ac:dyDescent="0.25">
      <c r="A340" s="3" t="str">
        <f t="shared" si="13"/>
        <v>FEDXDM14</v>
      </c>
      <c r="B340" s="3" t="s">
        <v>241</v>
      </c>
      <c r="C340" s="3">
        <v>3</v>
      </c>
      <c r="D340" s="3" t="s">
        <v>377</v>
      </c>
      <c r="E340" s="3">
        <v>1</v>
      </c>
      <c r="F340" s="3" t="s">
        <v>19</v>
      </c>
      <c r="G340" s="3" t="s">
        <v>15</v>
      </c>
      <c r="H340" s="3" t="s">
        <v>129</v>
      </c>
    </row>
    <row r="341" spans="1:8" x14ac:dyDescent="0.25">
      <c r="A341" s="3" t="str">
        <f t="shared" si="13"/>
        <v>FEDXDM14</v>
      </c>
      <c r="B341" s="3" t="s">
        <v>241</v>
      </c>
      <c r="C341" s="3">
        <v>3</v>
      </c>
      <c r="D341" s="3" t="s">
        <v>378</v>
      </c>
      <c r="E341" s="3">
        <v>2</v>
      </c>
      <c r="F341" s="3" t="s">
        <v>17</v>
      </c>
      <c r="G341" s="3" t="s">
        <v>15</v>
      </c>
      <c r="H341" s="3" t="s">
        <v>129</v>
      </c>
    </row>
    <row r="342" spans="1:8" x14ac:dyDescent="0.25">
      <c r="A342" s="3" t="str">
        <f t="shared" si="13"/>
        <v>FEDXDM14</v>
      </c>
      <c r="B342" s="3" t="s">
        <v>241</v>
      </c>
      <c r="C342" s="3">
        <v>3</v>
      </c>
      <c r="D342" s="3" t="s">
        <v>379</v>
      </c>
      <c r="E342" s="3">
        <v>2</v>
      </c>
      <c r="F342" s="5" t="s">
        <v>22</v>
      </c>
      <c r="G342" s="3" t="s">
        <v>15</v>
      </c>
      <c r="H342" s="3" t="s">
        <v>129</v>
      </c>
    </row>
    <row r="343" spans="1:8" x14ac:dyDescent="0.25">
      <c r="A343" s="3" t="str">
        <f t="shared" si="13"/>
        <v>FEDXDM14</v>
      </c>
      <c r="B343" s="3" t="s">
        <v>241</v>
      </c>
      <c r="C343" s="3">
        <v>3</v>
      </c>
      <c r="D343" s="3" t="s">
        <v>380</v>
      </c>
      <c r="E343" s="3">
        <v>3</v>
      </c>
      <c r="F343" s="3" t="s">
        <v>19</v>
      </c>
      <c r="G343" s="3" t="s">
        <v>15</v>
      </c>
      <c r="H343" s="3" t="s">
        <v>129</v>
      </c>
    </row>
    <row r="344" spans="1:8" x14ac:dyDescent="0.25">
      <c r="A344" s="3" t="str">
        <f t="shared" si="13"/>
        <v>FEDXDM14</v>
      </c>
      <c r="B344" s="3" t="s">
        <v>241</v>
      </c>
      <c r="C344" s="3">
        <v>3</v>
      </c>
      <c r="D344" s="3" t="s">
        <v>381</v>
      </c>
      <c r="E344" s="3">
        <v>3</v>
      </c>
      <c r="F344" s="3" t="s">
        <v>22</v>
      </c>
      <c r="G344" s="3" t="s">
        <v>15</v>
      </c>
      <c r="H344" s="3" t="s">
        <v>129</v>
      </c>
    </row>
    <row r="345" spans="1:8" x14ac:dyDescent="0.25">
      <c r="A345" s="3" t="str">
        <f t="shared" si="13"/>
        <v>FEDXDM14</v>
      </c>
      <c r="B345" s="3" t="s">
        <v>241</v>
      </c>
      <c r="C345" s="3">
        <v>3</v>
      </c>
      <c r="D345" s="3" t="s">
        <v>382</v>
      </c>
      <c r="E345" s="3">
        <v>4</v>
      </c>
      <c r="F345" s="3" t="s">
        <v>19</v>
      </c>
      <c r="G345" s="3" t="s">
        <v>26</v>
      </c>
      <c r="H345" s="3" t="s">
        <v>129</v>
      </c>
    </row>
    <row r="346" spans="1:8" x14ac:dyDescent="0.25">
      <c r="A346" s="3" t="str">
        <f t="shared" si="13"/>
        <v>FEDXDM14</v>
      </c>
      <c r="B346" s="3" t="s">
        <v>241</v>
      </c>
      <c r="C346" s="3">
        <v>3</v>
      </c>
      <c r="D346" s="3" t="s">
        <v>383</v>
      </c>
      <c r="E346" s="3">
        <v>4</v>
      </c>
      <c r="F346" s="3" t="s">
        <v>22</v>
      </c>
      <c r="G346" s="3" t="s">
        <v>26</v>
      </c>
      <c r="H346" s="3" t="s">
        <v>129</v>
      </c>
    </row>
    <row r="347" spans="1:8" x14ac:dyDescent="0.25">
      <c r="A347" s="3" t="str">
        <f>REPLACE("FEDXDF15",6,1,"M")</f>
        <v>FEDXDM15</v>
      </c>
      <c r="B347" s="3" t="s">
        <v>241</v>
      </c>
      <c r="C347" s="3">
        <v>3</v>
      </c>
      <c r="D347" s="3" t="s">
        <v>384</v>
      </c>
      <c r="E347" s="3">
        <v>0</v>
      </c>
      <c r="F347" s="3" t="s">
        <v>11</v>
      </c>
      <c r="G347" s="3" t="s">
        <v>12</v>
      </c>
      <c r="H347" s="3" t="s">
        <v>129</v>
      </c>
    </row>
    <row r="348" spans="1:8" x14ac:dyDescent="0.25">
      <c r="A348" s="3" t="str">
        <f t="shared" ref="A348:A356" si="14">REPLACE("FEDXDF15",6,1,"M")</f>
        <v>FEDXDM15</v>
      </c>
      <c r="B348" s="3" t="s">
        <v>241</v>
      </c>
      <c r="C348" s="3">
        <v>3</v>
      </c>
      <c r="D348" s="3" t="s">
        <v>385</v>
      </c>
      <c r="E348" s="3">
        <v>0</v>
      </c>
      <c r="F348" s="3" t="s">
        <v>11</v>
      </c>
      <c r="G348" s="3" t="s">
        <v>15</v>
      </c>
      <c r="H348" s="3" t="s">
        <v>129</v>
      </c>
    </row>
    <row r="349" spans="1:8" x14ac:dyDescent="0.25">
      <c r="A349" s="3" t="str">
        <f t="shared" si="14"/>
        <v>FEDXDM15</v>
      </c>
      <c r="B349" s="3" t="s">
        <v>241</v>
      </c>
      <c r="C349" s="3">
        <v>3</v>
      </c>
      <c r="D349" s="3" t="s">
        <v>386</v>
      </c>
      <c r="E349" s="3">
        <v>1</v>
      </c>
      <c r="F349" s="3" t="s">
        <v>17</v>
      </c>
      <c r="G349" s="3" t="s">
        <v>15</v>
      </c>
      <c r="H349" s="3" t="s">
        <v>129</v>
      </c>
    </row>
    <row r="350" spans="1:8" x14ac:dyDescent="0.25">
      <c r="A350" s="3" t="str">
        <f t="shared" si="14"/>
        <v>FEDXDM15</v>
      </c>
      <c r="B350" s="3" t="s">
        <v>241</v>
      </c>
      <c r="C350" s="3">
        <v>3</v>
      </c>
      <c r="D350" s="3" t="s">
        <v>387</v>
      </c>
      <c r="E350" s="3">
        <v>1</v>
      </c>
      <c r="F350" s="3" t="s">
        <v>19</v>
      </c>
      <c r="G350" s="3" t="s">
        <v>15</v>
      </c>
      <c r="H350" s="3" t="s">
        <v>129</v>
      </c>
    </row>
    <row r="351" spans="1:8" x14ac:dyDescent="0.25">
      <c r="A351" s="3" t="str">
        <f t="shared" si="14"/>
        <v>FEDXDM15</v>
      </c>
      <c r="B351" s="3" t="s">
        <v>241</v>
      </c>
      <c r="C351" s="3">
        <v>3</v>
      </c>
      <c r="D351" s="3" t="s">
        <v>388</v>
      </c>
      <c r="E351" s="3">
        <v>2</v>
      </c>
      <c r="F351" s="3" t="s">
        <v>17</v>
      </c>
      <c r="G351" s="3" t="s">
        <v>15</v>
      </c>
      <c r="H351" s="3" t="s">
        <v>129</v>
      </c>
    </row>
    <row r="352" spans="1:8" x14ac:dyDescent="0.25">
      <c r="A352" s="3" t="str">
        <f t="shared" si="14"/>
        <v>FEDXDM15</v>
      </c>
      <c r="B352" s="3" t="s">
        <v>241</v>
      </c>
      <c r="C352" s="3">
        <v>3</v>
      </c>
      <c r="D352" s="3" t="s">
        <v>389</v>
      </c>
      <c r="E352" s="3">
        <v>2</v>
      </c>
      <c r="F352" s="5" t="s">
        <v>22</v>
      </c>
      <c r="G352" s="3" t="s">
        <v>15</v>
      </c>
      <c r="H352" s="3" t="s">
        <v>129</v>
      </c>
    </row>
    <row r="353" spans="1:8" x14ac:dyDescent="0.25">
      <c r="A353" s="3" t="str">
        <f t="shared" si="14"/>
        <v>FEDXDM15</v>
      </c>
      <c r="B353" s="3" t="s">
        <v>241</v>
      </c>
      <c r="C353" s="3">
        <v>3</v>
      </c>
      <c r="D353" s="3" t="s">
        <v>390</v>
      </c>
      <c r="E353" s="3">
        <v>3</v>
      </c>
      <c r="F353" s="3" t="s">
        <v>19</v>
      </c>
      <c r="G353" s="3" t="s">
        <v>15</v>
      </c>
      <c r="H353" s="3" t="s">
        <v>129</v>
      </c>
    </row>
    <row r="354" spans="1:8" x14ac:dyDescent="0.25">
      <c r="A354" s="3" t="str">
        <f t="shared" si="14"/>
        <v>FEDXDM15</v>
      </c>
      <c r="B354" s="3" t="s">
        <v>241</v>
      </c>
      <c r="C354" s="3">
        <v>3</v>
      </c>
      <c r="D354" s="3" t="s">
        <v>391</v>
      </c>
      <c r="E354" s="3">
        <v>3</v>
      </c>
      <c r="F354" s="3" t="s">
        <v>22</v>
      </c>
      <c r="G354" s="3" t="s">
        <v>15</v>
      </c>
      <c r="H354" s="3" t="s">
        <v>129</v>
      </c>
    </row>
    <row r="355" spans="1:8" x14ac:dyDescent="0.25">
      <c r="A355" s="3" t="str">
        <f t="shared" si="14"/>
        <v>FEDXDM15</v>
      </c>
      <c r="B355" s="3" t="s">
        <v>241</v>
      </c>
      <c r="C355" s="3">
        <v>3</v>
      </c>
      <c r="D355" s="3" t="s">
        <v>392</v>
      </c>
      <c r="E355" s="3">
        <v>4</v>
      </c>
      <c r="F355" s="3" t="s">
        <v>19</v>
      </c>
      <c r="G355" s="3" t="s">
        <v>26</v>
      </c>
      <c r="H355" s="3" t="s">
        <v>129</v>
      </c>
    </row>
    <row r="356" spans="1:8" x14ac:dyDescent="0.25">
      <c r="A356" s="3" t="str">
        <f t="shared" si="14"/>
        <v>FEDXDM15</v>
      </c>
      <c r="B356" s="3" t="s">
        <v>241</v>
      </c>
      <c r="C356" s="3">
        <v>3</v>
      </c>
      <c r="D356" s="3" t="s">
        <v>393</v>
      </c>
      <c r="E356" s="3">
        <v>4</v>
      </c>
      <c r="F356" s="3" t="s">
        <v>22</v>
      </c>
      <c r="G356" s="3" t="s">
        <v>26</v>
      </c>
      <c r="H356" s="3" t="s">
        <v>129</v>
      </c>
    </row>
    <row r="357" spans="1:8" x14ac:dyDescent="0.25">
      <c r="A357" s="3" t="str">
        <f>REPLACE("FEDXDF16",6,1,"M")</f>
        <v>FEDXDM16</v>
      </c>
      <c r="B357" s="3" t="s">
        <v>241</v>
      </c>
      <c r="C357" s="3">
        <v>4</v>
      </c>
      <c r="D357" s="3" t="s">
        <v>394</v>
      </c>
      <c r="E357" s="3">
        <v>0</v>
      </c>
      <c r="F357" s="3" t="s">
        <v>11</v>
      </c>
      <c r="G357" s="3" t="s">
        <v>12</v>
      </c>
      <c r="H357" s="3" t="s">
        <v>129</v>
      </c>
    </row>
    <row r="358" spans="1:8" x14ac:dyDescent="0.25">
      <c r="A358" s="3" t="str">
        <f t="shared" ref="A358:A366" si="15">REPLACE("FEDXDF16",6,1,"M")</f>
        <v>FEDXDM16</v>
      </c>
      <c r="B358" s="3" t="s">
        <v>241</v>
      </c>
      <c r="C358" s="3">
        <v>4</v>
      </c>
      <c r="D358" s="3" t="s">
        <v>395</v>
      </c>
      <c r="E358" s="3">
        <v>0</v>
      </c>
      <c r="F358" s="3" t="s">
        <v>11</v>
      </c>
      <c r="G358" s="3" t="s">
        <v>15</v>
      </c>
      <c r="H358" s="3" t="s">
        <v>129</v>
      </c>
    </row>
    <row r="359" spans="1:8" x14ac:dyDescent="0.25">
      <c r="A359" s="3" t="str">
        <f t="shared" si="15"/>
        <v>FEDXDM16</v>
      </c>
      <c r="B359" s="3" t="s">
        <v>241</v>
      </c>
      <c r="C359" s="3">
        <v>4</v>
      </c>
      <c r="D359" s="3" t="s">
        <v>396</v>
      </c>
      <c r="E359" s="3">
        <v>1</v>
      </c>
      <c r="F359" s="3" t="s">
        <v>17</v>
      </c>
      <c r="G359" s="3" t="s">
        <v>15</v>
      </c>
      <c r="H359" s="3" t="s">
        <v>129</v>
      </c>
    </row>
    <row r="360" spans="1:8" x14ac:dyDescent="0.25">
      <c r="A360" s="3" t="str">
        <f t="shared" si="15"/>
        <v>FEDXDM16</v>
      </c>
      <c r="B360" s="3" t="s">
        <v>241</v>
      </c>
      <c r="C360" s="3">
        <v>4</v>
      </c>
      <c r="D360" s="3" t="s">
        <v>397</v>
      </c>
      <c r="E360" s="3">
        <v>1</v>
      </c>
      <c r="F360" s="3" t="s">
        <v>19</v>
      </c>
      <c r="G360" s="3" t="s">
        <v>15</v>
      </c>
      <c r="H360" s="3" t="s">
        <v>129</v>
      </c>
    </row>
    <row r="361" spans="1:8" x14ac:dyDescent="0.25">
      <c r="A361" s="3" t="str">
        <f t="shared" si="15"/>
        <v>FEDXDM16</v>
      </c>
      <c r="B361" s="3" t="s">
        <v>241</v>
      </c>
      <c r="C361" s="3">
        <v>4</v>
      </c>
      <c r="D361" s="3" t="s">
        <v>398</v>
      </c>
      <c r="E361" s="3">
        <v>2</v>
      </c>
      <c r="F361" s="3" t="s">
        <v>17</v>
      </c>
      <c r="G361" s="3" t="s">
        <v>15</v>
      </c>
      <c r="H361" s="3" t="s">
        <v>129</v>
      </c>
    </row>
    <row r="362" spans="1:8" x14ac:dyDescent="0.25">
      <c r="A362" s="3" t="str">
        <f t="shared" si="15"/>
        <v>FEDXDM16</v>
      </c>
      <c r="B362" s="3" t="s">
        <v>241</v>
      </c>
      <c r="C362" s="3">
        <v>4</v>
      </c>
      <c r="D362" s="3" t="s">
        <v>399</v>
      </c>
      <c r="E362" s="3">
        <v>2</v>
      </c>
      <c r="F362" s="5" t="s">
        <v>22</v>
      </c>
      <c r="G362" s="3" t="s">
        <v>15</v>
      </c>
      <c r="H362" s="3" t="s">
        <v>129</v>
      </c>
    </row>
    <row r="363" spans="1:8" x14ac:dyDescent="0.25">
      <c r="A363" s="3" t="str">
        <f t="shared" si="15"/>
        <v>FEDXDM16</v>
      </c>
      <c r="B363" s="3" t="s">
        <v>241</v>
      </c>
      <c r="C363" s="3">
        <v>4</v>
      </c>
      <c r="D363" s="3" t="s">
        <v>400</v>
      </c>
      <c r="E363" s="3">
        <v>3</v>
      </c>
      <c r="F363" s="3" t="s">
        <v>19</v>
      </c>
      <c r="G363" s="3" t="s">
        <v>15</v>
      </c>
      <c r="H363" s="3" t="s">
        <v>129</v>
      </c>
    </row>
    <row r="364" spans="1:8" x14ac:dyDescent="0.25">
      <c r="A364" s="3" t="str">
        <f t="shared" si="15"/>
        <v>FEDXDM16</v>
      </c>
      <c r="B364" s="3" t="s">
        <v>241</v>
      </c>
      <c r="C364" s="3">
        <v>4</v>
      </c>
      <c r="D364" s="3" t="s">
        <v>401</v>
      </c>
      <c r="E364" s="3">
        <v>3</v>
      </c>
      <c r="F364" s="3" t="s">
        <v>22</v>
      </c>
      <c r="G364" s="3" t="s">
        <v>15</v>
      </c>
      <c r="H364" s="3" t="s">
        <v>129</v>
      </c>
    </row>
    <row r="365" spans="1:8" x14ac:dyDescent="0.25">
      <c r="A365" s="3" t="str">
        <f t="shared" si="15"/>
        <v>FEDXDM16</v>
      </c>
      <c r="B365" s="3" t="s">
        <v>241</v>
      </c>
      <c r="C365" s="3">
        <v>4</v>
      </c>
      <c r="D365" s="3" t="s">
        <v>402</v>
      </c>
      <c r="E365" s="3">
        <v>4</v>
      </c>
      <c r="F365" s="3" t="s">
        <v>19</v>
      </c>
      <c r="G365" s="3" t="s">
        <v>26</v>
      </c>
      <c r="H365" s="3" t="s">
        <v>129</v>
      </c>
    </row>
    <row r="366" spans="1:8" x14ac:dyDescent="0.25">
      <c r="A366" s="3" t="str">
        <f t="shared" si="15"/>
        <v>FEDXDM16</v>
      </c>
      <c r="B366" s="3" t="s">
        <v>241</v>
      </c>
      <c r="C366" s="3">
        <v>4</v>
      </c>
      <c r="D366" s="3" t="s">
        <v>403</v>
      </c>
      <c r="E366" s="3">
        <v>4</v>
      </c>
      <c r="F366" s="3" t="s">
        <v>22</v>
      </c>
      <c r="G366" s="3" t="s">
        <v>26</v>
      </c>
      <c r="H366" s="3" t="s">
        <v>129</v>
      </c>
    </row>
    <row r="367" spans="1:8" x14ac:dyDescent="0.25">
      <c r="A367" s="3" t="str">
        <f>REPLACE("FEDXDF17",6,1,"M")</f>
        <v>FEDXDM17</v>
      </c>
      <c r="B367" s="3" t="s">
        <v>241</v>
      </c>
      <c r="C367" s="3">
        <v>4</v>
      </c>
      <c r="D367" s="3" t="s">
        <v>404</v>
      </c>
      <c r="E367" s="3">
        <v>0</v>
      </c>
      <c r="F367" s="3" t="s">
        <v>11</v>
      </c>
      <c r="G367" s="3" t="s">
        <v>12</v>
      </c>
      <c r="H367" s="3" t="s">
        <v>129</v>
      </c>
    </row>
    <row r="368" spans="1:8" x14ac:dyDescent="0.25">
      <c r="A368" s="3" t="str">
        <f t="shared" ref="A368:A376" si="16">REPLACE("FEDXDF17",6,1,"M")</f>
        <v>FEDXDM17</v>
      </c>
      <c r="B368" s="3" t="s">
        <v>241</v>
      </c>
      <c r="C368" s="3">
        <v>4</v>
      </c>
      <c r="D368" s="3" t="s">
        <v>405</v>
      </c>
      <c r="E368" s="3">
        <v>0</v>
      </c>
      <c r="F368" s="3" t="s">
        <v>11</v>
      </c>
      <c r="G368" s="3" t="s">
        <v>15</v>
      </c>
      <c r="H368" s="3" t="s">
        <v>129</v>
      </c>
    </row>
    <row r="369" spans="1:8" x14ac:dyDescent="0.25">
      <c r="A369" s="3" t="str">
        <f t="shared" si="16"/>
        <v>FEDXDM17</v>
      </c>
      <c r="B369" s="3" t="s">
        <v>241</v>
      </c>
      <c r="C369" s="3">
        <v>4</v>
      </c>
      <c r="D369" s="3" t="s">
        <v>406</v>
      </c>
      <c r="E369" s="3">
        <v>1</v>
      </c>
      <c r="F369" s="3" t="s">
        <v>17</v>
      </c>
      <c r="G369" s="3" t="s">
        <v>15</v>
      </c>
      <c r="H369" s="3" t="s">
        <v>129</v>
      </c>
    </row>
    <row r="370" spans="1:8" x14ac:dyDescent="0.25">
      <c r="A370" s="3" t="str">
        <f t="shared" si="16"/>
        <v>FEDXDM17</v>
      </c>
      <c r="B370" s="3" t="s">
        <v>241</v>
      </c>
      <c r="C370" s="3">
        <v>4</v>
      </c>
      <c r="D370" s="3" t="s">
        <v>407</v>
      </c>
      <c r="E370" s="3">
        <v>1</v>
      </c>
      <c r="F370" s="3" t="s">
        <v>19</v>
      </c>
      <c r="G370" s="3" t="s">
        <v>15</v>
      </c>
      <c r="H370" s="3" t="s">
        <v>129</v>
      </c>
    </row>
    <row r="371" spans="1:8" x14ac:dyDescent="0.25">
      <c r="A371" s="3" t="str">
        <f t="shared" si="16"/>
        <v>FEDXDM17</v>
      </c>
      <c r="B371" s="3" t="s">
        <v>241</v>
      </c>
      <c r="C371" s="3">
        <v>4</v>
      </c>
      <c r="D371" s="3" t="s">
        <v>408</v>
      </c>
      <c r="E371" s="3">
        <v>2</v>
      </c>
      <c r="F371" s="3" t="s">
        <v>17</v>
      </c>
      <c r="G371" s="3" t="s">
        <v>15</v>
      </c>
      <c r="H371" s="3" t="s">
        <v>129</v>
      </c>
    </row>
    <row r="372" spans="1:8" x14ac:dyDescent="0.25">
      <c r="A372" s="3" t="str">
        <f t="shared" si="16"/>
        <v>FEDXDM17</v>
      </c>
      <c r="B372" s="3" t="s">
        <v>241</v>
      </c>
      <c r="C372" s="3">
        <v>4</v>
      </c>
      <c r="D372" s="3" t="s">
        <v>409</v>
      </c>
      <c r="E372" s="3">
        <v>2</v>
      </c>
      <c r="F372" s="5" t="s">
        <v>22</v>
      </c>
      <c r="G372" s="3" t="s">
        <v>15</v>
      </c>
      <c r="H372" s="3" t="s">
        <v>129</v>
      </c>
    </row>
    <row r="373" spans="1:8" x14ac:dyDescent="0.25">
      <c r="A373" s="3" t="str">
        <f t="shared" si="16"/>
        <v>FEDXDM17</v>
      </c>
      <c r="B373" s="3" t="s">
        <v>241</v>
      </c>
      <c r="C373" s="3">
        <v>4</v>
      </c>
      <c r="D373" s="3" t="s">
        <v>410</v>
      </c>
      <c r="E373" s="3">
        <v>3</v>
      </c>
      <c r="F373" s="3" t="s">
        <v>19</v>
      </c>
      <c r="G373" s="3" t="s">
        <v>15</v>
      </c>
      <c r="H373" s="3" t="s">
        <v>129</v>
      </c>
    </row>
    <row r="374" spans="1:8" x14ac:dyDescent="0.25">
      <c r="A374" s="3" t="str">
        <f t="shared" si="16"/>
        <v>FEDXDM17</v>
      </c>
      <c r="B374" s="3" t="s">
        <v>241</v>
      </c>
      <c r="C374" s="3">
        <v>4</v>
      </c>
      <c r="D374" s="3" t="s">
        <v>411</v>
      </c>
      <c r="E374" s="3">
        <v>3</v>
      </c>
      <c r="F374" s="3" t="s">
        <v>22</v>
      </c>
      <c r="G374" s="3" t="s">
        <v>15</v>
      </c>
      <c r="H374" s="3" t="s">
        <v>129</v>
      </c>
    </row>
    <row r="375" spans="1:8" x14ac:dyDescent="0.25">
      <c r="A375" s="3" t="str">
        <f t="shared" si="16"/>
        <v>FEDXDM17</v>
      </c>
      <c r="B375" s="3" t="s">
        <v>241</v>
      </c>
      <c r="C375" s="3">
        <v>4</v>
      </c>
      <c r="D375" s="3" t="s">
        <v>412</v>
      </c>
      <c r="E375" s="3">
        <v>4</v>
      </c>
      <c r="F375" s="3" t="s">
        <v>19</v>
      </c>
      <c r="G375" s="3" t="s">
        <v>26</v>
      </c>
      <c r="H375" s="3" t="s">
        <v>129</v>
      </c>
    </row>
    <row r="376" spans="1:8" x14ac:dyDescent="0.25">
      <c r="A376" s="3" t="str">
        <f t="shared" si="16"/>
        <v>FEDXDM17</v>
      </c>
      <c r="B376" s="3" t="s">
        <v>241</v>
      </c>
      <c r="C376" s="3">
        <v>4</v>
      </c>
      <c r="D376" s="3" t="s">
        <v>413</v>
      </c>
      <c r="E376" s="3">
        <v>4</v>
      </c>
      <c r="F376" s="3" t="s">
        <v>22</v>
      </c>
      <c r="G376" s="3" t="s">
        <v>26</v>
      </c>
      <c r="H376" s="3" t="s">
        <v>129</v>
      </c>
    </row>
    <row r="377" spans="1:8" x14ac:dyDescent="0.25">
      <c r="A377" s="3" t="str">
        <f>REPLACE("FEDXDF18",6,1,"M")</f>
        <v>FEDXDM18</v>
      </c>
      <c r="B377" s="3" t="s">
        <v>241</v>
      </c>
      <c r="C377" s="3">
        <v>4</v>
      </c>
      <c r="D377" s="3" t="s">
        <v>414</v>
      </c>
      <c r="E377" s="3">
        <v>0</v>
      </c>
      <c r="F377" s="3" t="s">
        <v>11</v>
      </c>
      <c r="G377" s="3" t="s">
        <v>12</v>
      </c>
      <c r="H377" s="3" t="s">
        <v>129</v>
      </c>
    </row>
    <row r="378" spans="1:8" x14ac:dyDescent="0.25">
      <c r="A378" s="3" t="str">
        <f t="shared" ref="A378:A386" si="17">REPLACE("FEDXDF18",6,1,"M")</f>
        <v>FEDXDM18</v>
      </c>
      <c r="B378" s="3" t="s">
        <v>241</v>
      </c>
      <c r="C378" s="3">
        <v>4</v>
      </c>
      <c r="D378" s="3" t="s">
        <v>415</v>
      </c>
      <c r="E378" s="3">
        <v>0</v>
      </c>
      <c r="F378" s="3" t="s">
        <v>11</v>
      </c>
      <c r="G378" s="3" t="s">
        <v>15</v>
      </c>
      <c r="H378" s="3" t="s">
        <v>129</v>
      </c>
    </row>
    <row r="379" spans="1:8" x14ac:dyDescent="0.25">
      <c r="A379" s="3" t="str">
        <f t="shared" si="17"/>
        <v>FEDXDM18</v>
      </c>
      <c r="B379" s="3" t="s">
        <v>241</v>
      </c>
      <c r="C379" s="3">
        <v>4</v>
      </c>
      <c r="D379" s="3" t="s">
        <v>416</v>
      </c>
      <c r="E379" s="3">
        <v>1</v>
      </c>
      <c r="F379" s="3" t="s">
        <v>17</v>
      </c>
      <c r="G379" s="3" t="s">
        <v>15</v>
      </c>
      <c r="H379" s="3" t="s">
        <v>129</v>
      </c>
    </row>
    <row r="380" spans="1:8" x14ac:dyDescent="0.25">
      <c r="A380" s="3" t="str">
        <f t="shared" si="17"/>
        <v>FEDXDM18</v>
      </c>
      <c r="B380" s="3" t="s">
        <v>241</v>
      </c>
      <c r="C380" s="3">
        <v>4</v>
      </c>
      <c r="D380" s="3" t="s">
        <v>417</v>
      </c>
      <c r="E380" s="3">
        <v>1</v>
      </c>
      <c r="F380" s="3" t="s">
        <v>19</v>
      </c>
      <c r="G380" s="3" t="s">
        <v>15</v>
      </c>
      <c r="H380" s="3" t="s">
        <v>129</v>
      </c>
    </row>
    <row r="381" spans="1:8" x14ac:dyDescent="0.25">
      <c r="A381" s="3" t="str">
        <f t="shared" si="17"/>
        <v>FEDXDM18</v>
      </c>
      <c r="B381" s="3" t="s">
        <v>241</v>
      </c>
      <c r="C381" s="3">
        <v>4</v>
      </c>
      <c r="D381" s="3" t="s">
        <v>418</v>
      </c>
      <c r="E381" s="3">
        <v>2</v>
      </c>
      <c r="F381" s="3" t="s">
        <v>17</v>
      </c>
      <c r="G381" s="3" t="s">
        <v>15</v>
      </c>
      <c r="H381" s="3" t="s">
        <v>129</v>
      </c>
    </row>
    <row r="382" spans="1:8" x14ac:dyDescent="0.25">
      <c r="A382" s="3" t="str">
        <f t="shared" si="17"/>
        <v>FEDXDM18</v>
      </c>
      <c r="B382" s="3" t="s">
        <v>241</v>
      </c>
      <c r="C382" s="3">
        <v>4</v>
      </c>
      <c r="D382" s="3" t="s">
        <v>419</v>
      </c>
      <c r="E382" s="3">
        <v>2</v>
      </c>
      <c r="F382" s="5" t="s">
        <v>22</v>
      </c>
      <c r="G382" s="3" t="s">
        <v>15</v>
      </c>
      <c r="H382" s="3" t="s">
        <v>129</v>
      </c>
    </row>
    <row r="383" spans="1:8" x14ac:dyDescent="0.25">
      <c r="A383" s="3" t="str">
        <f t="shared" si="17"/>
        <v>FEDXDM18</v>
      </c>
      <c r="B383" s="3" t="s">
        <v>241</v>
      </c>
      <c r="C383" s="3">
        <v>4</v>
      </c>
      <c r="D383" s="3" t="s">
        <v>420</v>
      </c>
      <c r="E383" s="3">
        <v>3</v>
      </c>
      <c r="F383" s="3" t="s">
        <v>19</v>
      </c>
      <c r="G383" s="3" t="s">
        <v>15</v>
      </c>
      <c r="H383" s="3" t="s">
        <v>129</v>
      </c>
    </row>
    <row r="384" spans="1:8" x14ac:dyDescent="0.25">
      <c r="A384" s="3" t="str">
        <f t="shared" si="17"/>
        <v>FEDXDM18</v>
      </c>
      <c r="B384" s="3" t="s">
        <v>241</v>
      </c>
      <c r="C384" s="3">
        <v>4</v>
      </c>
      <c r="D384" s="3" t="s">
        <v>421</v>
      </c>
      <c r="E384" s="3">
        <v>3</v>
      </c>
      <c r="F384" s="3" t="s">
        <v>22</v>
      </c>
      <c r="G384" s="3" t="s">
        <v>15</v>
      </c>
      <c r="H384" s="3" t="s">
        <v>129</v>
      </c>
    </row>
    <row r="385" spans="1:8" x14ac:dyDescent="0.25">
      <c r="A385" s="3" t="str">
        <f t="shared" si="17"/>
        <v>FEDXDM18</v>
      </c>
      <c r="B385" s="3" t="s">
        <v>241</v>
      </c>
      <c r="C385" s="3">
        <v>4</v>
      </c>
      <c r="D385" s="3" t="s">
        <v>422</v>
      </c>
      <c r="E385" s="3">
        <v>4</v>
      </c>
      <c r="F385" s="3" t="s">
        <v>19</v>
      </c>
      <c r="G385" s="3" t="s">
        <v>26</v>
      </c>
      <c r="H385" s="3" t="s">
        <v>129</v>
      </c>
    </row>
    <row r="386" spans="1:8" x14ac:dyDescent="0.25">
      <c r="A386" s="3" t="str">
        <f t="shared" si="17"/>
        <v>FEDXDM18</v>
      </c>
      <c r="B386" s="3" t="s">
        <v>241</v>
      </c>
      <c r="C386" s="3">
        <v>4</v>
      </c>
      <c r="D386" s="3" t="s">
        <v>423</v>
      </c>
      <c r="E386" s="3">
        <v>4</v>
      </c>
      <c r="F386" s="3" t="s">
        <v>22</v>
      </c>
      <c r="G386" s="3" t="s">
        <v>26</v>
      </c>
      <c r="H386" s="3" t="s">
        <v>129</v>
      </c>
    </row>
    <row r="387" spans="1:8" x14ac:dyDescent="0.25">
      <c r="A387" s="3" t="str">
        <f>REPLACE("FEDXDF19",6,1,"M")</f>
        <v>FEDXDM19</v>
      </c>
      <c r="B387" s="3" t="s">
        <v>241</v>
      </c>
      <c r="C387" s="3">
        <v>4</v>
      </c>
      <c r="D387" s="3" t="s">
        <v>424</v>
      </c>
      <c r="E387" s="3">
        <v>0</v>
      </c>
      <c r="F387" s="3" t="s">
        <v>11</v>
      </c>
      <c r="G387" s="3" t="s">
        <v>12</v>
      </c>
      <c r="H387" s="3" t="s">
        <v>129</v>
      </c>
    </row>
    <row r="388" spans="1:8" x14ac:dyDescent="0.25">
      <c r="A388" s="3" t="str">
        <f t="shared" ref="A388:A396" si="18">REPLACE("FEDXDF19",6,1,"M")</f>
        <v>FEDXDM19</v>
      </c>
      <c r="B388" s="3" t="s">
        <v>241</v>
      </c>
      <c r="C388" s="3">
        <v>4</v>
      </c>
      <c r="D388" s="3" t="s">
        <v>425</v>
      </c>
      <c r="E388" s="3">
        <v>0</v>
      </c>
      <c r="F388" s="3" t="s">
        <v>11</v>
      </c>
      <c r="G388" s="3" t="s">
        <v>15</v>
      </c>
      <c r="H388" s="3" t="s">
        <v>129</v>
      </c>
    </row>
    <row r="389" spans="1:8" x14ac:dyDescent="0.25">
      <c r="A389" s="3" t="str">
        <f t="shared" si="18"/>
        <v>FEDXDM19</v>
      </c>
      <c r="B389" s="3" t="s">
        <v>241</v>
      </c>
      <c r="C389" s="3">
        <v>4</v>
      </c>
      <c r="D389" s="3" t="s">
        <v>426</v>
      </c>
      <c r="E389" s="3">
        <v>1</v>
      </c>
      <c r="F389" s="3" t="s">
        <v>17</v>
      </c>
      <c r="G389" s="3" t="s">
        <v>15</v>
      </c>
      <c r="H389" s="3" t="s">
        <v>129</v>
      </c>
    </row>
    <row r="390" spans="1:8" x14ac:dyDescent="0.25">
      <c r="A390" s="3" t="str">
        <f t="shared" si="18"/>
        <v>FEDXDM19</v>
      </c>
      <c r="B390" s="3" t="s">
        <v>241</v>
      </c>
      <c r="C390" s="3">
        <v>4</v>
      </c>
      <c r="D390" s="3" t="s">
        <v>427</v>
      </c>
      <c r="E390" s="3">
        <v>1</v>
      </c>
      <c r="F390" s="3" t="s">
        <v>19</v>
      </c>
      <c r="G390" s="3" t="s">
        <v>15</v>
      </c>
      <c r="H390" s="3" t="s">
        <v>129</v>
      </c>
    </row>
    <row r="391" spans="1:8" x14ac:dyDescent="0.25">
      <c r="A391" s="3" t="str">
        <f t="shared" si="18"/>
        <v>FEDXDM19</v>
      </c>
      <c r="B391" s="3" t="s">
        <v>241</v>
      </c>
      <c r="C391" s="3">
        <v>4</v>
      </c>
      <c r="D391" s="3" t="s">
        <v>428</v>
      </c>
      <c r="E391" s="3">
        <v>2</v>
      </c>
      <c r="F391" s="3" t="s">
        <v>17</v>
      </c>
      <c r="G391" s="3" t="s">
        <v>15</v>
      </c>
      <c r="H391" s="3" t="s">
        <v>129</v>
      </c>
    </row>
    <row r="392" spans="1:8" x14ac:dyDescent="0.25">
      <c r="A392" s="3" t="str">
        <f t="shared" si="18"/>
        <v>FEDXDM19</v>
      </c>
      <c r="B392" s="3" t="s">
        <v>241</v>
      </c>
      <c r="C392" s="3">
        <v>4</v>
      </c>
      <c r="D392" s="3" t="s">
        <v>429</v>
      </c>
      <c r="E392" s="3">
        <v>2</v>
      </c>
      <c r="F392" s="5" t="s">
        <v>22</v>
      </c>
      <c r="G392" s="3" t="s">
        <v>15</v>
      </c>
      <c r="H392" s="3" t="s">
        <v>129</v>
      </c>
    </row>
    <row r="393" spans="1:8" x14ac:dyDescent="0.25">
      <c r="A393" s="3" t="str">
        <f t="shared" si="18"/>
        <v>FEDXDM19</v>
      </c>
      <c r="B393" s="3" t="s">
        <v>241</v>
      </c>
      <c r="C393" s="3">
        <v>4</v>
      </c>
      <c r="D393" s="3" t="s">
        <v>430</v>
      </c>
      <c r="E393" s="3">
        <v>3</v>
      </c>
      <c r="F393" s="3" t="s">
        <v>19</v>
      </c>
      <c r="G393" s="3" t="s">
        <v>15</v>
      </c>
      <c r="H393" s="3" t="s">
        <v>129</v>
      </c>
    </row>
    <row r="394" spans="1:8" x14ac:dyDescent="0.25">
      <c r="A394" s="3" t="str">
        <f t="shared" si="18"/>
        <v>FEDXDM19</v>
      </c>
      <c r="B394" s="3" t="s">
        <v>241</v>
      </c>
      <c r="C394" s="3">
        <v>4</v>
      </c>
      <c r="D394" s="3" t="s">
        <v>431</v>
      </c>
      <c r="E394" s="3">
        <v>3</v>
      </c>
      <c r="F394" s="3" t="s">
        <v>22</v>
      </c>
      <c r="G394" s="3" t="s">
        <v>15</v>
      </c>
      <c r="H394" s="3" t="s">
        <v>129</v>
      </c>
    </row>
    <row r="395" spans="1:8" x14ac:dyDescent="0.25">
      <c r="A395" s="3" t="str">
        <f t="shared" si="18"/>
        <v>FEDXDM19</v>
      </c>
      <c r="B395" s="3" t="s">
        <v>241</v>
      </c>
      <c r="C395" s="3">
        <v>4</v>
      </c>
      <c r="D395" s="3" t="s">
        <v>432</v>
      </c>
      <c r="E395" s="3">
        <v>4</v>
      </c>
      <c r="F395" s="3" t="s">
        <v>19</v>
      </c>
      <c r="G395" s="3" t="s">
        <v>26</v>
      </c>
      <c r="H395" s="3" t="s">
        <v>129</v>
      </c>
    </row>
    <row r="396" spans="1:8" x14ac:dyDescent="0.25">
      <c r="A396" s="3" t="str">
        <f t="shared" si="18"/>
        <v>FEDXDM19</v>
      </c>
      <c r="B396" s="3" t="s">
        <v>241</v>
      </c>
      <c r="C396" s="3">
        <v>4</v>
      </c>
      <c r="D396" s="3" t="s">
        <v>433</v>
      </c>
      <c r="E396" s="3">
        <v>4</v>
      </c>
      <c r="F396" s="3" t="s">
        <v>22</v>
      </c>
      <c r="G396" s="3" t="s">
        <v>26</v>
      </c>
      <c r="H396" s="3" t="s">
        <v>129</v>
      </c>
    </row>
    <row r="397" spans="1:8" x14ac:dyDescent="0.25">
      <c r="A397" s="3" t="str">
        <f>REPLACE("FEDXDF20",6,1,"M")</f>
        <v>FEDXDM20</v>
      </c>
      <c r="B397" s="3" t="s">
        <v>241</v>
      </c>
      <c r="C397" s="3">
        <v>4</v>
      </c>
      <c r="D397" s="3" t="s">
        <v>434</v>
      </c>
      <c r="E397" s="3">
        <v>0</v>
      </c>
      <c r="F397" s="3" t="s">
        <v>11</v>
      </c>
      <c r="G397" s="3" t="s">
        <v>12</v>
      </c>
      <c r="H397" s="3" t="s">
        <v>129</v>
      </c>
    </row>
    <row r="398" spans="1:8" x14ac:dyDescent="0.25">
      <c r="A398" s="3" t="str">
        <f t="shared" ref="A398:A406" si="19">REPLACE("FEDXDF20",6,1,"M")</f>
        <v>FEDXDM20</v>
      </c>
      <c r="B398" s="3" t="s">
        <v>241</v>
      </c>
      <c r="C398" s="3">
        <v>4</v>
      </c>
      <c r="D398" s="3" t="s">
        <v>435</v>
      </c>
      <c r="E398" s="3">
        <v>0</v>
      </c>
      <c r="F398" s="3" t="s">
        <v>11</v>
      </c>
      <c r="G398" s="3" t="s">
        <v>15</v>
      </c>
      <c r="H398" s="3" t="s">
        <v>129</v>
      </c>
    </row>
    <row r="399" spans="1:8" x14ac:dyDescent="0.25">
      <c r="A399" s="3" t="str">
        <f t="shared" si="19"/>
        <v>FEDXDM20</v>
      </c>
      <c r="B399" s="3" t="s">
        <v>241</v>
      </c>
      <c r="C399" s="3">
        <v>4</v>
      </c>
      <c r="D399" s="3" t="s">
        <v>436</v>
      </c>
      <c r="E399" s="3">
        <v>1</v>
      </c>
      <c r="F399" s="3" t="s">
        <v>17</v>
      </c>
      <c r="G399" s="3" t="s">
        <v>15</v>
      </c>
      <c r="H399" s="3" t="s">
        <v>129</v>
      </c>
    </row>
    <row r="400" spans="1:8" x14ac:dyDescent="0.25">
      <c r="A400" s="3" t="str">
        <f t="shared" si="19"/>
        <v>FEDXDM20</v>
      </c>
      <c r="B400" s="3" t="s">
        <v>241</v>
      </c>
      <c r="C400" s="3">
        <v>4</v>
      </c>
      <c r="D400" s="3" t="s">
        <v>437</v>
      </c>
      <c r="E400" s="3">
        <v>1</v>
      </c>
      <c r="F400" s="3" t="s">
        <v>19</v>
      </c>
      <c r="G400" s="3" t="s">
        <v>15</v>
      </c>
      <c r="H400" s="3" t="s">
        <v>129</v>
      </c>
    </row>
    <row r="401" spans="1:8" x14ac:dyDescent="0.25">
      <c r="A401" s="3" t="str">
        <f t="shared" si="19"/>
        <v>FEDXDM20</v>
      </c>
      <c r="B401" s="3" t="s">
        <v>241</v>
      </c>
      <c r="C401" s="3">
        <v>4</v>
      </c>
      <c r="D401" s="3" t="s">
        <v>438</v>
      </c>
      <c r="E401" s="3">
        <v>2</v>
      </c>
      <c r="F401" s="3" t="s">
        <v>17</v>
      </c>
      <c r="G401" s="3" t="s">
        <v>15</v>
      </c>
      <c r="H401" s="3" t="s">
        <v>129</v>
      </c>
    </row>
    <row r="402" spans="1:8" x14ac:dyDescent="0.25">
      <c r="A402" s="3" t="str">
        <f t="shared" si="19"/>
        <v>FEDXDM20</v>
      </c>
      <c r="B402" s="3" t="s">
        <v>241</v>
      </c>
      <c r="C402" s="3">
        <v>4</v>
      </c>
      <c r="D402" s="3" t="s">
        <v>439</v>
      </c>
      <c r="E402" s="3">
        <v>2</v>
      </c>
      <c r="F402" s="5" t="s">
        <v>22</v>
      </c>
      <c r="G402" s="3" t="s">
        <v>15</v>
      </c>
      <c r="H402" s="3" t="s">
        <v>129</v>
      </c>
    </row>
    <row r="403" spans="1:8" x14ac:dyDescent="0.25">
      <c r="A403" s="3" t="str">
        <f t="shared" si="19"/>
        <v>FEDXDM20</v>
      </c>
      <c r="B403" s="3" t="s">
        <v>241</v>
      </c>
      <c r="C403" s="3">
        <v>4</v>
      </c>
      <c r="D403" s="3" t="s">
        <v>440</v>
      </c>
      <c r="E403" s="3">
        <v>3</v>
      </c>
      <c r="F403" s="3" t="s">
        <v>19</v>
      </c>
      <c r="G403" s="3" t="s">
        <v>15</v>
      </c>
      <c r="H403" s="3" t="s">
        <v>129</v>
      </c>
    </row>
    <row r="404" spans="1:8" x14ac:dyDescent="0.25">
      <c r="A404" s="3" t="str">
        <f t="shared" si="19"/>
        <v>FEDXDM20</v>
      </c>
      <c r="B404" s="3" t="s">
        <v>241</v>
      </c>
      <c r="C404" s="3">
        <v>4</v>
      </c>
      <c r="D404" s="3" t="s">
        <v>441</v>
      </c>
      <c r="E404" s="3">
        <v>3</v>
      </c>
      <c r="F404" s="3" t="s">
        <v>22</v>
      </c>
      <c r="G404" s="3" t="s">
        <v>15</v>
      </c>
      <c r="H404" s="3" t="s">
        <v>129</v>
      </c>
    </row>
    <row r="405" spans="1:8" x14ac:dyDescent="0.25">
      <c r="A405" s="3" t="str">
        <f t="shared" si="19"/>
        <v>FEDXDM20</v>
      </c>
      <c r="B405" s="3" t="s">
        <v>241</v>
      </c>
      <c r="C405" s="3">
        <v>4</v>
      </c>
      <c r="D405" s="3" t="s">
        <v>442</v>
      </c>
      <c r="E405" s="3">
        <v>4</v>
      </c>
      <c r="F405" s="3" t="s">
        <v>19</v>
      </c>
      <c r="G405" s="3" t="s">
        <v>26</v>
      </c>
      <c r="H405" s="3" t="s">
        <v>129</v>
      </c>
    </row>
    <row r="406" spans="1:8" x14ac:dyDescent="0.25">
      <c r="A406" s="3" t="str">
        <f t="shared" si="19"/>
        <v>FEDXDM20</v>
      </c>
      <c r="B406" s="3" t="s">
        <v>241</v>
      </c>
      <c r="C406" s="3">
        <v>4</v>
      </c>
      <c r="D406" s="3" t="s">
        <v>443</v>
      </c>
      <c r="E406" s="3">
        <v>4</v>
      </c>
      <c r="F406" s="3" t="s">
        <v>22</v>
      </c>
      <c r="G406" s="3" t="s">
        <v>26</v>
      </c>
      <c r="H406" s="3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K19" sqref="K19"/>
    </sheetView>
  </sheetViews>
  <sheetFormatPr defaultRowHeight="15" x14ac:dyDescent="0.25"/>
  <cols>
    <col min="1" max="1" width="17.42578125" bestFit="1" customWidth="1"/>
    <col min="2" max="2" width="21.5703125" bestFit="1" customWidth="1"/>
    <col min="3" max="16" width="12" bestFit="1" customWidth="1"/>
    <col min="17" max="17" width="8.7109375" bestFit="1" customWidth="1"/>
    <col min="18" max="18" width="14" bestFit="1" customWidth="1"/>
    <col min="19" max="19" width="12" bestFit="1" customWidth="1"/>
  </cols>
  <sheetData>
    <row r="1" spans="1:19" x14ac:dyDescent="0.25">
      <c r="A1" s="4" t="s">
        <v>444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4"/>
      <c r="B2" s="4" t="s">
        <v>445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15">
        <v>10</v>
      </c>
      <c r="N2" s="15">
        <v>11</v>
      </c>
      <c r="O2" s="15">
        <v>12</v>
      </c>
      <c r="P2" s="4" t="s">
        <v>446</v>
      </c>
      <c r="Q2" s="4"/>
      <c r="R2" s="4"/>
      <c r="S2" s="4"/>
    </row>
    <row r="3" spans="1:19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15" t="s">
        <v>447</v>
      </c>
      <c r="B4" s="4"/>
      <c r="C4" s="4">
        <v>19.600000000000001</v>
      </c>
      <c r="D4" s="4">
        <v>19</v>
      </c>
      <c r="E4" s="4">
        <v>19.7</v>
      </c>
      <c r="F4" s="4">
        <v>20.5</v>
      </c>
      <c r="G4" s="4">
        <v>20.7</v>
      </c>
      <c r="H4" s="4">
        <v>20.399999999999999</v>
      </c>
      <c r="I4" s="4">
        <v>20.5</v>
      </c>
      <c r="J4" s="4">
        <v>21.5</v>
      </c>
      <c r="K4" s="4">
        <v>19.899999999999999</v>
      </c>
      <c r="L4" s="4">
        <v>21.3</v>
      </c>
      <c r="M4" s="4">
        <v>22.5</v>
      </c>
      <c r="N4" s="4">
        <v>23.3</v>
      </c>
      <c r="O4" s="4">
        <v>22.5</v>
      </c>
      <c r="P4" s="4">
        <f>AVERAGE(C4:L4)</f>
        <v>20.310000000000002</v>
      </c>
      <c r="Q4" s="4"/>
      <c r="R4" s="4"/>
      <c r="S4" s="4"/>
    </row>
    <row r="5" spans="1:19" x14ac:dyDescent="0.25">
      <c r="A5" s="15" t="s">
        <v>448</v>
      </c>
      <c r="B5" s="4"/>
      <c r="C5" s="4">
        <v>19.3</v>
      </c>
      <c r="D5" s="4">
        <v>19.7</v>
      </c>
      <c r="E5" s="4">
        <v>20.6</v>
      </c>
      <c r="F5" s="4">
        <v>20.8</v>
      </c>
      <c r="G5" s="4">
        <v>20.2</v>
      </c>
      <c r="H5" s="4">
        <v>20.399999999999999</v>
      </c>
      <c r="I5" s="4">
        <v>20.399999999999999</v>
      </c>
      <c r="J5" s="4">
        <v>21.1</v>
      </c>
      <c r="K5" s="4">
        <v>19.2</v>
      </c>
      <c r="L5" s="4">
        <v>21</v>
      </c>
      <c r="M5" s="4">
        <v>21.9</v>
      </c>
      <c r="N5" s="4">
        <v>22.7</v>
      </c>
      <c r="O5" s="4">
        <v>21.3</v>
      </c>
      <c r="P5" s="4">
        <f t="shared" ref="P5:P23" si="0">AVERAGE(C5:L5)</f>
        <v>20.27</v>
      </c>
      <c r="Q5" s="4"/>
      <c r="R5" s="4"/>
      <c r="S5" s="4"/>
    </row>
    <row r="6" spans="1:19" x14ac:dyDescent="0.25">
      <c r="A6" s="15" t="s">
        <v>449</v>
      </c>
      <c r="B6" s="4"/>
      <c r="C6" s="4">
        <v>20.399999999999999</v>
      </c>
      <c r="D6" s="4">
        <v>20.399999999999999</v>
      </c>
      <c r="E6" s="4">
        <v>21.3</v>
      </c>
      <c r="F6" s="4">
        <v>20.9</v>
      </c>
      <c r="G6" s="4">
        <v>21.4</v>
      </c>
      <c r="H6" s="4">
        <v>20.9</v>
      </c>
      <c r="I6" s="4">
        <v>21.8</v>
      </c>
      <c r="J6" s="4">
        <v>21.5</v>
      </c>
      <c r="K6" s="4">
        <v>19.600000000000001</v>
      </c>
      <c r="L6" s="4">
        <v>22.7</v>
      </c>
      <c r="M6" s="4">
        <v>22.4</v>
      </c>
      <c r="N6" s="4">
        <v>22.7</v>
      </c>
      <c r="O6" s="4">
        <v>22.8</v>
      </c>
      <c r="P6" s="4">
        <f t="shared" si="0"/>
        <v>21.09</v>
      </c>
      <c r="Q6" s="4"/>
      <c r="R6" s="4"/>
      <c r="S6" s="4"/>
    </row>
    <row r="7" spans="1:19" x14ac:dyDescent="0.25">
      <c r="A7" s="15" t="s">
        <v>450</v>
      </c>
      <c r="B7" s="4"/>
      <c r="C7" s="4">
        <v>20.3</v>
      </c>
      <c r="D7" s="4">
        <v>20.100000000000001</v>
      </c>
      <c r="E7" s="4">
        <v>20.7</v>
      </c>
      <c r="F7" s="4">
        <v>20.9</v>
      </c>
      <c r="G7" s="4">
        <v>20.6</v>
      </c>
      <c r="H7" s="4">
        <v>20.5</v>
      </c>
      <c r="I7" s="4">
        <v>20.399999999999999</v>
      </c>
      <c r="J7" s="4">
        <v>21.3</v>
      </c>
      <c r="K7" s="4">
        <v>20.399999999999999</v>
      </c>
      <c r="L7" s="4">
        <v>21.3</v>
      </c>
      <c r="M7" s="4">
        <v>21.9</v>
      </c>
      <c r="N7" s="4">
        <v>22.4</v>
      </c>
      <c r="O7" s="4">
        <v>21.4</v>
      </c>
      <c r="P7" s="4">
        <f t="shared" si="0"/>
        <v>20.650000000000002</v>
      </c>
      <c r="Q7" s="4"/>
      <c r="R7" s="4"/>
      <c r="S7" s="4"/>
    </row>
    <row r="8" spans="1:19" x14ac:dyDescent="0.25">
      <c r="A8" s="15" t="s">
        <v>451</v>
      </c>
      <c r="B8" s="4"/>
      <c r="C8" s="4">
        <v>20.2</v>
      </c>
      <c r="D8" s="4">
        <v>19.8</v>
      </c>
      <c r="E8" s="4">
        <v>20</v>
      </c>
      <c r="F8" s="4">
        <v>20.6</v>
      </c>
      <c r="G8" s="4">
        <v>20.6</v>
      </c>
      <c r="H8" s="4">
        <v>21.1</v>
      </c>
      <c r="I8" s="4">
        <v>21</v>
      </c>
      <c r="J8" s="4">
        <v>21.8</v>
      </c>
      <c r="K8" s="4">
        <v>19.399999999999999</v>
      </c>
      <c r="L8" s="4">
        <v>22.3</v>
      </c>
      <c r="M8" s="4">
        <v>22.2</v>
      </c>
      <c r="N8" s="4">
        <v>22.5</v>
      </c>
      <c r="O8" s="4">
        <v>22.5</v>
      </c>
      <c r="P8" s="4">
        <f t="shared" si="0"/>
        <v>20.68</v>
      </c>
      <c r="Q8" s="4"/>
      <c r="R8" s="4"/>
      <c r="S8" s="4"/>
    </row>
    <row r="9" spans="1:19" x14ac:dyDescent="0.25">
      <c r="A9" s="15" t="s">
        <v>452</v>
      </c>
      <c r="B9" s="4"/>
      <c r="C9" s="4">
        <v>20.100000000000001</v>
      </c>
      <c r="D9" s="4">
        <v>19</v>
      </c>
      <c r="E9" s="4">
        <v>20.2</v>
      </c>
      <c r="F9" s="4">
        <v>21.1</v>
      </c>
      <c r="G9" s="4">
        <v>21.4</v>
      </c>
      <c r="H9" s="4">
        <v>21.2</v>
      </c>
      <c r="I9" s="4">
        <v>21.3</v>
      </c>
      <c r="J9" s="4">
        <v>22</v>
      </c>
      <c r="K9" s="4">
        <v>22.1</v>
      </c>
      <c r="L9" s="4">
        <v>22</v>
      </c>
      <c r="M9" s="4">
        <v>22.8</v>
      </c>
      <c r="N9" s="4">
        <v>23.4</v>
      </c>
      <c r="O9" s="4">
        <v>22.1</v>
      </c>
      <c r="P9" s="4">
        <f t="shared" si="0"/>
        <v>21.04</v>
      </c>
      <c r="Q9" s="4"/>
      <c r="R9" s="4"/>
      <c r="S9" s="4"/>
    </row>
    <row r="10" spans="1:19" x14ac:dyDescent="0.25">
      <c r="A10" s="15" t="s">
        <v>453</v>
      </c>
      <c r="B10" s="4"/>
      <c r="C10" s="4">
        <v>18.3</v>
      </c>
      <c r="D10" s="4">
        <v>18.3</v>
      </c>
      <c r="E10" s="4">
        <v>19.2</v>
      </c>
      <c r="F10" s="4">
        <v>19.899999999999999</v>
      </c>
      <c r="G10" s="4">
        <v>19.899999999999999</v>
      </c>
      <c r="H10" s="4">
        <v>19.399999999999999</v>
      </c>
      <c r="I10" s="4">
        <v>19.399999999999999</v>
      </c>
      <c r="J10" s="4">
        <v>20.5</v>
      </c>
      <c r="K10" s="4">
        <v>19.8</v>
      </c>
      <c r="L10" s="4">
        <v>20.6</v>
      </c>
      <c r="M10" s="4">
        <v>20.6</v>
      </c>
      <c r="N10" s="4">
        <v>21.1</v>
      </c>
      <c r="O10" s="4">
        <v>20.8</v>
      </c>
      <c r="P10" s="4">
        <f t="shared" si="0"/>
        <v>19.53</v>
      </c>
      <c r="Q10" s="4"/>
      <c r="R10" s="4"/>
      <c r="S10" s="4"/>
    </row>
    <row r="11" spans="1:19" x14ac:dyDescent="0.25">
      <c r="A11" s="15" t="s">
        <v>454</v>
      </c>
      <c r="B11" s="4"/>
      <c r="C11" s="4">
        <v>18.5</v>
      </c>
      <c r="D11" s="4">
        <v>18.100000000000001</v>
      </c>
      <c r="E11" s="4">
        <v>18.899999999999999</v>
      </c>
      <c r="F11" s="4">
        <v>19.2</v>
      </c>
      <c r="G11" s="4">
        <v>19.7</v>
      </c>
      <c r="H11" s="4">
        <v>19.5</v>
      </c>
      <c r="I11" s="4">
        <v>19.899999999999999</v>
      </c>
      <c r="J11" s="4">
        <v>20.2</v>
      </c>
      <c r="K11" s="4">
        <v>20.399999999999999</v>
      </c>
      <c r="L11" s="4">
        <v>21.1</v>
      </c>
      <c r="M11" s="4">
        <v>21.9</v>
      </c>
      <c r="N11" s="4">
        <v>21.4</v>
      </c>
      <c r="O11" s="4">
        <v>21.4</v>
      </c>
      <c r="P11" s="4">
        <f t="shared" si="0"/>
        <v>19.55</v>
      </c>
      <c r="Q11" s="4"/>
      <c r="R11" s="4"/>
      <c r="S11" s="4"/>
    </row>
    <row r="12" spans="1:19" x14ac:dyDescent="0.25">
      <c r="A12" s="15" t="s">
        <v>455</v>
      </c>
      <c r="B12" s="4"/>
      <c r="C12" s="4">
        <v>19.100000000000001</v>
      </c>
      <c r="D12" s="4">
        <v>18.600000000000001</v>
      </c>
      <c r="E12" s="4">
        <v>18.8</v>
      </c>
      <c r="F12" s="4">
        <v>19.899999999999999</v>
      </c>
      <c r="G12" s="4">
        <v>19.5</v>
      </c>
      <c r="H12" s="4">
        <v>19.5</v>
      </c>
      <c r="I12" s="4">
        <v>19.7</v>
      </c>
      <c r="J12" s="4">
        <v>20.3</v>
      </c>
      <c r="K12" s="4">
        <v>19.7</v>
      </c>
      <c r="L12" s="4">
        <v>20.3</v>
      </c>
      <c r="M12" s="4">
        <v>20.2</v>
      </c>
      <c r="N12" s="4">
        <v>21.2</v>
      </c>
      <c r="O12" s="4">
        <v>21.9</v>
      </c>
      <c r="P12" s="4">
        <f t="shared" si="0"/>
        <v>19.54</v>
      </c>
      <c r="Q12" s="4"/>
      <c r="R12" s="4"/>
      <c r="S12" s="4"/>
    </row>
    <row r="13" spans="1:19" x14ac:dyDescent="0.25">
      <c r="A13" s="15" t="s">
        <v>456</v>
      </c>
      <c r="B13" s="4"/>
      <c r="C13" s="4">
        <v>19.3</v>
      </c>
      <c r="D13" s="4">
        <v>18.399999999999999</v>
      </c>
      <c r="E13" s="4">
        <v>19.600000000000001</v>
      </c>
      <c r="F13" s="4">
        <v>19.7</v>
      </c>
      <c r="G13" s="4">
        <v>19.899999999999999</v>
      </c>
      <c r="H13" s="4">
        <v>19.899999999999999</v>
      </c>
      <c r="I13" s="4">
        <v>20.5</v>
      </c>
      <c r="J13" s="4">
        <v>20.2</v>
      </c>
      <c r="K13" s="4">
        <v>20.2</v>
      </c>
      <c r="L13" s="4">
        <v>21</v>
      </c>
      <c r="M13" s="4">
        <v>20.5</v>
      </c>
      <c r="N13" s="4">
        <v>22.2</v>
      </c>
      <c r="O13" s="4">
        <v>21.1</v>
      </c>
      <c r="P13" s="4">
        <f t="shared" si="0"/>
        <v>19.869999999999997</v>
      </c>
      <c r="Q13" s="4"/>
      <c r="R13" s="4"/>
      <c r="S13" s="4"/>
    </row>
    <row r="14" spans="1:19" x14ac:dyDescent="0.25">
      <c r="A14" s="15" t="s">
        <v>457</v>
      </c>
      <c r="B14" s="4"/>
      <c r="C14" s="4">
        <v>22.6</v>
      </c>
      <c r="D14" s="4">
        <v>22.6</v>
      </c>
      <c r="E14" s="4">
        <v>22.5</v>
      </c>
      <c r="F14" s="4">
        <v>22.1</v>
      </c>
      <c r="G14" s="4">
        <v>22.8</v>
      </c>
      <c r="H14" s="4">
        <v>23.1</v>
      </c>
      <c r="I14" s="4">
        <v>22.7</v>
      </c>
      <c r="J14" s="4">
        <v>23.1</v>
      </c>
      <c r="K14" s="4">
        <v>24.1</v>
      </c>
      <c r="L14" s="4">
        <v>24.7</v>
      </c>
      <c r="M14" s="4">
        <v>25.8</v>
      </c>
      <c r="N14" s="4">
        <v>25.5</v>
      </c>
      <c r="O14" s="4"/>
      <c r="P14" s="4">
        <f t="shared" si="0"/>
        <v>23.029999999999998</v>
      </c>
      <c r="Q14" s="4"/>
      <c r="R14" s="4"/>
      <c r="S14" s="4"/>
    </row>
    <row r="15" spans="1:19" x14ac:dyDescent="0.25">
      <c r="A15" s="15" t="s">
        <v>458</v>
      </c>
      <c r="B15" s="4"/>
      <c r="C15" s="4">
        <v>24.4</v>
      </c>
      <c r="D15" s="4">
        <v>23.2</v>
      </c>
      <c r="E15" s="4">
        <v>24</v>
      </c>
      <c r="F15" s="4">
        <v>23.6</v>
      </c>
      <c r="G15" s="4">
        <v>24.5</v>
      </c>
      <c r="H15" s="4">
        <v>24.7</v>
      </c>
      <c r="I15" s="4">
        <v>23.9</v>
      </c>
      <c r="J15" s="4">
        <v>24.3</v>
      </c>
      <c r="K15" s="4">
        <v>24.9</v>
      </c>
      <c r="L15" s="4">
        <v>25.3</v>
      </c>
      <c r="M15" s="4">
        <v>25.6</v>
      </c>
      <c r="N15" s="4">
        <v>25.6</v>
      </c>
      <c r="O15" s="4"/>
      <c r="P15" s="4">
        <f t="shared" si="0"/>
        <v>24.28</v>
      </c>
      <c r="Q15" s="4"/>
      <c r="R15" s="4"/>
      <c r="S15" s="4"/>
    </row>
    <row r="16" spans="1:19" x14ac:dyDescent="0.25">
      <c r="A16" s="15" t="s">
        <v>459</v>
      </c>
      <c r="B16" s="4"/>
      <c r="C16" s="4">
        <v>25.1</v>
      </c>
      <c r="D16" s="4">
        <v>25.1</v>
      </c>
      <c r="E16" s="4">
        <v>25.1</v>
      </c>
      <c r="F16" s="4">
        <v>25.1</v>
      </c>
      <c r="G16" s="4">
        <v>25.8</v>
      </c>
      <c r="H16" s="4">
        <v>25.6</v>
      </c>
      <c r="I16" s="4">
        <v>25.4</v>
      </c>
      <c r="J16" s="4">
        <v>25.6</v>
      </c>
      <c r="K16" s="4">
        <v>25.6</v>
      </c>
      <c r="L16" s="4">
        <v>25.2</v>
      </c>
      <c r="M16" s="4">
        <v>25.8</v>
      </c>
      <c r="N16" s="4">
        <v>25.9</v>
      </c>
      <c r="O16" s="4"/>
      <c r="P16" s="4">
        <f t="shared" si="0"/>
        <v>25.36</v>
      </c>
      <c r="Q16" s="4"/>
      <c r="R16" s="4"/>
      <c r="S16" s="4"/>
    </row>
    <row r="17" spans="1:19" x14ac:dyDescent="0.25">
      <c r="A17" s="15" t="s">
        <v>460</v>
      </c>
      <c r="B17" s="4"/>
      <c r="C17" s="4">
        <v>22.1</v>
      </c>
      <c r="D17" s="4">
        <v>22.2</v>
      </c>
      <c r="E17" s="4">
        <v>22.8</v>
      </c>
      <c r="F17" s="4">
        <v>23</v>
      </c>
      <c r="G17" s="4">
        <v>23.3</v>
      </c>
      <c r="H17" s="4">
        <v>23.7</v>
      </c>
      <c r="I17" s="4">
        <v>22.9</v>
      </c>
      <c r="J17" s="4">
        <v>23.6</v>
      </c>
      <c r="K17" s="4">
        <v>23.9</v>
      </c>
      <c r="L17" s="4">
        <v>24.2</v>
      </c>
      <c r="M17" s="4">
        <v>25.2</v>
      </c>
      <c r="N17" s="4">
        <v>24.8</v>
      </c>
      <c r="O17" s="4"/>
      <c r="P17" s="4">
        <f t="shared" si="0"/>
        <v>23.169999999999998</v>
      </c>
      <c r="Q17" s="4"/>
      <c r="R17" s="4"/>
      <c r="S17" s="4"/>
    </row>
    <row r="18" spans="1:19" x14ac:dyDescent="0.25">
      <c r="A18" s="15" t="s">
        <v>461</v>
      </c>
      <c r="B18" s="4"/>
      <c r="C18" s="4">
        <v>22.7</v>
      </c>
      <c r="D18" s="4">
        <v>22.5</v>
      </c>
      <c r="E18" s="4">
        <v>23.2</v>
      </c>
      <c r="F18" s="4">
        <v>23.1</v>
      </c>
      <c r="G18" s="4">
        <v>22.9</v>
      </c>
      <c r="H18" s="4">
        <v>23.8</v>
      </c>
      <c r="I18" s="4">
        <v>23</v>
      </c>
      <c r="J18" s="4">
        <v>23.1</v>
      </c>
      <c r="K18" s="4">
        <v>23.6</v>
      </c>
      <c r="L18" s="4">
        <v>23.5</v>
      </c>
      <c r="M18" s="4">
        <v>24.5</v>
      </c>
      <c r="N18" s="4">
        <v>23.9</v>
      </c>
      <c r="O18" s="4"/>
      <c r="P18" s="4">
        <f t="shared" si="0"/>
        <v>23.14</v>
      </c>
      <c r="Q18" s="4"/>
      <c r="R18" s="4"/>
      <c r="S18" s="4"/>
    </row>
    <row r="19" spans="1:19" x14ac:dyDescent="0.25">
      <c r="A19" s="15" t="s">
        <v>462</v>
      </c>
      <c r="B19" s="4"/>
      <c r="C19" s="4">
        <v>24.9</v>
      </c>
      <c r="D19" s="4">
        <v>24.6</v>
      </c>
      <c r="E19" s="4">
        <v>25.5</v>
      </c>
      <c r="F19" s="4">
        <v>25.4</v>
      </c>
      <c r="G19" s="4">
        <v>26</v>
      </c>
      <c r="H19" s="4">
        <v>26.1</v>
      </c>
      <c r="I19" s="4">
        <v>26.1</v>
      </c>
      <c r="J19" s="4">
        <v>25.1</v>
      </c>
      <c r="K19" s="4">
        <v>25.7</v>
      </c>
      <c r="L19" s="4">
        <v>26.3</v>
      </c>
      <c r="M19" s="4">
        <v>26</v>
      </c>
      <c r="N19" s="4">
        <v>26.6</v>
      </c>
      <c r="O19" s="4"/>
      <c r="P19" s="4">
        <f t="shared" si="0"/>
        <v>25.57</v>
      </c>
      <c r="Q19" s="4"/>
      <c r="R19" s="4"/>
      <c r="S19" s="4"/>
    </row>
    <row r="20" spans="1:19" x14ac:dyDescent="0.25">
      <c r="A20" s="15" t="s">
        <v>463</v>
      </c>
      <c r="B20" s="4"/>
      <c r="C20" s="4">
        <v>23.1</v>
      </c>
      <c r="D20" s="4">
        <v>23.5</v>
      </c>
      <c r="E20" s="4">
        <v>23.9</v>
      </c>
      <c r="F20" s="4">
        <v>23.3</v>
      </c>
      <c r="G20" s="4">
        <v>24.5</v>
      </c>
      <c r="H20" s="4">
        <v>23.4</v>
      </c>
      <c r="I20" s="4">
        <v>23.3</v>
      </c>
      <c r="J20" s="4">
        <v>23.6</v>
      </c>
      <c r="K20" s="4">
        <v>23.3</v>
      </c>
      <c r="L20" s="4">
        <v>24</v>
      </c>
      <c r="M20" s="4">
        <v>24.9</v>
      </c>
      <c r="N20" s="4">
        <v>24.8</v>
      </c>
      <c r="O20" s="4"/>
      <c r="P20" s="4">
        <f t="shared" si="0"/>
        <v>23.59</v>
      </c>
      <c r="Q20" s="4"/>
      <c r="R20" s="4"/>
      <c r="S20" s="4"/>
    </row>
    <row r="21" spans="1:19" x14ac:dyDescent="0.25">
      <c r="A21" s="15" t="s">
        <v>464</v>
      </c>
      <c r="B21" s="4"/>
      <c r="C21" s="4">
        <v>22.7</v>
      </c>
      <c r="D21" s="4">
        <v>23.1</v>
      </c>
      <c r="E21" s="4">
        <v>23.3</v>
      </c>
      <c r="F21" s="4">
        <v>23.6</v>
      </c>
      <c r="G21" s="4">
        <v>24.7</v>
      </c>
      <c r="H21" s="4">
        <v>23.9</v>
      </c>
      <c r="I21" s="4">
        <v>24.2</v>
      </c>
      <c r="J21" s="4">
        <v>24.9</v>
      </c>
      <c r="K21" s="4">
        <v>24</v>
      </c>
      <c r="L21" s="4">
        <v>25.6</v>
      </c>
      <c r="M21" s="4">
        <v>25.1</v>
      </c>
      <c r="N21" s="4">
        <v>25.7</v>
      </c>
      <c r="O21" s="4"/>
      <c r="P21" s="4">
        <f t="shared" si="0"/>
        <v>23.999999999999996</v>
      </c>
      <c r="Q21" s="4"/>
      <c r="R21" s="4"/>
      <c r="S21" s="4"/>
    </row>
    <row r="22" spans="1:19" x14ac:dyDescent="0.25">
      <c r="A22" s="15" t="s">
        <v>465</v>
      </c>
      <c r="B22" s="4"/>
      <c r="C22" s="4">
        <v>23.8</v>
      </c>
      <c r="D22" s="4">
        <v>23.7</v>
      </c>
      <c r="E22" s="4">
        <v>24.2</v>
      </c>
      <c r="F22" s="4">
        <v>25.1</v>
      </c>
      <c r="G22" s="4">
        <v>25.9</v>
      </c>
      <c r="H22" s="4">
        <v>25.5</v>
      </c>
      <c r="I22" s="4">
        <v>26.1</v>
      </c>
      <c r="J22" s="4">
        <v>26.4</v>
      </c>
      <c r="K22" s="4">
        <v>25.6</v>
      </c>
      <c r="L22" s="4">
        <v>27.1</v>
      </c>
      <c r="M22" s="4">
        <v>27.3</v>
      </c>
      <c r="N22" s="4">
        <v>27.7</v>
      </c>
      <c r="O22" s="4"/>
      <c r="P22" s="4">
        <f t="shared" si="0"/>
        <v>25.34</v>
      </c>
      <c r="Q22" s="4"/>
      <c r="R22" s="4" t="s">
        <v>466</v>
      </c>
      <c r="S22" s="4">
        <f>_xlfn.T.TEST(P4:P13,P37:P46,2,2)</f>
        <v>0.93912050451544671</v>
      </c>
    </row>
    <row r="23" spans="1:19" x14ac:dyDescent="0.25">
      <c r="A23" s="15" t="s">
        <v>467</v>
      </c>
      <c r="B23" s="4"/>
      <c r="C23" s="4">
        <v>23.1</v>
      </c>
      <c r="D23" s="4">
        <v>22.6</v>
      </c>
      <c r="E23" s="4">
        <v>24</v>
      </c>
      <c r="F23" s="4">
        <v>23.5</v>
      </c>
      <c r="G23" s="4">
        <v>23.9</v>
      </c>
      <c r="H23" s="4">
        <v>23.7</v>
      </c>
      <c r="I23" s="4">
        <v>24.5</v>
      </c>
      <c r="J23" s="4">
        <v>25.3</v>
      </c>
      <c r="K23" s="4">
        <v>23.5</v>
      </c>
      <c r="L23" s="4">
        <v>25.1</v>
      </c>
      <c r="M23" s="4">
        <v>26.2</v>
      </c>
      <c r="N23" s="4">
        <v>26</v>
      </c>
      <c r="O23" s="4"/>
      <c r="P23" s="4">
        <f t="shared" si="0"/>
        <v>23.919999999999998</v>
      </c>
      <c r="Q23" s="4"/>
      <c r="R23" s="4" t="s">
        <v>468</v>
      </c>
      <c r="S23" s="4">
        <f>_xlfn.T.TEST(P14:P23,P47:P56,2,2)</f>
        <v>0.24705695493247828</v>
      </c>
    </row>
    <row r="24" spans="1:19" x14ac:dyDescent="0.25">
      <c r="A24" s="16" t="s">
        <v>469</v>
      </c>
      <c r="B24" s="17"/>
      <c r="C24" s="17">
        <f t="shared" ref="C24:O24" si="1">_xlfn.T.TEST(C4:C13,C37:C46,2,2)</f>
        <v>0.21424312617311347</v>
      </c>
      <c r="D24" s="17">
        <f t="shared" si="1"/>
        <v>0.89275198372212672</v>
      </c>
      <c r="E24" s="17">
        <f t="shared" si="1"/>
        <v>0.33672793865127393</v>
      </c>
      <c r="F24" s="17">
        <f t="shared" si="1"/>
        <v>0.37122259605752239</v>
      </c>
      <c r="G24" s="17">
        <f t="shared" si="1"/>
        <v>0.33670401515967585</v>
      </c>
      <c r="H24" s="17">
        <f t="shared" si="1"/>
        <v>0.73013775601320186</v>
      </c>
      <c r="I24" s="17">
        <f t="shared" si="1"/>
        <v>0.54873216993571883</v>
      </c>
      <c r="J24" s="17">
        <f t="shared" si="1"/>
        <v>0.61145303207076807</v>
      </c>
      <c r="K24" s="17">
        <f t="shared" si="1"/>
        <v>0.64006063866671059</v>
      </c>
      <c r="L24" s="31">
        <f t="shared" si="1"/>
        <v>7.0214267814830492E-2</v>
      </c>
      <c r="M24" s="31">
        <f t="shared" si="1"/>
        <v>8.0906978260064724E-3</v>
      </c>
      <c r="N24" s="17">
        <f t="shared" si="1"/>
        <v>0.18171784895276075</v>
      </c>
      <c r="O24" s="17">
        <f t="shared" si="1"/>
        <v>0.2925780258378986</v>
      </c>
      <c r="P24" s="18"/>
      <c r="Q24" s="18"/>
      <c r="R24" s="18"/>
      <c r="S24" s="17"/>
    </row>
    <row r="25" spans="1:19" x14ac:dyDescent="0.25">
      <c r="A25" s="16" t="s">
        <v>469</v>
      </c>
      <c r="B25" s="17"/>
      <c r="C25" s="17">
        <f t="shared" ref="C25:N25" si="2">_xlfn.T.TEST(C14:C23,C47:C56,2,2)</f>
        <v>0.60418935960402453</v>
      </c>
      <c r="D25" s="17">
        <f t="shared" si="2"/>
        <v>0.52421879958306405</v>
      </c>
      <c r="E25" s="17">
        <f t="shared" si="2"/>
        <v>0.83970021416095164</v>
      </c>
      <c r="F25" s="17">
        <f t="shared" si="2"/>
        <v>0.25080481646305591</v>
      </c>
      <c r="G25" s="17">
        <f t="shared" si="2"/>
        <v>0.42128562493251331</v>
      </c>
      <c r="H25" s="17">
        <f t="shared" si="2"/>
        <v>0.61627620938858585</v>
      </c>
      <c r="I25" s="17">
        <f t="shared" si="2"/>
        <v>0.83061154254208713</v>
      </c>
      <c r="J25" s="17">
        <f t="shared" si="2"/>
        <v>0.5450455973634355</v>
      </c>
      <c r="K25" s="17">
        <f t="shared" si="2"/>
        <v>6.8537331077266658E-2</v>
      </c>
      <c r="L25" s="17">
        <f t="shared" si="2"/>
        <v>0.3001603934709362</v>
      </c>
      <c r="M25" s="17">
        <f t="shared" si="2"/>
        <v>0.19344463561367473</v>
      </c>
      <c r="N25" s="17">
        <f t="shared" si="2"/>
        <v>0.1530722486263443</v>
      </c>
      <c r="O25" s="19" t="s">
        <v>470</v>
      </c>
      <c r="P25" s="20">
        <f>AVERAGE(P4:P13)</f>
        <v>20.253</v>
      </c>
      <c r="Q25" s="21" t="s">
        <v>471</v>
      </c>
      <c r="R25" s="22">
        <f>AVERAGE(P37:P46)</f>
        <v>20.273846153846154</v>
      </c>
      <c r="S25" s="17"/>
    </row>
    <row r="26" spans="1:19" x14ac:dyDescent="0.25">
      <c r="A26" s="4" t="s">
        <v>444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3" t="s">
        <v>472</v>
      </c>
      <c r="P26" s="24">
        <f>AVERAGE(P14:P23)</f>
        <v>24.14</v>
      </c>
      <c r="Q26" s="25" t="s">
        <v>473</v>
      </c>
      <c r="R26" s="26">
        <f>AVERAGE(P47:P56)</f>
        <v>24.664999999999999</v>
      </c>
      <c r="S26" s="4"/>
    </row>
    <row r="27" spans="1:19" x14ac:dyDescent="0.25">
      <c r="Q27" s="4"/>
      <c r="R27" s="4"/>
      <c r="S27" s="4"/>
    </row>
    <row r="28" spans="1:19" x14ac:dyDescent="0.25">
      <c r="B28" t="s">
        <v>494</v>
      </c>
      <c r="C28">
        <f>AVERAGE(C4:C13)</f>
        <v>19.510000000000002</v>
      </c>
      <c r="D28">
        <f t="shared" ref="D28:O28" si="3">AVERAGE(D4:D13)</f>
        <v>19.14</v>
      </c>
      <c r="E28">
        <f t="shared" si="3"/>
        <v>19.899999999999999</v>
      </c>
      <c r="F28">
        <f t="shared" si="3"/>
        <v>20.349999999999998</v>
      </c>
      <c r="G28">
        <f t="shared" si="3"/>
        <v>20.39</v>
      </c>
      <c r="H28">
        <f t="shared" si="3"/>
        <v>20.279999999999998</v>
      </c>
      <c r="I28">
        <f t="shared" si="3"/>
        <v>20.49</v>
      </c>
      <c r="J28">
        <f t="shared" si="3"/>
        <v>21.04</v>
      </c>
      <c r="K28">
        <f t="shared" si="3"/>
        <v>20.07</v>
      </c>
      <c r="L28" s="32">
        <f t="shared" si="3"/>
        <v>21.36</v>
      </c>
      <c r="M28" s="32">
        <f t="shared" si="3"/>
        <v>21.689999999999998</v>
      </c>
      <c r="N28">
        <f t="shared" si="3"/>
        <v>22.29</v>
      </c>
      <c r="O28">
        <f t="shared" si="3"/>
        <v>21.78</v>
      </c>
      <c r="Q28" s="4"/>
      <c r="R28" s="4"/>
      <c r="S28" s="4"/>
    </row>
    <row r="29" spans="1:19" x14ac:dyDescent="0.25">
      <c r="B29" t="s">
        <v>495</v>
      </c>
      <c r="C29">
        <f t="shared" ref="C29:O29" si="4">AVERAGE(C37:C46)</f>
        <v>19.09</v>
      </c>
      <c r="D29">
        <f t="shared" si="4"/>
        <v>19.09</v>
      </c>
      <c r="E29">
        <f t="shared" si="4"/>
        <v>19.57</v>
      </c>
      <c r="F29">
        <f t="shared" si="4"/>
        <v>20.080000000000002</v>
      </c>
      <c r="G29">
        <f t="shared" si="4"/>
        <v>20.099999999999998</v>
      </c>
      <c r="H29">
        <f t="shared" si="4"/>
        <v>20.18</v>
      </c>
      <c r="I29">
        <f t="shared" si="4"/>
        <v>20.29</v>
      </c>
      <c r="J29">
        <f t="shared" si="4"/>
        <v>20.880000000000003</v>
      </c>
      <c r="K29">
        <f t="shared" si="4"/>
        <v>19.889999999999997</v>
      </c>
      <c r="L29" s="32">
        <f t="shared" si="4"/>
        <v>20.560000000000002</v>
      </c>
      <c r="M29" s="32">
        <f t="shared" si="4"/>
        <v>20.669999999999998</v>
      </c>
      <c r="N29">
        <f t="shared" si="4"/>
        <v>21.770000000000003</v>
      </c>
      <c r="O29">
        <f t="shared" si="4"/>
        <v>21.39</v>
      </c>
      <c r="Q29" s="4"/>
      <c r="R29" s="4"/>
      <c r="S29" s="4"/>
    </row>
    <row r="30" spans="1:19" x14ac:dyDescent="0.25">
      <c r="B30" t="s">
        <v>496</v>
      </c>
      <c r="C30">
        <f>AVERAGE(C14:C23)</f>
        <v>23.449999999999996</v>
      </c>
      <c r="D30">
        <f t="shared" ref="D30:N30" si="5">AVERAGE(D14:D23)</f>
        <v>23.31</v>
      </c>
      <c r="E30">
        <f t="shared" si="5"/>
        <v>23.85</v>
      </c>
      <c r="F30">
        <f t="shared" si="5"/>
        <v>23.78</v>
      </c>
      <c r="G30">
        <f t="shared" si="5"/>
        <v>24.43</v>
      </c>
      <c r="H30">
        <f t="shared" si="5"/>
        <v>24.35</v>
      </c>
      <c r="I30">
        <f t="shared" si="5"/>
        <v>24.21</v>
      </c>
      <c r="J30">
        <f t="shared" si="5"/>
        <v>24.5</v>
      </c>
      <c r="K30">
        <f t="shared" si="5"/>
        <v>24.419999999999998</v>
      </c>
      <c r="L30">
        <f t="shared" si="5"/>
        <v>25.1</v>
      </c>
      <c r="M30">
        <f t="shared" si="5"/>
        <v>25.640000000000004</v>
      </c>
      <c r="N30">
        <f t="shared" si="5"/>
        <v>25.65</v>
      </c>
      <c r="Q30" s="4"/>
      <c r="R30" s="4"/>
      <c r="S30" s="4"/>
    </row>
    <row r="31" spans="1:19" x14ac:dyDescent="0.25">
      <c r="B31" t="s">
        <v>497</v>
      </c>
      <c r="C31">
        <f>AVERAGE(C47:C56)</f>
        <v>23.229999999999997</v>
      </c>
      <c r="D31">
        <f t="shared" ref="D31:N31" si="6">AVERAGE(D47:D56)</f>
        <v>23.04</v>
      </c>
      <c r="E31">
        <f t="shared" si="6"/>
        <v>23.94</v>
      </c>
      <c r="F31">
        <f t="shared" si="6"/>
        <v>24.29</v>
      </c>
      <c r="G31">
        <f t="shared" si="6"/>
        <v>24.02</v>
      </c>
      <c r="H31">
        <f t="shared" si="6"/>
        <v>24.59</v>
      </c>
      <c r="I31">
        <f t="shared" si="6"/>
        <v>24.33</v>
      </c>
      <c r="J31">
        <f t="shared" si="6"/>
        <v>24.810000000000002</v>
      </c>
      <c r="K31">
        <f t="shared" si="6"/>
        <v>25.28</v>
      </c>
      <c r="L31">
        <f t="shared" si="6"/>
        <v>25.610000000000003</v>
      </c>
      <c r="M31">
        <f t="shared" si="6"/>
        <v>26.25</v>
      </c>
      <c r="N31">
        <f t="shared" si="6"/>
        <v>26.589999999999996</v>
      </c>
      <c r="Q31" s="4"/>
      <c r="R31" s="4"/>
      <c r="S31" s="4"/>
    </row>
    <row r="32" spans="1:19" x14ac:dyDescent="0.25">
      <c r="Q32" s="4"/>
      <c r="R32" s="4"/>
      <c r="S32" s="4"/>
    </row>
    <row r="33" spans="1:19" x14ac:dyDescent="0.25">
      <c r="Q33" s="4"/>
      <c r="R33" s="4"/>
      <c r="S33" s="4"/>
    </row>
    <row r="34" spans="1:19" x14ac:dyDescent="0.25">
      <c r="Q34" s="4"/>
      <c r="R34" s="4"/>
      <c r="S34" s="4"/>
    </row>
    <row r="35" spans="1:19" x14ac:dyDescent="0.25">
      <c r="A35" s="4"/>
      <c r="B35" s="4" t="s">
        <v>445</v>
      </c>
      <c r="C35" s="4">
        <v>0</v>
      </c>
      <c r="D35" s="4">
        <v>1</v>
      </c>
      <c r="E35" s="4">
        <v>2</v>
      </c>
      <c r="F35" s="4">
        <v>3</v>
      </c>
      <c r="G35" s="4">
        <v>4</v>
      </c>
      <c r="H35" s="4">
        <v>5</v>
      </c>
      <c r="I35" s="4">
        <v>6</v>
      </c>
      <c r="J35" s="4">
        <v>7</v>
      </c>
      <c r="K35" s="4">
        <v>8</v>
      </c>
      <c r="L35" s="4">
        <v>9</v>
      </c>
      <c r="M35" s="4">
        <v>10</v>
      </c>
      <c r="N35" s="4">
        <v>11</v>
      </c>
      <c r="O35" s="4">
        <v>12</v>
      </c>
      <c r="P35" s="4"/>
      <c r="Q35" s="4"/>
      <c r="R35" s="4"/>
      <c r="S35" s="4"/>
    </row>
    <row r="36" spans="1:1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5">
      <c r="A37" s="27" t="s">
        <v>474</v>
      </c>
      <c r="B37" s="4"/>
      <c r="C37" s="4">
        <v>20</v>
      </c>
      <c r="D37" s="4">
        <v>19</v>
      </c>
      <c r="E37" s="4">
        <v>20</v>
      </c>
      <c r="F37" s="4">
        <v>19.899999999999999</v>
      </c>
      <c r="G37" s="4">
        <v>19.100000000000001</v>
      </c>
      <c r="H37" s="4">
        <v>19.8</v>
      </c>
      <c r="I37" s="4">
        <v>20.7</v>
      </c>
      <c r="J37" s="4">
        <v>21.7</v>
      </c>
      <c r="K37" s="4">
        <v>20</v>
      </c>
      <c r="L37" s="4">
        <v>20.2</v>
      </c>
      <c r="M37" s="4">
        <v>21</v>
      </c>
      <c r="N37" s="4">
        <v>22</v>
      </c>
      <c r="O37" s="4">
        <v>21.4</v>
      </c>
      <c r="P37" s="4">
        <f>AVERAGE(C37:O37)</f>
        <v>20.369230769230764</v>
      </c>
      <c r="Q37" s="4"/>
      <c r="R37" s="4"/>
      <c r="S37" s="4"/>
    </row>
    <row r="38" spans="1:19" x14ac:dyDescent="0.25">
      <c r="A38" s="27" t="s">
        <v>475</v>
      </c>
      <c r="B38" s="4"/>
      <c r="C38" s="4">
        <v>18.5</v>
      </c>
      <c r="D38" s="4">
        <v>18.600000000000001</v>
      </c>
      <c r="E38" s="4">
        <v>19.399999999999999</v>
      </c>
      <c r="F38" s="4">
        <v>19.399999999999999</v>
      </c>
      <c r="G38" s="4">
        <v>20</v>
      </c>
      <c r="H38" s="4">
        <v>20.399999999999999</v>
      </c>
      <c r="I38" s="4">
        <v>19.7</v>
      </c>
      <c r="J38" s="4">
        <v>20.8</v>
      </c>
      <c r="K38" s="4">
        <v>19.100000000000001</v>
      </c>
      <c r="L38" s="4">
        <v>21</v>
      </c>
      <c r="M38" s="4">
        <v>20.6</v>
      </c>
      <c r="N38" s="4">
        <v>21.2</v>
      </c>
      <c r="O38" s="4">
        <v>20.8</v>
      </c>
      <c r="P38" s="4">
        <f t="shared" ref="P38:P46" si="7">AVERAGE(C38:O38)</f>
        <v>19.96153846153846</v>
      </c>
      <c r="Q38" s="4"/>
      <c r="R38" s="4"/>
      <c r="S38" s="4"/>
    </row>
    <row r="39" spans="1:19" x14ac:dyDescent="0.25">
      <c r="A39" s="27" t="s">
        <v>476</v>
      </c>
      <c r="B39" s="4"/>
      <c r="C39" s="4">
        <v>18.7</v>
      </c>
      <c r="D39" s="4">
        <v>18.899999999999999</v>
      </c>
      <c r="E39" s="4">
        <v>20.100000000000001</v>
      </c>
      <c r="F39" s="4">
        <v>20</v>
      </c>
      <c r="G39" s="4">
        <v>20.100000000000001</v>
      </c>
      <c r="H39" s="4">
        <v>19.8</v>
      </c>
      <c r="I39" s="4">
        <v>20.5</v>
      </c>
      <c r="J39" s="4">
        <v>20.7</v>
      </c>
      <c r="K39" s="4">
        <v>19.5</v>
      </c>
      <c r="L39" s="4">
        <v>20</v>
      </c>
      <c r="M39" s="4">
        <v>20.8</v>
      </c>
      <c r="N39" s="4">
        <v>20.5</v>
      </c>
      <c r="O39" s="4">
        <v>21</v>
      </c>
      <c r="P39" s="4">
        <f t="shared" si="7"/>
        <v>20.046153846153842</v>
      </c>
      <c r="Q39" s="4"/>
      <c r="R39" s="4"/>
      <c r="S39" s="4"/>
    </row>
    <row r="40" spans="1:19" x14ac:dyDescent="0.25">
      <c r="A40" s="27" t="s">
        <v>477</v>
      </c>
      <c r="B40" s="4"/>
      <c r="C40" s="4">
        <v>18.8</v>
      </c>
      <c r="D40" s="4">
        <v>19.2</v>
      </c>
      <c r="E40" s="4">
        <v>18.899999999999999</v>
      </c>
      <c r="F40" s="4">
        <v>20</v>
      </c>
      <c r="G40" s="4">
        <v>20.399999999999999</v>
      </c>
      <c r="H40" s="4">
        <v>20.100000000000001</v>
      </c>
      <c r="I40" s="4">
        <v>20.100000000000001</v>
      </c>
      <c r="J40" s="4">
        <v>19.8</v>
      </c>
      <c r="K40" s="4">
        <v>19.8</v>
      </c>
      <c r="L40" s="4">
        <v>19.7</v>
      </c>
      <c r="M40" s="4">
        <v>20.5</v>
      </c>
      <c r="N40" s="4">
        <v>21.5</v>
      </c>
      <c r="O40" s="4">
        <v>21.3</v>
      </c>
      <c r="P40" s="4">
        <f t="shared" si="7"/>
        <v>20.007692307692309</v>
      </c>
      <c r="Q40" s="4"/>
      <c r="R40" s="4"/>
      <c r="S40" s="4"/>
    </row>
    <row r="41" spans="1:19" x14ac:dyDescent="0.25">
      <c r="A41" s="27" t="s">
        <v>478</v>
      </c>
      <c r="B41" s="4"/>
      <c r="C41" s="4">
        <v>19.8</v>
      </c>
      <c r="D41" s="4">
        <v>19.600000000000001</v>
      </c>
      <c r="E41" s="4">
        <v>19.5</v>
      </c>
      <c r="F41" s="4">
        <v>20.2</v>
      </c>
      <c r="G41" s="4">
        <v>20.5</v>
      </c>
      <c r="H41" s="4">
        <v>19.899999999999999</v>
      </c>
      <c r="I41" s="4">
        <v>19.5</v>
      </c>
      <c r="J41" s="4">
        <v>20</v>
      </c>
      <c r="K41" s="4">
        <v>18.600000000000001</v>
      </c>
      <c r="L41" s="4">
        <v>19.3</v>
      </c>
      <c r="M41" s="4">
        <v>20.3</v>
      </c>
      <c r="N41" s="4">
        <v>22</v>
      </c>
      <c r="O41" s="4">
        <v>21</v>
      </c>
      <c r="P41" s="4">
        <f t="shared" si="7"/>
        <v>20.015384615384619</v>
      </c>
      <c r="Q41" s="4"/>
      <c r="R41" s="4"/>
      <c r="S41" s="4"/>
    </row>
    <row r="42" spans="1:19" x14ac:dyDescent="0.25">
      <c r="A42" s="27" t="s">
        <v>479</v>
      </c>
      <c r="B42" s="4"/>
      <c r="C42" s="4">
        <v>19.100000000000001</v>
      </c>
      <c r="D42" s="4">
        <v>18.3</v>
      </c>
      <c r="E42" s="4">
        <v>19.5</v>
      </c>
      <c r="F42" s="4">
        <v>20</v>
      </c>
      <c r="G42" s="4">
        <v>20.6</v>
      </c>
      <c r="H42" s="4">
        <v>21.3</v>
      </c>
      <c r="I42" s="4">
        <v>21</v>
      </c>
      <c r="J42" s="4">
        <v>21.4</v>
      </c>
      <c r="K42" s="4">
        <v>21.5</v>
      </c>
      <c r="L42" s="4">
        <v>22.7</v>
      </c>
      <c r="M42" s="4">
        <v>21.5</v>
      </c>
      <c r="N42" s="4">
        <v>23.1</v>
      </c>
      <c r="O42" s="4">
        <v>22.8</v>
      </c>
      <c r="P42" s="4">
        <f t="shared" si="7"/>
        <v>20.984615384615385</v>
      </c>
      <c r="Q42" s="4"/>
      <c r="R42" s="4"/>
      <c r="S42" s="4"/>
    </row>
    <row r="43" spans="1:19" x14ac:dyDescent="0.25">
      <c r="A43" s="27" t="s">
        <v>480</v>
      </c>
      <c r="B43" s="4"/>
      <c r="C43" s="4">
        <v>20.399999999999999</v>
      </c>
      <c r="D43" s="4">
        <v>21.2</v>
      </c>
      <c r="E43" s="4">
        <v>20.9</v>
      </c>
      <c r="F43" s="4">
        <v>21.8</v>
      </c>
      <c r="G43" s="4">
        <v>21.2</v>
      </c>
      <c r="H43" s="4">
        <v>21.1</v>
      </c>
      <c r="I43" s="4">
        <v>21.3</v>
      </c>
      <c r="J43" s="4">
        <v>21.8</v>
      </c>
      <c r="K43" s="4">
        <v>21</v>
      </c>
      <c r="L43" s="4">
        <v>21.9</v>
      </c>
      <c r="M43" s="4">
        <v>21.5</v>
      </c>
      <c r="N43" s="4">
        <v>22.8</v>
      </c>
      <c r="O43" s="4">
        <v>23</v>
      </c>
      <c r="P43" s="4">
        <f t="shared" si="7"/>
        <v>21.530769230769234</v>
      </c>
      <c r="Q43" s="4"/>
      <c r="R43" s="4"/>
      <c r="S43" s="4"/>
    </row>
    <row r="44" spans="1:19" x14ac:dyDescent="0.25">
      <c r="A44" s="27" t="s">
        <v>481</v>
      </c>
      <c r="B44" s="4"/>
      <c r="C44" s="4">
        <v>18.600000000000001</v>
      </c>
      <c r="D44" s="4">
        <v>18.7</v>
      </c>
      <c r="E44" s="4">
        <v>19.8</v>
      </c>
      <c r="F44" s="4">
        <v>20.399999999999999</v>
      </c>
      <c r="G44" s="4">
        <v>20.100000000000001</v>
      </c>
      <c r="H44" s="4">
        <v>20.100000000000001</v>
      </c>
      <c r="I44" s="4">
        <v>21.1</v>
      </c>
      <c r="J44" s="4">
        <v>21.4</v>
      </c>
      <c r="K44" s="4">
        <v>20.2</v>
      </c>
      <c r="L44" s="4">
        <v>21</v>
      </c>
      <c r="M44" s="4">
        <v>20.6</v>
      </c>
      <c r="N44" s="4">
        <v>22.5</v>
      </c>
      <c r="O44" s="4">
        <v>21.7</v>
      </c>
      <c r="P44" s="4">
        <f t="shared" si="7"/>
        <v>20.476923076923075</v>
      </c>
      <c r="Q44" s="4"/>
      <c r="R44" s="4"/>
      <c r="S44" s="4"/>
    </row>
    <row r="45" spans="1:19" x14ac:dyDescent="0.25">
      <c r="A45" s="27" t="s">
        <v>482</v>
      </c>
      <c r="B45" s="4"/>
      <c r="C45" s="4">
        <v>18.600000000000001</v>
      </c>
      <c r="D45" s="4">
        <v>18.600000000000001</v>
      </c>
      <c r="E45" s="4">
        <v>19</v>
      </c>
      <c r="F45" s="4">
        <v>19.7</v>
      </c>
      <c r="G45" s="4">
        <v>19.100000000000001</v>
      </c>
      <c r="H45" s="4">
        <v>19.899999999999999</v>
      </c>
      <c r="I45" s="4">
        <v>19.2</v>
      </c>
      <c r="J45" s="4">
        <v>20.3</v>
      </c>
      <c r="K45" s="4">
        <v>19.2</v>
      </c>
      <c r="L45" s="4">
        <v>19.8</v>
      </c>
      <c r="M45" s="4">
        <v>19.600000000000001</v>
      </c>
      <c r="N45" s="4">
        <v>20.9</v>
      </c>
      <c r="O45" s="4">
        <v>20</v>
      </c>
      <c r="P45" s="4">
        <f t="shared" si="7"/>
        <v>19.530769230769231</v>
      </c>
      <c r="Q45" s="4"/>
      <c r="R45" s="4"/>
      <c r="S45" s="4"/>
    </row>
    <row r="46" spans="1:19" x14ac:dyDescent="0.25">
      <c r="A46" s="27" t="s">
        <v>483</v>
      </c>
      <c r="B46" s="4"/>
      <c r="C46" s="4">
        <v>18.399999999999999</v>
      </c>
      <c r="D46" s="4">
        <v>18.8</v>
      </c>
      <c r="E46" s="4">
        <v>18.600000000000001</v>
      </c>
      <c r="F46" s="4">
        <v>19.399999999999999</v>
      </c>
      <c r="G46" s="4">
        <v>19.899999999999999</v>
      </c>
      <c r="H46" s="4">
        <v>19.399999999999999</v>
      </c>
      <c r="I46" s="4">
        <v>19.8</v>
      </c>
      <c r="J46" s="4">
        <v>20.9</v>
      </c>
      <c r="K46" s="4">
        <v>20</v>
      </c>
      <c r="L46" s="4">
        <v>20</v>
      </c>
      <c r="M46" s="4">
        <v>20.3</v>
      </c>
      <c r="N46" s="4">
        <v>21.2</v>
      </c>
      <c r="O46" s="4">
        <v>20.9</v>
      </c>
      <c r="P46" s="4">
        <f t="shared" si="7"/>
        <v>19.815384615384616</v>
      </c>
      <c r="Q46" s="4"/>
      <c r="R46" s="4"/>
      <c r="S46" s="4"/>
    </row>
    <row r="47" spans="1:19" x14ac:dyDescent="0.25">
      <c r="A47" s="27" t="s">
        <v>484</v>
      </c>
      <c r="B47" s="4"/>
      <c r="C47" s="4">
        <v>22.9</v>
      </c>
      <c r="D47" s="4">
        <v>22.5</v>
      </c>
      <c r="E47" s="4">
        <v>23.4</v>
      </c>
      <c r="F47" s="4">
        <v>23.9</v>
      </c>
      <c r="G47" s="4">
        <v>23.8</v>
      </c>
      <c r="H47" s="4">
        <v>23.9</v>
      </c>
      <c r="I47" s="4">
        <v>23.6</v>
      </c>
      <c r="J47" s="4">
        <v>23.8</v>
      </c>
      <c r="K47" s="4">
        <v>25</v>
      </c>
      <c r="L47" s="4">
        <v>25.7</v>
      </c>
      <c r="M47" s="4">
        <v>26.9</v>
      </c>
      <c r="N47" s="4">
        <v>26.2</v>
      </c>
      <c r="O47" s="4"/>
      <c r="P47" s="4">
        <f>AVERAGE(C47:N47)</f>
        <v>24.299999999999997</v>
      </c>
      <c r="Q47" s="4"/>
      <c r="R47" s="4"/>
      <c r="S47" s="4"/>
    </row>
    <row r="48" spans="1:19" x14ac:dyDescent="0.25">
      <c r="A48" s="27" t="s">
        <v>485</v>
      </c>
      <c r="B48" s="4"/>
      <c r="C48" s="4">
        <v>24.1</v>
      </c>
      <c r="D48" s="4">
        <v>24.2</v>
      </c>
      <c r="E48" s="4">
        <v>25.8</v>
      </c>
      <c r="F48" s="4">
        <v>26.1</v>
      </c>
      <c r="G48" s="4">
        <v>25.8</v>
      </c>
      <c r="H48" s="4">
        <v>27</v>
      </c>
      <c r="I48" s="4">
        <v>26.2</v>
      </c>
      <c r="J48" s="4">
        <v>26.4</v>
      </c>
      <c r="K48" s="4">
        <v>27.5</v>
      </c>
      <c r="L48" s="4">
        <v>28.1</v>
      </c>
      <c r="M48" s="4">
        <v>28.9</v>
      </c>
      <c r="N48" s="4">
        <v>30.6</v>
      </c>
      <c r="O48" s="4"/>
      <c r="P48" s="4">
        <f t="shared" ref="P48:P56" si="8">AVERAGE(C48:N48)</f>
        <v>26.724999999999998</v>
      </c>
      <c r="Q48" s="4"/>
      <c r="R48" s="4"/>
      <c r="S48" s="4"/>
    </row>
    <row r="49" spans="1:16" x14ac:dyDescent="0.25">
      <c r="A49" s="27" t="s">
        <v>486</v>
      </c>
      <c r="B49" s="4"/>
      <c r="C49" s="4">
        <v>22.2</v>
      </c>
      <c r="D49" s="4">
        <v>22</v>
      </c>
      <c r="E49" s="4">
        <v>22.3</v>
      </c>
      <c r="F49" s="4">
        <v>23.4</v>
      </c>
      <c r="G49" s="4">
        <v>22.5</v>
      </c>
      <c r="H49" s="4">
        <v>23.4</v>
      </c>
      <c r="I49" s="4">
        <v>22.5</v>
      </c>
      <c r="J49" s="4">
        <v>23.7</v>
      </c>
      <c r="K49" s="4">
        <v>25.1</v>
      </c>
      <c r="L49" s="4">
        <v>24.3</v>
      </c>
      <c r="M49" s="4">
        <v>25.4</v>
      </c>
      <c r="N49" s="4">
        <v>24.8</v>
      </c>
      <c r="O49" s="4"/>
      <c r="P49" s="4">
        <f t="shared" si="8"/>
        <v>23.466666666666669</v>
      </c>
    </row>
    <row r="50" spans="1:16" x14ac:dyDescent="0.25">
      <c r="A50" s="27" t="s">
        <v>487</v>
      </c>
      <c r="B50" s="4"/>
      <c r="C50" s="4">
        <v>23</v>
      </c>
      <c r="D50" s="4">
        <v>22.9</v>
      </c>
      <c r="E50" s="4">
        <v>24.2</v>
      </c>
      <c r="F50" s="4">
        <v>24.1</v>
      </c>
      <c r="G50" s="4">
        <v>24.1</v>
      </c>
      <c r="H50" s="4">
        <v>24.6</v>
      </c>
      <c r="I50" s="4">
        <v>24.2</v>
      </c>
      <c r="J50" s="4">
        <v>24</v>
      </c>
      <c r="K50" s="4">
        <v>25.9</v>
      </c>
      <c r="L50" s="4">
        <v>25.3</v>
      </c>
      <c r="M50" s="4">
        <v>25.4</v>
      </c>
      <c r="N50" s="4">
        <v>25.7</v>
      </c>
      <c r="O50" s="4"/>
      <c r="P50" s="4">
        <f t="shared" si="8"/>
        <v>24.45</v>
      </c>
    </row>
    <row r="51" spans="1:16" x14ac:dyDescent="0.25">
      <c r="A51" s="27" t="s">
        <v>488</v>
      </c>
      <c r="B51" s="4"/>
      <c r="C51" s="4">
        <v>22.8</v>
      </c>
      <c r="D51" s="4">
        <v>22.7</v>
      </c>
      <c r="E51" s="4">
        <v>23.7</v>
      </c>
      <c r="F51" s="4">
        <v>23.9</v>
      </c>
      <c r="G51" s="4">
        <v>23.2</v>
      </c>
      <c r="H51" s="4">
        <v>24</v>
      </c>
      <c r="I51" s="4">
        <v>23.2</v>
      </c>
      <c r="J51" s="4">
        <v>23.8</v>
      </c>
      <c r="K51" s="4">
        <v>24</v>
      </c>
      <c r="L51" s="4">
        <v>25.2</v>
      </c>
      <c r="M51" s="4">
        <v>25.6</v>
      </c>
      <c r="N51" s="4">
        <v>26.4</v>
      </c>
      <c r="O51" s="4"/>
      <c r="P51" s="4">
        <f t="shared" si="8"/>
        <v>24.041666666666668</v>
      </c>
    </row>
    <row r="52" spans="1:16" x14ac:dyDescent="0.25">
      <c r="A52" s="27" t="s">
        <v>489</v>
      </c>
      <c r="B52" s="4"/>
      <c r="C52" s="4">
        <v>23.7</v>
      </c>
      <c r="D52" s="4">
        <v>23.6</v>
      </c>
      <c r="E52" s="4">
        <v>24.5</v>
      </c>
      <c r="F52" s="4">
        <v>24.8</v>
      </c>
      <c r="G52" s="4">
        <v>24.5</v>
      </c>
      <c r="H52" s="4">
        <v>25.1</v>
      </c>
      <c r="I52" s="4">
        <v>25.3</v>
      </c>
      <c r="J52" s="4">
        <v>25.1</v>
      </c>
      <c r="K52" s="4">
        <v>25.4</v>
      </c>
      <c r="L52" s="4">
        <v>25.9</v>
      </c>
      <c r="M52" s="4">
        <v>26</v>
      </c>
      <c r="N52" s="4">
        <v>25.6</v>
      </c>
      <c r="O52" s="4"/>
      <c r="P52" s="4">
        <f t="shared" si="8"/>
        <v>24.958333333333332</v>
      </c>
    </row>
    <row r="53" spans="1:16" x14ac:dyDescent="0.25">
      <c r="A53" s="27" t="s">
        <v>490</v>
      </c>
      <c r="B53" s="4"/>
      <c r="C53" s="4">
        <v>23.7</v>
      </c>
      <c r="D53" s="4">
        <v>23.6</v>
      </c>
      <c r="E53" s="4">
        <v>24.1</v>
      </c>
      <c r="F53" s="4">
        <v>24.1</v>
      </c>
      <c r="G53" s="4">
        <v>25</v>
      </c>
      <c r="H53" s="4">
        <v>25.3</v>
      </c>
      <c r="I53" s="4">
        <v>25.2</v>
      </c>
      <c r="J53" s="4">
        <v>26</v>
      </c>
      <c r="K53" s="4">
        <v>25.9</v>
      </c>
      <c r="L53" s="4">
        <v>26.1</v>
      </c>
      <c r="M53" s="4">
        <v>26.4</v>
      </c>
      <c r="N53" s="4">
        <v>27</v>
      </c>
      <c r="O53" s="4"/>
      <c r="P53" s="4">
        <f>AVERAGE(C53:N53)</f>
        <v>25.2</v>
      </c>
    </row>
    <row r="54" spans="1:16" x14ac:dyDescent="0.25">
      <c r="A54" s="27" t="s">
        <v>491</v>
      </c>
      <c r="B54" s="4"/>
      <c r="C54" s="4">
        <v>23</v>
      </c>
      <c r="D54" s="4">
        <v>22.3</v>
      </c>
      <c r="E54" s="4">
        <v>23.4</v>
      </c>
      <c r="F54" s="4">
        <v>23.8</v>
      </c>
      <c r="G54" s="4">
        <v>23.2</v>
      </c>
      <c r="H54" s="4">
        <v>24</v>
      </c>
      <c r="I54" s="4">
        <v>23.5</v>
      </c>
      <c r="J54" s="4">
        <v>24.3</v>
      </c>
      <c r="K54" s="4">
        <v>24.5</v>
      </c>
      <c r="L54" s="4">
        <v>25.1</v>
      </c>
      <c r="M54" s="4">
        <v>25.1</v>
      </c>
      <c r="N54" s="4">
        <v>25.3</v>
      </c>
      <c r="O54" s="4"/>
      <c r="P54" s="4">
        <f t="shared" si="8"/>
        <v>23.958333333333332</v>
      </c>
    </row>
    <row r="55" spans="1:16" x14ac:dyDescent="0.25">
      <c r="A55" s="27" t="s">
        <v>492</v>
      </c>
      <c r="B55" s="4"/>
      <c r="C55" s="4">
        <v>24.7</v>
      </c>
      <c r="D55" s="4">
        <v>24.6</v>
      </c>
      <c r="E55" s="4">
        <v>25</v>
      </c>
      <c r="F55" s="4">
        <v>25.2</v>
      </c>
      <c r="G55" s="4">
        <v>24.8</v>
      </c>
      <c r="H55" s="4">
        <v>24.9</v>
      </c>
      <c r="I55" s="4">
        <v>25.5</v>
      </c>
      <c r="J55" s="4">
        <v>26.5</v>
      </c>
      <c r="K55" s="4">
        <v>25.5</v>
      </c>
      <c r="L55" s="4">
        <v>25.9</v>
      </c>
      <c r="M55" s="4">
        <v>27.4</v>
      </c>
      <c r="N55" s="4">
        <v>28.2</v>
      </c>
      <c r="O55" s="4"/>
      <c r="P55" s="4">
        <f t="shared" si="8"/>
        <v>25.683333333333334</v>
      </c>
    </row>
    <row r="56" spans="1:16" x14ac:dyDescent="0.25">
      <c r="A56" s="27" t="s">
        <v>493</v>
      </c>
      <c r="B56" s="4"/>
      <c r="C56" s="4">
        <v>22.2</v>
      </c>
      <c r="D56" s="4">
        <v>22</v>
      </c>
      <c r="E56" s="4">
        <v>23</v>
      </c>
      <c r="F56" s="4">
        <v>23.6</v>
      </c>
      <c r="G56" s="4">
        <v>23.3</v>
      </c>
      <c r="H56" s="4">
        <v>23.7</v>
      </c>
      <c r="I56" s="4">
        <v>24.1</v>
      </c>
      <c r="J56" s="4">
        <v>24.5</v>
      </c>
      <c r="K56" s="4">
        <v>24</v>
      </c>
      <c r="L56" s="4">
        <v>24.5</v>
      </c>
      <c r="M56" s="4">
        <v>25.4</v>
      </c>
      <c r="N56" s="4">
        <v>26.1</v>
      </c>
      <c r="O56" s="4"/>
      <c r="P56" s="4">
        <f t="shared" si="8"/>
        <v>23.866666666666671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DC08-3ABB-458F-BA9A-20DF3C17EA70}">
  <dimension ref="A1:N50"/>
  <sheetViews>
    <sheetView workbookViewId="0">
      <selection activeCell="L33" sqref="L33"/>
    </sheetView>
  </sheetViews>
  <sheetFormatPr defaultRowHeight="15" x14ac:dyDescent="0.25"/>
  <sheetData>
    <row r="1" spans="1:9" x14ac:dyDescent="0.25">
      <c r="A1" t="s">
        <v>444</v>
      </c>
      <c r="E1" s="33" t="s">
        <v>498</v>
      </c>
      <c r="F1" t="s">
        <v>499</v>
      </c>
      <c r="G1" t="s">
        <v>499</v>
      </c>
      <c r="H1" t="s">
        <v>499</v>
      </c>
    </row>
    <row r="2" spans="1:9" x14ac:dyDescent="0.25">
      <c r="B2" t="s">
        <v>500</v>
      </c>
      <c r="E2" s="34">
        <v>0</v>
      </c>
      <c r="F2">
        <v>1</v>
      </c>
      <c r="G2">
        <v>2</v>
      </c>
      <c r="H2">
        <v>3</v>
      </c>
    </row>
    <row r="3" spans="1:9" x14ac:dyDescent="0.25">
      <c r="E3" s="34"/>
    </row>
    <row r="4" spans="1:9" x14ac:dyDescent="0.25">
      <c r="A4" s="8" t="s">
        <v>447</v>
      </c>
      <c r="E4" s="34">
        <v>21.9</v>
      </c>
      <c r="F4">
        <v>9.1999999999999993</v>
      </c>
      <c r="G4">
        <f>40-30.2</f>
        <v>9.8000000000000007</v>
      </c>
      <c r="H4">
        <f xml:space="preserve"> 55.8 - 43.7</f>
        <v>12.099999999999994</v>
      </c>
    </row>
    <row r="5" spans="1:9" x14ac:dyDescent="0.25">
      <c r="A5" s="8" t="s">
        <v>448</v>
      </c>
      <c r="E5" s="34">
        <v>24.5</v>
      </c>
      <c r="F5">
        <v>10.7</v>
      </c>
      <c r="G5">
        <f>42.1-31.1</f>
        <v>11</v>
      </c>
      <c r="H5">
        <f>51.5 - 40</f>
        <v>11.5</v>
      </c>
    </row>
    <row r="6" spans="1:9" x14ac:dyDescent="0.25">
      <c r="A6" s="8" t="s">
        <v>449</v>
      </c>
      <c r="E6" s="34">
        <v>22.9</v>
      </c>
      <c r="F6">
        <v>10.5</v>
      </c>
      <c r="G6">
        <f>46.8-36.1</f>
        <v>10.699999999999996</v>
      </c>
      <c r="H6">
        <f xml:space="preserve"> 42.6 - 31.5</f>
        <v>11.100000000000001</v>
      </c>
      <c r="I6" s="8"/>
    </row>
    <row r="7" spans="1:9" x14ac:dyDescent="0.25">
      <c r="A7" s="8" t="s">
        <v>450</v>
      </c>
      <c r="E7" s="34">
        <v>25.1</v>
      </c>
      <c r="F7">
        <v>10.7</v>
      </c>
      <c r="G7">
        <f xml:space="preserve"> 47-36.1</f>
        <v>10.899999999999999</v>
      </c>
      <c r="H7">
        <f xml:space="preserve"> 50.8 - 38</f>
        <v>12.799999999999997</v>
      </c>
      <c r="I7" s="8"/>
    </row>
    <row r="8" spans="1:9" x14ac:dyDescent="0.25">
      <c r="A8" s="8" t="s">
        <v>451</v>
      </c>
      <c r="E8" s="34">
        <v>25.7</v>
      </c>
      <c r="F8">
        <v>11</v>
      </c>
      <c r="G8">
        <f>42-30.7</f>
        <v>11.3</v>
      </c>
      <c r="H8">
        <f xml:space="preserve"> 66.1 - 53.7</f>
        <v>12.399999999999991</v>
      </c>
    </row>
    <row r="9" spans="1:9" x14ac:dyDescent="0.25">
      <c r="A9" s="8" t="s">
        <v>452</v>
      </c>
      <c r="E9" s="34">
        <v>23.8</v>
      </c>
      <c r="F9">
        <f>52.3-42.3</f>
        <v>10</v>
      </c>
      <c r="G9">
        <f>41.5-30.8</f>
        <v>10.7</v>
      </c>
      <c r="H9">
        <f xml:space="preserve"> 40.4-27.9</f>
        <v>12.5</v>
      </c>
    </row>
    <row r="10" spans="1:9" x14ac:dyDescent="0.25">
      <c r="A10" s="8" t="s">
        <v>453</v>
      </c>
      <c r="E10" s="34">
        <v>24.2</v>
      </c>
      <c r="F10">
        <f>63.3 - 55.2</f>
        <v>8.0999999999999943</v>
      </c>
      <c r="G10">
        <f>46-36</f>
        <v>10</v>
      </c>
      <c r="H10">
        <f>54.6 - 43</f>
        <v>11.600000000000001</v>
      </c>
    </row>
    <row r="11" spans="1:9" x14ac:dyDescent="0.25">
      <c r="A11" s="8" t="s">
        <v>454</v>
      </c>
      <c r="E11" s="34">
        <v>19.899999999999999</v>
      </c>
      <c r="F11">
        <f xml:space="preserve"> 53.4 - 42.9</f>
        <v>10.5</v>
      </c>
      <c r="G11">
        <f>43.4-32.9</f>
        <v>10.5</v>
      </c>
      <c r="H11">
        <f xml:space="preserve"> 46.4 - 36</f>
        <v>10.399999999999999</v>
      </c>
    </row>
    <row r="12" spans="1:9" x14ac:dyDescent="0.25">
      <c r="A12" s="8" t="s">
        <v>455</v>
      </c>
      <c r="E12" s="34">
        <v>20.7</v>
      </c>
      <c r="F12">
        <f>49.8-41.4</f>
        <v>8.3999999999999986</v>
      </c>
      <c r="G12">
        <f xml:space="preserve"> 50.2-41.1</f>
        <v>9.1000000000000014</v>
      </c>
      <c r="H12">
        <f xml:space="preserve"> 45.6 - 36</f>
        <v>9.6000000000000014</v>
      </c>
    </row>
    <row r="13" spans="1:9" x14ac:dyDescent="0.25">
      <c r="A13" s="8" t="s">
        <v>456</v>
      </c>
      <c r="E13" s="34">
        <v>22.3</v>
      </c>
      <c r="F13">
        <f>47 - 36.8</f>
        <v>10.200000000000003</v>
      </c>
      <c r="G13">
        <f>50-39.5</f>
        <v>10.5</v>
      </c>
      <c r="H13">
        <f xml:space="preserve"> 52.8 - 42.4</f>
        <v>10.399999999999999</v>
      </c>
    </row>
    <row r="14" spans="1:9" x14ac:dyDescent="0.25">
      <c r="A14" s="8" t="s">
        <v>457</v>
      </c>
      <c r="E14" s="34">
        <v>19.5</v>
      </c>
      <c r="F14">
        <f>43.9 - 34.8</f>
        <v>9.1000000000000014</v>
      </c>
      <c r="G14">
        <f xml:space="preserve"> 51-42.2</f>
        <v>8.7999999999999972</v>
      </c>
      <c r="H14">
        <f xml:space="preserve"> 50 - 40.2</f>
        <v>9.7999999999999972</v>
      </c>
    </row>
    <row r="15" spans="1:9" x14ac:dyDescent="0.25">
      <c r="A15" s="8" t="s">
        <v>458</v>
      </c>
      <c r="E15" s="34">
        <v>22.7</v>
      </c>
      <c r="F15">
        <f>48-39.1</f>
        <v>8.8999999999999986</v>
      </c>
      <c r="G15">
        <f>44.8 - 35.5</f>
        <v>9.2999999999999972</v>
      </c>
      <c r="H15">
        <f xml:space="preserve"> 43.7 - 33.1</f>
        <v>10.600000000000001</v>
      </c>
    </row>
    <row r="16" spans="1:9" x14ac:dyDescent="0.25">
      <c r="A16" s="8" t="s">
        <v>459</v>
      </c>
      <c r="E16" s="34">
        <v>22.7</v>
      </c>
      <c r="F16">
        <f>45-35</f>
        <v>10</v>
      </c>
      <c r="G16">
        <f>42.2 - 32.1</f>
        <v>10.100000000000001</v>
      </c>
      <c r="H16">
        <f xml:space="preserve"> 44.6 - 33.6</f>
        <v>11</v>
      </c>
    </row>
    <row r="17" spans="1:14" x14ac:dyDescent="0.25">
      <c r="A17" s="8" t="s">
        <v>460</v>
      </c>
      <c r="E17" s="34">
        <v>21.2</v>
      </c>
      <c r="F17">
        <f>55.7-46.5</f>
        <v>9.2000000000000028</v>
      </c>
      <c r="G17">
        <f>43 - 33.2</f>
        <v>9.7999999999999972</v>
      </c>
      <c r="H17">
        <f xml:space="preserve"> 46.4 - 34.8</f>
        <v>11.600000000000001</v>
      </c>
    </row>
    <row r="18" spans="1:14" x14ac:dyDescent="0.25">
      <c r="A18" s="8" t="s">
        <v>461</v>
      </c>
      <c r="E18" s="34">
        <v>17.5</v>
      </c>
      <c r="F18">
        <f>45-36.9</f>
        <v>8.1000000000000014</v>
      </c>
      <c r="G18">
        <f xml:space="preserve"> 43- 34.5</f>
        <v>8.5</v>
      </c>
      <c r="H18">
        <f xml:space="preserve"> 49.7 - 40.3</f>
        <v>9.4000000000000057</v>
      </c>
    </row>
    <row r="19" spans="1:14" x14ac:dyDescent="0.25">
      <c r="A19" s="8" t="s">
        <v>462</v>
      </c>
      <c r="E19" s="34">
        <v>24.7</v>
      </c>
      <c r="F19">
        <f>50-40.2</f>
        <v>9.7999999999999972</v>
      </c>
      <c r="G19">
        <f xml:space="preserve"> 51.6 - 41.1</f>
        <v>10.5</v>
      </c>
      <c r="H19">
        <f xml:space="preserve"> 67- 55.4</f>
        <v>11.600000000000001</v>
      </c>
    </row>
    <row r="20" spans="1:14" x14ac:dyDescent="0.25">
      <c r="A20" s="8" t="s">
        <v>463</v>
      </c>
      <c r="E20" s="34">
        <v>19.8</v>
      </c>
      <c r="F20">
        <f>52.5-44.2</f>
        <v>8.2999999999999972</v>
      </c>
      <c r="G20">
        <f xml:space="preserve"> 45.4 - 36.9</f>
        <v>8.5</v>
      </c>
      <c r="H20">
        <f xml:space="preserve"> 64.2 - 52.1</f>
        <v>12.100000000000001</v>
      </c>
    </row>
    <row r="21" spans="1:14" x14ac:dyDescent="0.25">
      <c r="A21" s="8" t="s">
        <v>464</v>
      </c>
      <c r="E21" s="34">
        <v>21.9</v>
      </c>
      <c r="F21">
        <f>63-55.3</f>
        <v>7.7000000000000028</v>
      </c>
      <c r="G21">
        <f xml:space="preserve"> 43.1 -34.8</f>
        <v>8.3000000000000043</v>
      </c>
      <c r="H21">
        <f xml:space="preserve"> 48.9 - 39</f>
        <v>9.8999999999999986</v>
      </c>
    </row>
    <row r="22" spans="1:14" x14ac:dyDescent="0.25">
      <c r="A22" s="8" t="s">
        <v>465</v>
      </c>
      <c r="E22" s="34">
        <v>25.1</v>
      </c>
      <c r="F22">
        <f>62-52.3</f>
        <v>9.7000000000000028</v>
      </c>
      <c r="G22">
        <f xml:space="preserve"> 40.2 - 30.7</f>
        <v>9.5000000000000036</v>
      </c>
      <c r="H22">
        <f xml:space="preserve"> 46.3 - 35.8</f>
        <v>10.5</v>
      </c>
    </row>
    <row r="23" spans="1:14" x14ac:dyDescent="0.25">
      <c r="A23" s="8" t="s">
        <v>467</v>
      </c>
      <c r="E23" s="34">
        <v>26.2</v>
      </c>
      <c r="F23">
        <f>53.2-43.3</f>
        <v>9.9000000000000057</v>
      </c>
      <c r="G23">
        <f xml:space="preserve"> 50.3 - 40.8</f>
        <v>9.5</v>
      </c>
      <c r="H23">
        <f>62.3 - 51.3</f>
        <v>11</v>
      </c>
    </row>
    <row r="24" spans="1:14" x14ac:dyDescent="0.25">
      <c r="A24" t="s">
        <v>501</v>
      </c>
      <c r="E24" s="35">
        <f>AVERAGE(E4:E13)</f>
        <v>23.1</v>
      </c>
      <c r="F24" s="35">
        <f>AVERAGE(F4:F13)</f>
        <v>9.93</v>
      </c>
      <c r="G24" s="35">
        <f>AVERAGE(G4:G13)</f>
        <v>10.45</v>
      </c>
      <c r="H24" s="35">
        <f>AVERAGE(H4:H13)</f>
        <v>11.439999999999998</v>
      </c>
      <c r="I24" s="35"/>
      <c r="J24" s="36"/>
      <c r="K24" s="9" t="s">
        <v>498</v>
      </c>
      <c r="L24" s="9" t="s">
        <v>502</v>
      </c>
      <c r="M24" s="9" t="s">
        <v>503</v>
      </c>
      <c r="N24" s="10" t="s">
        <v>504</v>
      </c>
    </row>
    <row r="25" spans="1:14" x14ac:dyDescent="0.25">
      <c r="A25" t="s">
        <v>505</v>
      </c>
      <c r="E25" s="35">
        <f>AVERAGEA(E14:E23)</f>
        <v>22.130000000000003</v>
      </c>
      <c r="F25" s="35">
        <f>AVERAGEA(F14:F23)</f>
        <v>9.07</v>
      </c>
      <c r="G25" s="35">
        <f>AVERAGEA(G14:G23)</f>
        <v>9.2800000000000011</v>
      </c>
      <c r="H25" s="35">
        <f>AVERAGEA(H14:H23)</f>
        <v>10.75</v>
      </c>
      <c r="J25" s="37" t="s">
        <v>506</v>
      </c>
      <c r="K25">
        <f t="shared" ref="K25:L25" si="0">_xlfn.T.TEST(E4:E13,E29:E38,2,2)</f>
        <v>0.13005754993060265</v>
      </c>
      <c r="L25">
        <f t="shared" si="0"/>
        <v>0.20669139538194228</v>
      </c>
      <c r="M25">
        <f>_xlfn.T.TEST(G4:G13,G29:G38,2,2)</f>
        <v>4.7679168128430191E-3</v>
      </c>
      <c r="N25" s="38">
        <f>_xlfn.T.TEST(H4:H13,H29:H38,2,2)</f>
        <v>1.1762259288832543E-3</v>
      </c>
    </row>
    <row r="26" spans="1:14" x14ac:dyDescent="0.25">
      <c r="A26" t="s">
        <v>444</v>
      </c>
      <c r="E26" s="34"/>
      <c r="J26" s="11" t="s">
        <v>507</v>
      </c>
      <c r="K26" s="12">
        <f t="shared" ref="K26:M26" si="1">_xlfn.T.TEST(E14:E23,E39:E48,2,2)</f>
        <v>0.7000275950944379</v>
      </c>
      <c r="L26" s="12">
        <f t="shared" si="1"/>
        <v>0.97389934203729756</v>
      </c>
      <c r="M26" s="12">
        <f t="shared" si="1"/>
        <v>0.15173391149739759</v>
      </c>
      <c r="N26" s="13">
        <f>_xlfn.T.TEST(H14:H23,H39:H48,2,2)</f>
        <v>1.6669291067873995E-5</v>
      </c>
    </row>
    <row r="27" spans="1:14" x14ac:dyDescent="0.25">
      <c r="B27" t="s">
        <v>500</v>
      </c>
      <c r="E27" s="34">
        <v>0</v>
      </c>
      <c r="F27">
        <v>1</v>
      </c>
      <c r="G27">
        <v>2</v>
      </c>
      <c r="H27">
        <v>3</v>
      </c>
    </row>
    <row r="28" spans="1:14" x14ac:dyDescent="0.25">
      <c r="E28" s="34"/>
    </row>
    <row r="29" spans="1:14" x14ac:dyDescent="0.25">
      <c r="A29" s="14" t="s">
        <v>474</v>
      </c>
      <c r="E29" s="34">
        <v>18.7</v>
      </c>
      <c r="F29">
        <v>8.6</v>
      </c>
      <c r="G29">
        <f>44-35.3</f>
        <v>8.7000000000000028</v>
      </c>
      <c r="H29">
        <f xml:space="preserve"> 59.3 - 49.4</f>
        <v>9.8999999999999986</v>
      </c>
    </row>
    <row r="30" spans="1:14" x14ac:dyDescent="0.25">
      <c r="A30" s="14" t="s">
        <v>475</v>
      </c>
      <c r="E30" s="34">
        <v>22.5</v>
      </c>
      <c r="F30">
        <v>9.8000000000000007</v>
      </c>
      <c r="G30">
        <f xml:space="preserve"> 48.5-38.2</f>
        <v>10.299999999999997</v>
      </c>
      <c r="H30">
        <f xml:space="preserve"> 48.2 - 38.1</f>
        <v>10.100000000000001</v>
      </c>
    </row>
    <row r="31" spans="1:14" x14ac:dyDescent="0.25">
      <c r="A31" s="14" t="s">
        <v>476</v>
      </c>
      <c r="E31" s="34">
        <v>21.8</v>
      </c>
      <c r="F31">
        <v>9.1999999999999993</v>
      </c>
      <c r="G31">
        <f>44-34.7</f>
        <v>9.2999999999999972</v>
      </c>
      <c r="H31">
        <f xml:space="preserve"> 52.8 - 42</f>
        <v>10.799999999999997</v>
      </c>
    </row>
    <row r="32" spans="1:14" x14ac:dyDescent="0.25">
      <c r="A32" s="14" t="s">
        <v>477</v>
      </c>
      <c r="E32" s="34">
        <v>22.7</v>
      </c>
      <c r="F32">
        <v>9.8000000000000007</v>
      </c>
      <c r="G32">
        <f>45-35.1</f>
        <v>9.8999999999999986</v>
      </c>
      <c r="H32">
        <f xml:space="preserve"> 50.7 - 40</f>
        <v>10.700000000000003</v>
      </c>
    </row>
    <row r="33" spans="1:8" x14ac:dyDescent="0.25">
      <c r="A33" s="14" t="s">
        <v>478</v>
      </c>
      <c r="E33" s="34">
        <v>21</v>
      </c>
      <c r="F33">
        <v>8.8000000000000007</v>
      </c>
      <c r="G33">
        <f>44-34.4</f>
        <v>9.6000000000000014</v>
      </c>
      <c r="H33">
        <f xml:space="preserve"> 56.2 - 45.7</f>
        <v>10.5</v>
      </c>
    </row>
    <row r="34" spans="1:8" x14ac:dyDescent="0.25">
      <c r="A34" s="14" t="s">
        <v>479</v>
      </c>
      <c r="E34" s="34">
        <v>23.9</v>
      </c>
      <c r="F34">
        <f xml:space="preserve"> 42-31.4</f>
        <v>10.600000000000001</v>
      </c>
      <c r="G34">
        <f>49.7-39.9</f>
        <v>9.8000000000000043</v>
      </c>
      <c r="H34">
        <f xml:space="preserve"> 53.1 - 43.3</f>
        <v>9.8000000000000043</v>
      </c>
    </row>
    <row r="35" spans="1:8" x14ac:dyDescent="0.25">
      <c r="A35" s="14" t="s">
        <v>480</v>
      </c>
      <c r="E35" s="34">
        <v>25.2</v>
      </c>
      <c r="F35">
        <f>36.5-25.2</f>
        <v>11.3</v>
      </c>
      <c r="G35">
        <f>48.3-37.6</f>
        <v>10.699999999999996</v>
      </c>
      <c r="H35">
        <f xml:space="preserve"> 46.7 - 36.6</f>
        <v>10.100000000000001</v>
      </c>
    </row>
    <row r="36" spans="1:8" x14ac:dyDescent="0.25">
      <c r="A36" s="14" t="s">
        <v>481</v>
      </c>
      <c r="E36" s="34">
        <v>21.4</v>
      </c>
      <c r="F36">
        <f xml:space="preserve"> 37 - 28.8</f>
        <v>8.1999999999999993</v>
      </c>
      <c r="G36">
        <f>43.3-34.3</f>
        <v>9</v>
      </c>
      <c r="H36">
        <f xml:space="preserve"> 54.8 - 45.4</f>
        <v>9.3999999999999986</v>
      </c>
    </row>
    <row r="37" spans="1:8" x14ac:dyDescent="0.25">
      <c r="A37" s="14" t="s">
        <v>482</v>
      </c>
      <c r="E37" s="34">
        <v>20.399999999999999</v>
      </c>
      <c r="F37">
        <f>38.3- 29.5</f>
        <v>8.7999999999999972</v>
      </c>
      <c r="G37">
        <f>44.5-36</f>
        <v>8.5</v>
      </c>
      <c r="H37">
        <f xml:space="preserve"> 39 - 30</f>
        <v>9</v>
      </c>
    </row>
    <row r="38" spans="1:8" x14ac:dyDescent="0.25">
      <c r="A38" s="14" t="s">
        <v>483</v>
      </c>
      <c r="E38" s="34">
        <v>19.8</v>
      </c>
      <c r="F38">
        <f>44.6-36.4</f>
        <v>8.2000000000000028</v>
      </c>
      <c r="G38">
        <f>40.4-31.7</f>
        <v>8.6999999999999993</v>
      </c>
      <c r="H38">
        <f xml:space="preserve"> 43.8 - 34.5</f>
        <v>9.2999999999999972</v>
      </c>
    </row>
    <row r="39" spans="1:8" x14ac:dyDescent="0.25">
      <c r="A39" s="14" t="s">
        <v>484</v>
      </c>
      <c r="E39" s="34">
        <v>21.8</v>
      </c>
      <c r="F39">
        <f>50.2-40.5</f>
        <v>9.7000000000000028</v>
      </c>
      <c r="G39">
        <f xml:space="preserve"> 47.2 - 38.4</f>
        <v>8.8000000000000043</v>
      </c>
      <c r="H39">
        <f xml:space="preserve"> 45.2 - 36.4</f>
        <v>8.8000000000000043</v>
      </c>
    </row>
    <row r="40" spans="1:8" x14ac:dyDescent="0.25">
      <c r="A40" s="14" t="s">
        <v>485</v>
      </c>
      <c r="E40" s="34">
        <v>23</v>
      </c>
      <c r="F40">
        <f>45-36.2</f>
        <v>8.7999999999999972</v>
      </c>
      <c r="G40">
        <f xml:space="preserve"> 39.8- 29.5</f>
        <v>10.299999999999997</v>
      </c>
      <c r="H40">
        <f xml:space="preserve"> 43.9 - 35.3</f>
        <v>8.6000000000000014</v>
      </c>
    </row>
    <row r="41" spans="1:8" x14ac:dyDescent="0.25">
      <c r="A41" s="14" t="s">
        <v>486</v>
      </c>
      <c r="E41" s="34">
        <v>20.5</v>
      </c>
      <c r="F41">
        <f>46.5-37.2</f>
        <v>9.2999999999999972</v>
      </c>
      <c r="G41">
        <f xml:space="preserve"> 45 - 36.5</f>
        <v>8.5</v>
      </c>
      <c r="H41">
        <f>45.5 - 36.1</f>
        <v>9.3999999999999986</v>
      </c>
    </row>
    <row r="42" spans="1:8" x14ac:dyDescent="0.25">
      <c r="A42" s="14" t="s">
        <v>487</v>
      </c>
      <c r="E42" s="34">
        <v>20.7</v>
      </c>
      <c r="F42">
        <f>45-36.2</f>
        <v>8.7999999999999972</v>
      </c>
      <c r="G42">
        <f>47 - 37.8</f>
        <v>9.2000000000000028</v>
      </c>
      <c r="H42">
        <f>42.8 - 34</f>
        <v>8.7999999999999972</v>
      </c>
    </row>
    <row r="43" spans="1:8" x14ac:dyDescent="0.25">
      <c r="A43" s="14" t="s">
        <v>488</v>
      </c>
      <c r="E43" s="34">
        <v>21.3</v>
      </c>
      <c r="F43">
        <f>37-29.1</f>
        <v>7.8999999999999986</v>
      </c>
      <c r="G43">
        <f xml:space="preserve"> 41.2 -  33.2</f>
        <v>8</v>
      </c>
      <c r="H43">
        <f xml:space="preserve"> 48.9 - 39.1</f>
        <v>9.7999999999999972</v>
      </c>
    </row>
    <row r="44" spans="1:8" x14ac:dyDescent="0.25">
      <c r="A44" s="14" t="s">
        <v>489</v>
      </c>
      <c r="E44" s="34">
        <v>20.8</v>
      </c>
      <c r="F44">
        <f>59.5-50</f>
        <v>9.5</v>
      </c>
      <c r="G44">
        <f xml:space="preserve"> 53.3 - 45.1</f>
        <v>8.1999999999999957</v>
      </c>
      <c r="H44">
        <f xml:space="preserve"> 55.2 - 47</f>
        <v>8.2000000000000028</v>
      </c>
    </row>
    <row r="45" spans="1:8" x14ac:dyDescent="0.25">
      <c r="A45" s="14" t="s">
        <v>490</v>
      </c>
      <c r="E45" s="34">
        <v>22.3</v>
      </c>
      <c r="F45">
        <f>57.7-48.5</f>
        <v>9.2000000000000028</v>
      </c>
      <c r="G45">
        <f xml:space="preserve"> 54.8 - 47</f>
        <v>7.7999999999999972</v>
      </c>
      <c r="H45">
        <f xml:space="preserve"> 59.1 - 50.7</f>
        <v>8.3999999999999986</v>
      </c>
    </row>
    <row r="46" spans="1:8" x14ac:dyDescent="0.25">
      <c r="A46" s="14" t="s">
        <v>491</v>
      </c>
      <c r="E46" s="34">
        <v>21.8</v>
      </c>
      <c r="F46">
        <f>61.3-52.1</f>
        <v>9.1999999999999957</v>
      </c>
      <c r="G46">
        <f xml:space="preserve"> 50.3 - 42.3</f>
        <v>8</v>
      </c>
      <c r="H46">
        <f xml:space="preserve"> 59.1 - 50</f>
        <v>9.1000000000000014</v>
      </c>
    </row>
    <row r="47" spans="1:8" x14ac:dyDescent="0.25">
      <c r="A47" s="14" t="s">
        <v>492</v>
      </c>
      <c r="E47" s="34">
        <v>23.5</v>
      </c>
      <c r="F47">
        <f>49-39.7</f>
        <v>9.2999999999999972</v>
      </c>
      <c r="G47">
        <f xml:space="preserve"> 53.2 - 44</f>
        <v>9.2000000000000028</v>
      </c>
      <c r="H47">
        <f xml:space="preserve"> 47.8 - 38.5</f>
        <v>9.2999999999999972</v>
      </c>
    </row>
    <row r="48" spans="1:8" x14ac:dyDescent="0.25">
      <c r="A48" s="14" t="s">
        <v>493</v>
      </c>
      <c r="E48" s="34">
        <v>22</v>
      </c>
      <c r="F48">
        <f>53.2-44.1</f>
        <v>9.1000000000000014</v>
      </c>
      <c r="G48">
        <f xml:space="preserve"> 46.8 - 37.2</f>
        <v>9.5999999999999943</v>
      </c>
      <c r="H48">
        <f>57.6 - 49</f>
        <v>8.6000000000000014</v>
      </c>
    </row>
    <row r="49" spans="1:10" x14ac:dyDescent="0.25">
      <c r="A49" s="33" t="s">
        <v>501</v>
      </c>
      <c r="E49" s="35">
        <f>AVERAGE(E29:E38)</f>
        <v>21.740000000000002</v>
      </c>
      <c r="F49" s="35">
        <f>AVERAGE(F29:F38)</f>
        <v>9.3300000000000018</v>
      </c>
      <c r="G49" s="35">
        <f>AVERAGE(G29:G38)</f>
        <v>9.4499999999999993</v>
      </c>
      <c r="H49" s="35">
        <f>AVERAGE(H29:H38)</f>
        <v>9.9600000000000009</v>
      </c>
      <c r="I49" s="35"/>
      <c r="J49" s="35"/>
    </row>
    <row r="50" spans="1:10" x14ac:dyDescent="0.25">
      <c r="A50" s="33" t="s">
        <v>505</v>
      </c>
      <c r="E50" s="35">
        <f>AVERAGE(E39:E48)</f>
        <v>21.770000000000003</v>
      </c>
      <c r="F50" s="35">
        <f>AVERAGE(F39:F48)</f>
        <v>9.0799999999999983</v>
      </c>
      <c r="G50" s="35">
        <f>AVERAGE(G39:G48)</f>
        <v>8.76</v>
      </c>
      <c r="H50" s="35">
        <f>AVERAGE(H39:H48)</f>
        <v>8.9</v>
      </c>
      <c r="J50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DAFD-0900-4E92-B255-D48D61177677}">
  <dimension ref="A1:N121"/>
  <sheetViews>
    <sheetView workbookViewId="0">
      <selection activeCell="F15" sqref="F15"/>
    </sheetView>
  </sheetViews>
  <sheetFormatPr defaultRowHeight="15" x14ac:dyDescent="0.25"/>
  <sheetData>
    <row r="1" spans="1:14" x14ac:dyDescent="0.25">
      <c r="A1" s="39" t="s">
        <v>508</v>
      </c>
      <c r="B1" s="29" t="s">
        <v>509</v>
      </c>
      <c r="C1" s="29" t="s">
        <v>510</v>
      </c>
      <c r="D1" s="40"/>
      <c r="E1" s="29" t="s">
        <v>511</v>
      </c>
      <c r="F1" s="29" t="s">
        <v>512</v>
      </c>
      <c r="G1" s="29" t="s">
        <v>513</v>
      </c>
      <c r="H1" s="29" t="s">
        <v>514</v>
      </c>
      <c r="I1" s="29" t="s">
        <v>511</v>
      </c>
      <c r="J1" s="29" t="s">
        <v>512</v>
      </c>
      <c r="K1" s="29" t="s">
        <v>513</v>
      </c>
      <c r="L1" s="29" t="s">
        <v>514</v>
      </c>
      <c r="M1" s="29"/>
      <c r="N1" s="29"/>
    </row>
    <row r="2" spans="1:14" x14ac:dyDescent="0.25">
      <c r="A2" s="28" t="s">
        <v>515</v>
      </c>
      <c r="B2" s="28">
        <v>1</v>
      </c>
      <c r="C2" s="28">
        <v>19.47</v>
      </c>
      <c r="D2" s="41"/>
      <c r="E2" s="28" t="s">
        <v>515</v>
      </c>
      <c r="F2" s="28">
        <f>AVERAGE(B2:B4)</f>
        <v>1.0333333333333334</v>
      </c>
      <c r="G2" s="28">
        <f>AVERAGE(C2:C4)</f>
        <v>19.456666666666667</v>
      </c>
      <c r="H2">
        <v>22.5</v>
      </c>
      <c r="I2" s="28" t="s">
        <v>516</v>
      </c>
      <c r="J2" s="28">
        <f>AVERAGE(B62:B64)</f>
        <v>2.2100000000000004</v>
      </c>
      <c r="K2" s="28">
        <f>AVERAGE(C62:C64)</f>
        <v>21.113333333333333</v>
      </c>
      <c r="L2">
        <v>25.8</v>
      </c>
      <c r="M2" s="28"/>
      <c r="N2" s="28"/>
    </row>
    <row r="3" spans="1:14" x14ac:dyDescent="0.25">
      <c r="A3" s="28" t="s">
        <v>515</v>
      </c>
      <c r="B3" s="28">
        <v>0.99</v>
      </c>
      <c r="C3" s="28">
        <v>19.510000000000002</v>
      </c>
      <c r="D3" s="41"/>
      <c r="E3" s="28" t="s">
        <v>517</v>
      </c>
      <c r="F3" s="28">
        <f>AVERAGE(B5:B7)</f>
        <v>1.2266666666666666</v>
      </c>
      <c r="G3" s="28">
        <f>AVERAGE(C5:C7)</f>
        <v>18.740000000000002</v>
      </c>
      <c r="H3">
        <v>21.9</v>
      </c>
      <c r="I3" s="28" t="s">
        <v>518</v>
      </c>
      <c r="J3" s="28">
        <f>AVERAGE(B65:B67)</f>
        <v>0.96</v>
      </c>
      <c r="K3" s="28">
        <f>AVERAGE(C65:C67)</f>
        <v>22.466666666666669</v>
      </c>
      <c r="L3">
        <v>25.6</v>
      </c>
      <c r="M3" s="28"/>
      <c r="N3" s="28"/>
    </row>
    <row r="4" spans="1:14" x14ac:dyDescent="0.25">
      <c r="A4" s="28" t="s">
        <v>515</v>
      </c>
      <c r="B4" s="28">
        <v>1.1100000000000001</v>
      </c>
      <c r="C4" s="28">
        <v>19.39</v>
      </c>
      <c r="D4" s="41"/>
      <c r="E4" s="28" t="s">
        <v>519</v>
      </c>
      <c r="F4" s="28">
        <f>AVERAGE(B8:B10)</f>
        <v>1.3733333333333333</v>
      </c>
      <c r="G4" s="28">
        <f>AVERAGE(C8:C10)</f>
        <v>19.25</v>
      </c>
      <c r="H4">
        <v>22.4</v>
      </c>
      <c r="I4" s="28" t="s">
        <v>520</v>
      </c>
      <c r="J4" s="28">
        <f>AVERAGE(B68:B70)</f>
        <v>0.59666666666666668</v>
      </c>
      <c r="K4" s="28">
        <f>AVERAGE(C68:C70)</f>
        <v>23.236666666666665</v>
      </c>
      <c r="L4">
        <v>25.8</v>
      </c>
      <c r="M4" s="28"/>
      <c r="N4" s="28"/>
    </row>
    <row r="5" spans="1:14" x14ac:dyDescent="0.25">
      <c r="A5" s="28" t="s">
        <v>517</v>
      </c>
      <c r="B5" s="28">
        <v>1.3</v>
      </c>
      <c r="C5" s="28">
        <v>18.66</v>
      </c>
      <c r="D5" s="41"/>
      <c r="E5" s="28" t="s">
        <v>521</v>
      </c>
      <c r="F5" s="28">
        <f>AVERAGE(B11:B13)</f>
        <v>0.70666666666666667</v>
      </c>
      <c r="G5" s="28">
        <f>AVERAGE(C11:C13)</f>
        <v>18.97</v>
      </c>
      <c r="H5">
        <v>21.9</v>
      </c>
      <c r="I5" s="28" t="s">
        <v>522</v>
      </c>
      <c r="J5" s="28">
        <f>AVERAGE(B71:B73)</f>
        <v>1.5166666666666666</v>
      </c>
      <c r="K5" s="28">
        <f>AVERAGE(C71:C73)</f>
        <v>21.036666666666665</v>
      </c>
      <c r="L5">
        <v>25.2</v>
      </c>
      <c r="M5" s="28"/>
      <c r="N5" s="28"/>
    </row>
    <row r="6" spans="1:14" x14ac:dyDescent="0.25">
      <c r="A6" s="28" t="s">
        <v>517</v>
      </c>
      <c r="B6" s="28">
        <v>1.24</v>
      </c>
      <c r="C6" s="28">
        <v>18.71</v>
      </c>
      <c r="D6" s="41"/>
      <c r="E6" s="28" t="s">
        <v>523</v>
      </c>
      <c r="F6" s="28">
        <f>AVERAGE(B14:B16)</f>
        <v>1.2266666666666666</v>
      </c>
      <c r="G6" s="28">
        <f>AVERAGE(C14:C16)</f>
        <v>19.146666666666665</v>
      </c>
      <c r="H6">
        <v>22.2</v>
      </c>
      <c r="I6" s="28" t="s">
        <v>524</v>
      </c>
      <c r="J6" s="28">
        <f>AVERAGE(B74:B76)</f>
        <v>1.5633333333333335</v>
      </c>
      <c r="K6" s="28">
        <f>AVERAGE(C74:C76)</f>
        <v>20.696666666666669</v>
      </c>
      <c r="L6">
        <v>24.5</v>
      </c>
      <c r="M6" s="28"/>
      <c r="N6" s="28"/>
    </row>
    <row r="7" spans="1:14" x14ac:dyDescent="0.25">
      <c r="A7" s="28" t="s">
        <v>517</v>
      </c>
      <c r="B7" s="28">
        <v>1.1399999999999999</v>
      </c>
      <c r="C7" s="28">
        <v>18.850000000000001</v>
      </c>
      <c r="D7" s="41"/>
      <c r="E7" s="28" t="s">
        <v>525</v>
      </c>
      <c r="F7" s="28">
        <f>AVERAGE(B32:B34)</f>
        <v>0.96333333333333337</v>
      </c>
      <c r="G7" s="28">
        <f>AVERAGE(C32:C34)</f>
        <v>19.669999999999998</v>
      </c>
      <c r="H7">
        <v>22.8</v>
      </c>
      <c r="I7" s="28" t="s">
        <v>526</v>
      </c>
      <c r="J7" s="28">
        <f>AVERAGE(B92:B94)</f>
        <v>1.0433333333333332</v>
      </c>
      <c r="K7" s="28">
        <f>AVERAGE(C92:C94)</f>
        <v>23.106666666666666</v>
      </c>
      <c r="L7">
        <v>26</v>
      </c>
      <c r="M7" s="28"/>
      <c r="N7" s="28"/>
    </row>
    <row r="8" spans="1:14" x14ac:dyDescent="0.25">
      <c r="A8" s="28" t="s">
        <v>519</v>
      </c>
      <c r="B8" s="28">
        <v>1.52</v>
      </c>
      <c r="C8" s="28">
        <v>19.100000000000001</v>
      </c>
      <c r="D8" s="41"/>
      <c r="E8" s="28" t="s">
        <v>527</v>
      </c>
      <c r="F8" s="28">
        <f>AVERAGE(B35:B37)</f>
        <v>1.1766666666666665</v>
      </c>
      <c r="G8" s="28">
        <f>AVERAGE(C35:C37)</f>
        <v>17.940000000000001</v>
      </c>
      <c r="H8">
        <v>20.6</v>
      </c>
      <c r="I8" s="28" t="s">
        <v>528</v>
      </c>
      <c r="J8" s="28">
        <f>AVERAGE(B95:B97)</f>
        <v>0.37333333333333329</v>
      </c>
      <c r="K8" s="28">
        <f>AVERAGE(C95:C97)</f>
        <v>22.146666666666665</v>
      </c>
      <c r="L8">
        <v>24.9</v>
      </c>
      <c r="M8" s="28"/>
      <c r="N8" s="28"/>
    </row>
    <row r="9" spans="1:14" x14ac:dyDescent="0.25">
      <c r="A9" s="28" t="s">
        <v>519</v>
      </c>
      <c r="B9" s="28">
        <v>1.23</v>
      </c>
      <c r="C9" s="28">
        <v>19.48</v>
      </c>
      <c r="D9" s="41"/>
      <c r="E9" s="28" t="s">
        <v>529</v>
      </c>
      <c r="F9" s="28">
        <f>AVERAGE(B38:B40)</f>
        <v>1.3966666666666665</v>
      </c>
      <c r="G9" s="28">
        <f>AVERAGE(C38:C40)</f>
        <v>18.63</v>
      </c>
      <c r="H9">
        <v>21.9</v>
      </c>
      <c r="I9" s="28" t="s">
        <v>530</v>
      </c>
      <c r="J9" s="28">
        <f>AVERAGE(B98:B100)</f>
        <v>1.1733333333333333</v>
      </c>
      <c r="K9" s="28">
        <f>AVERAGE(C98:C100)</f>
        <v>22.143333333333334</v>
      </c>
      <c r="L9">
        <v>25.1</v>
      </c>
      <c r="M9" s="28"/>
      <c r="N9" s="28"/>
    </row>
    <row r="10" spans="1:14" x14ac:dyDescent="0.25">
      <c r="A10" s="28" t="s">
        <v>519</v>
      </c>
      <c r="B10" s="28">
        <v>1.37</v>
      </c>
      <c r="C10" s="28">
        <v>19.170000000000002</v>
      </c>
      <c r="D10" s="41"/>
      <c r="E10" s="28" t="s">
        <v>531</v>
      </c>
      <c r="F10" s="28">
        <f>AVERAGE(B41:B43)</f>
        <v>1.3233333333333333</v>
      </c>
      <c r="G10" s="28">
        <f>AVERAGE(C41:C43)</f>
        <v>17.553333333333335</v>
      </c>
      <c r="H10">
        <v>20.2</v>
      </c>
      <c r="I10" s="28" t="s">
        <v>532</v>
      </c>
      <c r="J10" s="28">
        <f>AVERAGE(B101:B103)</f>
        <v>1.7233333333333334</v>
      </c>
      <c r="K10" s="28">
        <f>AVERAGE(C101:C103)</f>
        <v>23.576666666666664</v>
      </c>
      <c r="L10">
        <v>27.3</v>
      </c>
      <c r="M10" s="28"/>
      <c r="N10" s="28"/>
    </row>
    <row r="11" spans="1:14" x14ac:dyDescent="0.25">
      <c r="A11" s="28" t="s">
        <v>521</v>
      </c>
      <c r="B11" s="28">
        <v>0.71</v>
      </c>
      <c r="C11" s="28">
        <v>18.920000000000002</v>
      </c>
      <c r="D11" s="41"/>
      <c r="E11" s="28" t="s">
        <v>533</v>
      </c>
      <c r="F11" s="28">
        <f>AVERAGE(B44:B46)</f>
        <v>0.54666666666666675</v>
      </c>
      <c r="G11" s="28">
        <f>AVERAGE(C44:C46)</f>
        <v>18.213333333333335</v>
      </c>
      <c r="H11">
        <v>20.5</v>
      </c>
      <c r="I11" s="28" t="s">
        <v>534</v>
      </c>
      <c r="J11" s="28">
        <f>AVERAGE(B104:B106)</f>
        <v>0.98666666666666669</v>
      </c>
      <c r="K11" s="28">
        <f>AVERAGE(C104:C106)</f>
        <v>22.340000000000003</v>
      </c>
      <c r="L11">
        <v>26.2</v>
      </c>
      <c r="M11" s="28"/>
      <c r="N11" s="28"/>
    </row>
    <row r="12" spans="1:14" x14ac:dyDescent="0.25">
      <c r="A12" s="28" t="s">
        <v>521</v>
      </c>
      <c r="B12" s="28">
        <v>0.73</v>
      </c>
      <c r="C12" s="28">
        <v>18.88</v>
      </c>
      <c r="D12" s="41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x14ac:dyDescent="0.25">
      <c r="A13" s="28" t="s">
        <v>521</v>
      </c>
      <c r="B13" s="28">
        <v>0.68</v>
      </c>
      <c r="C13" s="28">
        <v>19.11</v>
      </c>
      <c r="D13" s="41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x14ac:dyDescent="0.25">
      <c r="A14" s="28" t="s">
        <v>523</v>
      </c>
      <c r="B14" s="28">
        <v>1.1499999999999999</v>
      </c>
      <c r="C14" s="28">
        <v>19.239999999999998</v>
      </c>
      <c r="D14" s="41"/>
      <c r="E14" s="42" t="s">
        <v>470</v>
      </c>
      <c r="F14" s="30">
        <f>AVERAGEA(F2:F11)</f>
        <v>1.0973333333333333</v>
      </c>
      <c r="G14" s="30">
        <f>AVERAGEA(G2:G11)</f>
        <v>18.757000000000001</v>
      </c>
      <c r="H14" s="30">
        <f>AVERAGEA(H2:H11)</f>
        <v>21.689999999999998</v>
      </c>
      <c r="I14" s="30" t="s">
        <v>472</v>
      </c>
      <c r="J14" s="30">
        <f t="shared" ref="J14:L14" si="0">AVERAGEA(J2:J11)</f>
        <v>1.2146666666666666</v>
      </c>
      <c r="K14" s="30">
        <f t="shared" si="0"/>
        <v>22.186333333333334</v>
      </c>
      <c r="L14" s="30">
        <f t="shared" si="0"/>
        <v>25.640000000000004</v>
      </c>
      <c r="M14" s="30"/>
      <c r="N14" s="43"/>
    </row>
    <row r="15" spans="1:14" x14ac:dyDescent="0.25">
      <c r="A15" s="28" t="s">
        <v>523</v>
      </c>
      <c r="B15" s="28">
        <v>1.23</v>
      </c>
      <c r="C15" s="28">
        <v>19.12</v>
      </c>
      <c r="D15" s="41"/>
      <c r="E15" s="44" t="s">
        <v>535</v>
      </c>
      <c r="F15" s="45">
        <f>_xlfn.T.TEST(F2:F11,F17:F26,2,3)</f>
        <v>8.3607393447159876E-5</v>
      </c>
      <c r="G15" s="46">
        <f>_xlfn.T.TEST(G2:G11,G17:G26,2,3)</f>
        <v>0.27237941396197951</v>
      </c>
      <c r="H15" s="45">
        <f>_xlfn.T.TEST(H2:H11,H17:H26,2,3)</f>
        <v>9.369867826564458E-3</v>
      </c>
      <c r="I15" s="46"/>
      <c r="J15" s="46">
        <f>_xlfn.T.TEST(J2:J11,J17:J26,2,3)</f>
        <v>0.46579052441965219</v>
      </c>
      <c r="K15" s="46">
        <f>_xlfn.T.TEST(K2:K11,K17:K26,2,3)</f>
        <v>0.95299734312187045</v>
      </c>
      <c r="L15" s="46">
        <f>_xlfn.T.TEST(L2:L11,L17:L26,2,3)</f>
        <v>0.19596493818927166</v>
      </c>
      <c r="M15" s="46"/>
      <c r="N15" s="47"/>
    </row>
    <row r="16" spans="1:14" x14ac:dyDescent="0.25">
      <c r="A16" s="28" t="s">
        <v>523</v>
      </c>
      <c r="B16" s="28">
        <v>1.3</v>
      </c>
      <c r="C16" s="28">
        <v>19.079999999999998</v>
      </c>
      <c r="D16" s="41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x14ac:dyDescent="0.25">
      <c r="A17" s="28" t="s">
        <v>536</v>
      </c>
      <c r="B17" s="28">
        <v>0.43</v>
      </c>
      <c r="C17" s="28">
        <v>18.760000000000002</v>
      </c>
      <c r="D17" s="41"/>
      <c r="E17" s="28" t="s">
        <v>536</v>
      </c>
      <c r="F17" s="28">
        <f>AVERAGE(B17:B19)</f>
        <v>0.60333333333333328</v>
      </c>
      <c r="G17" s="28">
        <f>AVERAGE(C17:C19)</f>
        <v>18.626666666666665</v>
      </c>
      <c r="H17">
        <v>21</v>
      </c>
      <c r="I17" s="28" t="s">
        <v>537</v>
      </c>
      <c r="J17" s="28">
        <f>AVERAGE(B77:B79)</f>
        <v>1.28</v>
      </c>
      <c r="K17" s="28">
        <f>AVERAGE(C77:C79)</f>
        <v>22.52</v>
      </c>
      <c r="L17">
        <v>26.9</v>
      </c>
      <c r="M17" s="28"/>
      <c r="N17" s="28"/>
    </row>
    <row r="18" spans="1:14" x14ac:dyDescent="0.25">
      <c r="A18" s="28" t="s">
        <v>536</v>
      </c>
      <c r="B18" s="28">
        <v>0.69</v>
      </c>
      <c r="C18" s="28">
        <v>18.600000000000001</v>
      </c>
      <c r="D18" s="41"/>
      <c r="E18" s="28" t="s">
        <v>538</v>
      </c>
      <c r="F18" s="28">
        <f>AVERAGE(B20:B22)</f>
        <v>0.27</v>
      </c>
      <c r="G18" s="28">
        <f>AVERAGE(C20:C22)</f>
        <v>18.47</v>
      </c>
      <c r="H18">
        <v>20.6</v>
      </c>
      <c r="I18" s="28" t="s">
        <v>539</v>
      </c>
      <c r="J18" s="28">
        <f>AVERAGE(B80:B82)</f>
        <v>2.936666666666667</v>
      </c>
      <c r="K18" s="28">
        <f>AVERAGE(C80:C82)</f>
        <v>23.073333333333334</v>
      </c>
      <c r="L18">
        <v>28.9</v>
      </c>
      <c r="M18" s="28"/>
      <c r="N18" s="28"/>
    </row>
    <row r="19" spans="1:14" x14ac:dyDescent="0.25">
      <c r="A19" s="28" t="s">
        <v>536</v>
      </c>
      <c r="B19" s="28">
        <v>0.69</v>
      </c>
      <c r="C19" s="28">
        <v>18.52</v>
      </c>
      <c r="D19" s="41"/>
      <c r="E19" s="28" t="s">
        <v>540</v>
      </c>
      <c r="F19" s="28">
        <f>AVERAGE(B23:B25)</f>
        <v>0.53</v>
      </c>
      <c r="G19" s="28">
        <f>AVERAGE(C23:C25)</f>
        <v>18.236666666666665</v>
      </c>
      <c r="H19">
        <v>20.8</v>
      </c>
      <c r="I19" s="28" t="s">
        <v>541</v>
      </c>
      <c r="J19" s="28">
        <f>AVERAGE(B83:B85)</f>
        <v>1.08</v>
      </c>
      <c r="K19" s="28">
        <f>AVERAGE(C83:C85)</f>
        <v>21.58</v>
      </c>
      <c r="L19">
        <v>25.4</v>
      </c>
      <c r="M19" s="28"/>
      <c r="N19" s="28"/>
    </row>
    <row r="20" spans="1:14" x14ac:dyDescent="0.25">
      <c r="A20" s="28" t="s">
        <v>538</v>
      </c>
      <c r="B20" s="28">
        <v>0.34</v>
      </c>
      <c r="C20" s="28">
        <v>18.329999999999998</v>
      </c>
      <c r="D20" s="41"/>
      <c r="E20" s="28" t="s">
        <v>542</v>
      </c>
      <c r="F20" s="28">
        <f>AVERAGE(B26:B28)</f>
        <v>0.56999999999999995</v>
      </c>
      <c r="G20" s="28">
        <f>AVERAGE(C26:C28)</f>
        <v>17.926666666666666</v>
      </c>
      <c r="H20">
        <v>20.5</v>
      </c>
      <c r="I20" s="28" t="s">
        <v>543</v>
      </c>
      <c r="J20" s="28">
        <f>AVERAGE(B86:B88)</f>
        <v>0.76333333333333331</v>
      </c>
      <c r="K20" s="28">
        <f>AVERAGE(C86:C88)</f>
        <v>21.113333333333333</v>
      </c>
      <c r="L20">
        <v>25.4</v>
      </c>
      <c r="M20" s="28"/>
      <c r="N20" s="28"/>
    </row>
    <row r="21" spans="1:14" x14ac:dyDescent="0.25">
      <c r="A21" s="28" t="s">
        <v>538</v>
      </c>
      <c r="B21" s="28">
        <v>0.26</v>
      </c>
      <c r="C21" s="28">
        <v>18.57</v>
      </c>
      <c r="D21" s="41"/>
      <c r="E21" s="28" t="s">
        <v>544</v>
      </c>
      <c r="F21" s="28">
        <f>AVERAGE(B29:B31)</f>
        <v>0.64333333333333342</v>
      </c>
      <c r="G21" s="28">
        <f>AVERAGE(C29:C31)</f>
        <v>17.936666666666664</v>
      </c>
      <c r="H21">
        <v>20.3</v>
      </c>
      <c r="I21" s="28" t="s">
        <v>545</v>
      </c>
      <c r="J21" s="28">
        <f>AVERAGE(B89:B91)</f>
        <v>0.89</v>
      </c>
      <c r="K21" s="28">
        <f>AVERAGE(C89:C91)</f>
        <v>22.22</v>
      </c>
      <c r="L21">
        <v>25.6</v>
      </c>
      <c r="M21" s="28"/>
      <c r="N21" s="28"/>
    </row>
    <row r="22" spans="1:14" x14ac:dyDescent="0.25">
      <c r="A22" s="28" t="s">
        <v>538</v>
      </c>
      <c r="B22" s="28">
        <v>0.21</v>
      </c>
      <c r="C22" s="28">
        <v>18.510000000000002</v>
      </c>
      <c r="D22" s="41"/>
      <c r="E22" s="28" t="s">
        <v>546</v>
      </c>
      <c r="F22" s="28">
        <f>AVERAGE(B47:B49)</f>
        <v>0.53666666666666674</v>
      </c>
      <c r="G22" s="28">
        <f>AVERAGE(C47:C49)</f>
        <v>19.429999999999996</v>
      </c>
      <c r="H22">
        <v>21.5</v>
      </c>
      <c r="I22" s="28" t="s">
        <v>547</v>
      </c>
      <c r="J22" s="28">
        <f>AVERAGE(B107:B109)</f>
        <v>0.8666666666666667</v>
      </c>
      <c r="K22" s="28">
        <f>AVERAGE(C107:C109)</f>
        <v>22.63</v>
      </c>
      <c r="L22">
        <v>26</v>
      </c>
      <c r="M22" s="28"/>
      <c r="N22" s="28"/>
    </row>
    <row r="23" spans="1:14" x14ac:dyDescent="0.25">
      <c r="A23" s="28" t="s">
        <v>540</v>
      </c>
      <c r="B23" s="28">
        <v>0.52</v>
      </c>
      <c r="C23" s="28">
        <v>18.22</v>
      </c>
      <c r="D23" s="41"/>
      <c r="E23" s="28" t="s">
        <v>548</v>
      </c>
      <c r="F23" s="28">
        <f>AVERAGE(B50:B52)</f>
        <v>0.76666666666666661</v>
      </c>
      <c r="G23" s="28">
        <f>AVERAGE(C50:C52)</f>
        <v>19.5</v>
      </c>
      <c r="H23">
        <v>21.5</v>
      </c>
      <c r="I23" s="28" t="s">
        <v>549</v>
      </c>
      <c r="J23" s="28">
        <f>AVERAGE(B110:B112)</f>
        <v>2.1933333333333334</v>
      </c>
      <c r="K23" s="28">
        <f>AVERAGE(C110:C112)</f>
        <v>22.700000000000003</v>
      </c>
      <c r="L23">
        <v>26.4</v>
      </c>
      <c r="M23" s="28"/>
      <c r="N23" s="28"/>
    </row>
    <row r="24" spans="1:14" x14ac:dyDescent="0.25">
      <c r="A24" s="28" t="s">
        <v>540</v>
      </c>
      <c r="B24" s="28">
        <v>0.56000000000000005</v>
      </c>
      <c r="C24" s="28">
        <v>18.190000000000001</v>
      </c>
      <c r="D24" s="41"/>
      <c r="E24" s="28" t="s">
        <v>550</v>
      </c>
      <c r="F24" s="28">
        <f>AVERAGE(B53:B55)</f>
        <v>0.79666666666666652</v>
      </c>
      <c r="G24" s="28">
        <f>AVERAGE(C53:C55)</f>
        <v>18.053333333333331</v>
      </c>
      <c r="H24">
        <v>20.6</v>
      </c>
      <c r="I24" s="28" t="s">
        <v>551</v>
      </c>
      <c r="J24" s="28">
        <f>AVERAGE(B113:B115)</f>
        <v>1.4133333333333333</v>
      </c>
      <c r="K24" s="28">
        <f>AVERAGE(C113:C115)</f>
        <v>21.88</v>
      </c>
      <c r="L24">
        <v>25.1</v>
      </c>
      <c r="M24" s="28"/>
      <c r="N24" s="28"/>
    </row>
    <row r="25" spans="1:14" x14ac:dyDescent="0.25">
      <c r="A25" s="28" t="s">
        <v>540</v>
      </c>
      <c r="B25" s="28">
        <v>0.51</v>
      </c>
      <c r="C25" s="28">
        <v>18.3</v>
      </c>
      <c r="D25" s="41"/>
      <c r="E25" s="28" t="s">
        <v>552</v>
      </c>
      <c r="F25" s="28">
        <f>AVERAGE(B56:B58)</f>
        <v>0.25666666666666665</v>
      </c>
      <c r="G25" s="28">
        <f>AVERAGE(C56:C58)</f>
        <v>17.643333333333334</v>
      </c>
      <c r="H25">
        <v>19.600000000000001</v>
      </c>
      <c r="I25" s="28" t="s">
        <v>553</v>
      </c>
      <c r="J25" s="28">
        <f>AVERAGE(B116:B118)</f>
        <v>1.4066666666666665</v>
      </c>
      <c r="K25" s="28">
        <f>AVERAGE(C116:C118)</f>
        <v>23.2</v>
      </c>
      <c r="L25">
        <v>27.4</v>
      </c>
      <c r="M25" s="28"/>
      <c r="N25" s="28"/>
    </row>
    <row r="26" spans="1:14" x14ac:dyDescent="0.25">
      <c r="A26" s="28" t="s">
        <v>542</v>
      </c>
      <c r="B26" s="28">
        <v>0.53</v>
      </c>
      <c r="C26" s="28">
        <v>18.02</v>
      </c>
      <c r="D26" s="41"/>
      <c r="E26" s="28" t="s">
        <v>554</v>
      </c>
      <c r="F26" s="28">
        <f>AVERAGE(B59:B61)</f>
        <v>0.21333333333333335</v>
      </c>
      <c r="G26" s="28">
        <f>AVERAGE(C59:C61)</f>
        <v>18.440000000000001</v>
      </c>
      <c r="H26">
        <v>20.3</v>
      </c>
      <c r="I26" s="28" t="s">
        <v>555</v>
      </c>
      <c r="J26" s="28">
        <f>AVERAGE(B119:B121)</f>
        <v>1.36</v>
      </c>
      <c r="K26" s="28">
        <f>AVERAGE(C119:C121)</f>
        <v>21.180000000000003</v>
      </c>
      <c r="L26">
        <v>25.4</v>
      </c>
      <c r="M26" s="28"/>
      <c r="N26" s="28"/>
    </row>
    <row r="27" spans="1:14" x14ac:dyDescent="0.25">
      <c r="A27" s="28" t="s">
        <v>542</v>
      </c>
      <c r="B27" s="28">
        <v>0.61</v>
      </c>
      <c r="C27" s="28">
        <v>17.899999999999999</v>
      </c>
      <c r="D27" s="41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x14ac:dyDescent="0.25">
      <c r="A28" s="28" t="s">
        <v>542</v>
      </c>
      <c r="B28" s="28">
        <v>0.56999999999999995</v>
      </c>
      <c r="C28" s="28">
        <v>17.86</v>
      </c>
      <c r="D28" s="41"/>
      <c r="E28" s="39" t="s">
        <v>471</v>
      </c>
      <c r="F28" s="29">
        <f>AVERAGE(F17:F26)</f>
        <v>0.51866666666666661</v>
      </c>
      <c r="G28" s="29">
        <f t="shared" ref="G28:J28" si="1">AVERAGE(G17:G26)</f>
        <v>18.426333333333336</v>
      </c>
      <c r="H28" s="29">
        <f t="shared" si="1"/>
        <v>20.669999999999998</v>
      </c>
      <c r="I28" s="29" t="s">
        <v>473</v>
      </c>
      <c r="J28" s="29">
        <f t="shared" si="1"/>
        <v>1.419</v>
      </c>
      <c r="K28" s="29">
        <f>AVERAGE(K17:K26)</f>
        <v>22.209666666666664</v>
      </c>
      <c r="L28" s="29">
        <f>AVERAGE(L17:L26)</f>
        <v>26.25</v>
      </c>
      <c r="M28" s="48"/>
      <c r="N28" s="28"/>
    </row>
    <row r="29" spans="1:14" x14ac:dyDescent="0.25">
      <c r="A29" s="28" t="s">
        <v>544</v>
      </c>
      <c r="B29" s="28">
        <v>0.76</v>
      </c>
      <c r="C29" s="28">
        <v>17.739999999999998</v>
      </c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28" t="s">
        <v>544</v>
      </c>
      <c r="B30" s="28">
        <v>0.61</v>
      </c>
      <c r="C30" s="28">
        <v>17.920000000000002</v>
      </c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28" t="s">
        <v>544</v>
      </c>
      <c r="B31" s="28">
        <v>0.56000000000000005</v>
      </c>
      <c r="C31" s="28">
        <v>18.149999999999999</v>
      </c>
      <c r="D31" s="41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28" t="s">
        <v>525</v>
      </c>
      <c r="B32" s="28">
        <v>1.04</v>
      </c>
      <c r="C32" s="28">
        <v>19.61</v>
      </c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28" t="s">
        <v>525</v>
      </c>
      <c r="B33" s="28">
        <v>0.94</v>
      </c>
      <c r="C33" s="28">
        <v>19.68</v>
      </c>
      <c r="D33" s="41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28" t="s">
        <v>525</v>
      </c>
      <c r="B34" s="28">
        <v>0.91</v>
      </c>
      <c r="C34" s="28">
        <v>19.72</v>
      </c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28" t="s">
        <v>527</v>
      </c>
      <c r="B35" s="28">
        <v>1.1200000000000001</v>
      </c>
      <c r="C35" s="28">
        <v>18.14</v>
      </c>
      <c r="D35" s="41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28" t="s">
        <v>527</v>
      </c>
      <c r="B36" s="28">
        <v>1.26</v>
      </c>
      <c r="C36" s="28">
        <v>17.809999999999999</v>
      </c>
      <c r="D36" s="41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28" t="s">
        <v>527</v>
      </c>
      <c r="B37" s="28">
        <v>1.1499999999999999</v>
      </c>
      <c r="C37" s="28">
        <v>17.87</v>
      </c>
      <c r="D37" s="41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28" t="s">
        <v>529</v>
      </c>
      <c r="B38" s="28">
        <v>1.1399999999999999</v>
      </c>
      <c r="C38" s="28">
        <v>18.98</v>
      </c>
      <c r="D38" s="41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28" t="s">
        <v>529</v>
      </c>
      <c r="B39" s="28">
        <v>1.58</v>
      </c>
      <c r="C39" s="28">
        <v>18.399999999999999</v>
      </c>
      <c r="D39" s="41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28" t="s">
        <v>529</v>
      </c>
      <c r="B40" s="28">
        <v>1.47</v>
      </c>
      <c r="C40" s="28">
        <v>18.510000000000002</v>
      </c>
      <c r="D40" s="41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28" t="s">
        <v>531</v>
      </c>
      <c r="B41" s="28">
        <v>1.35</v>
      </c>
      <c r="C41" s="28">
        <v>17.53</v>
      </c>
      <c r="D41" s="41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28" t="s">
        <v>531</v>
      </c>
      <c r="B42" s="28">
        <v>1.23</v>
      </c>
      <c r="C42" s="28">
        <v>17.71</v>
      </c>
      <c r="D42" s="41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28" t="s">
        <v>531</v>
      </c>
      <c r="B43" s="28">
        <v>1.39</v>
      </c>
      <c r="C43" s="28">
        <v>17.420000000000002</v>
      </c>
      <c r="D43" s="41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28" t="s">
        <v>533</v>
      </c>
      <c r="B44" s="28">
        <v>0.53</v>
      </c>
      <c r="C44" s="28">
        <v>18.3</v>
      </c>
      <c r="D44" s="41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28" t="s">
        <v>533</v>
      </c>
      <c r="B45" s="28">
        <v>0.53</v>
      </c>
      <c r="C45" s="28">
        <v>18.21</v>
      </c>
      <c r="D45" s="41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28" t="s">
        <v>533</v>
      </c>
      <c r="B46" s="28">
        <v>0.57999999999999996</v>
      </c>
      <c r="C46" s="28">
        <v>18.13</v>
      </c>
      <c r="D46" s="41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28" t="s">
        <v>546</v>
      </c>
      <c r="B47" s="28">
        <v>0.61</v>
      </c>
      <c r="C47" s="28">
        <v>19.399999999999999</v>
      </c>
      <c r="D47" s="41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28" t="s">
        <v>546</v>
      </c>
      <c r="B48" s="28">
        <v>0.44</v>
      </c>
      <c r="C48" s="28">
        <v>19.48</v>
      </c>
      <c r="D48" s="41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28" t="s">
        <v>546</v>
      </c>
      <c r="B49" s="28">
        <v>0.56000000000000005</v>
      </c>
      <c r="C49" s="28">
        <v>19.41</v>
      </c>
      <c r="D49" s="41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x14ac:dyDescent="0.25">
      <c r="A50" s="28" t="s">
        <v>548</v>
      </c>
      <c r="B50" s="28">
        <v>0.64</v>
      </c>
      <c r="C50" s="28">
        <v>19.559999999999999</v>
      </c>
      <c r="D50" s="41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x14ac:dyDescent="0.25">
      <c r="A51" s="28" t="s">
        <v>548</v>
      </c>
      <c r="B51" s="28">
        <v>0.86</v>
      </c>
      <c r="C51" s="28">
        <v>19.39</v>
      </c>
      <c r="D51" s="41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 x14ac:dyDescent="0.25">
      <c r="A52" s="28" t="s">
        <v>548</v>
      </c>
      <c r="B52" s="28">
        <v>0.8</v>
      </c>
      <c r="C52" s="28">
        <v>19.55</v>
      </c>
      <c r="D52" s="41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 x14ac:dyDescent="0.25">
      <c r="A53" s="28" t="s">
        <v>550</v>
      </c>
      <c r="B53" s="28">
        <v>0.72</v>
      </c>
      <c r="C53" s="28">
        <v>18.13</v>
      </c>
      <c r="D53" s="41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x14ac:dyDescent="0.25">
      <c r="A54" s="28" t="s">
        <v>550</v>
      </c>
      <c r="B54" s="28">
        <v>0.89</v>
      </c>
      <c r="C54" s="28">
        <v>17.86</v>
      </c>
      <c r="D54" s="41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 x14ac:dyDescent="0.25">
      <c r="A55" s="28" t="s">
        <v>550</v>
      </c>
      <c r="B55" s="28">
        <v>0.78</v>
      </c>
      <c r="C55" s="28">
        <v>18.170000000000002</v>
      </c>
      <c r="D55" s="41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28" t="s">
        <v>552</v>
      </c>
      <c r="B56" s="28">
        <v>0</v>
      </c>
      <c r="C56" s="28">
        <v>17.86</v>
      </c>
      <c r="D56" s="41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28" t="s">
        <v>552</v>
      </c>
      <c r="B57" s="28">
        <v>0.47</v>
      </c>
      <c r="C57" s="28">
        <v>17.43</v>
      </c>
      <c r="D57" s="41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28" t="s">
        <v>552</v>
      </c>
      <c r="B58" s="28">
        <v>0.3</v>
      </c>
      <c r="C58" s="28">
        <v>17.64</v>
      </c>
      <c r="D58" s="41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28" t="s">
        <v>554</v>
      </c>
      <c r="B59" s="28">
        <v>0.21</v>
      </c>
      <c r="C59" s="28">
        <v>18.38</v>
      </c>
      <c r="D59" s="41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28" t="s">
        <v>554</v>
      </c>
      <c r="B60" s="28">
        <v>0.17</v>
      </c>
      <c r="C60" s="28">
        <v>18.52</v>
      </c>
      <c r="D60" s="41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28" t="s">
        <v>554</v>
      </c>
      <c r="B61" s="28">
        <v>0.26</v>
      </c>
      <c r="C61" s="28">
        <v>18.420000000000002</v>
      </c>
      <c r="D61" s="41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28" t="s">
        <v>516</v>
      </c>
      <c r="B62" s="28">
        <v>2.2400000000000002</v>
      </c>
      <c r="C62" s="28">
        <v>21.11</v>
      </c>
      <c r="D62" s="41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28" t="s">
        <v>516</v>
      </c>
      <c r="B63" s="28">
        <v>2.29</v>
      </c>
      <c r="C63" s="28">
        <v>21.17</v>
      </c>
      <c r="D63" s="41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28" t="s">
        <v>516</v>
      </c>
      <c r="B64" s="28">
        <v>2.1</v>
      </c>
      <c r="C64" s="28">
        <v>21.06</v>
      </c>
      <c r="D64" s="41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28" t="s">
        <v>518</v>
      </c>
      <c r="B65" s="28">
        <v>0.85</v>
      </c>
      <c r="C65" s="28">
        <v>22.61</v>
      </c>
      <c r="D65" s="41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28" t="s">
        <v>518</v>
      </c>
      <c r="B66" s="28">
        <v>0.96</v>
      </c>
      <c r="C66" s="28">
        <v>22.6</v>
      </c>
      <c r="D66" s="41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28" t="s">
        <v>518</v>
      </c>
      <c r="B67" s="28">
        <v>1.07</v>
      </c>
      <c r="C67" s="28">
        <v>22.19</v>
      </c>
      <c r="D67" s="41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28" t="s">
        <v>520</v>
      </c>
      <c r="B68" s="28">
        <v>0.6</v>
      </c>
      <c r="C68" s="28">
        <v>23.34</v>
      </c>
      <c r="D68" s="41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28" t="s">
        <v>520</v>
      </c>
      <c r="B69" s="28">
        <v>0.77</v>
      </c>
      <c r="C69" s="28">
        <v>22.93</v>
      </c>
      <c r="D69" s="41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28" t="s">
        <v>520</v>
      </c>
      <c r="B70" s="28">
        <v>0.42</v>
      </c>
      <c r="C70" s="28">
        <v>23.44</v>
      </c>
      <c r="D70" s="41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 x14ac:dyDescent="0.25">
      <c r="A71" s="28" t="s">
        <v>522</v>
      </c>
      <c r="B71" s="28">
        <v>1.66</v>
      </c>
      <c r="C71" s="28">
        <v>20.85</v>
      </c>
      <c r="D71" s="41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 x14ac:dyDescent="0.25">
      <c r="A72" s="28" t="s">
        <v>522</v>
      </c>
      <c r="B72" s="28">
        <v>1.4</v>
      </c>
      <c r="C72" s="28">
        <v>21.26</v>
      </c>
      <c r="D72" s="41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 x14ac:dyDescent="0.25">
      <c r="A73" s="28" t="s">
        <v>522</v>
      </c>
      <c r="B73" s="28">
        <v>1.49</v>
      </c>
      <c r="C73" s="28">
        <v>21</v>
      </c>
      <c r="D73" s="41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spans="1:14" x14ac:dyDescent="0.25">
      <c r="A74" s="28" t="s">
        <v>524</v>
      </c>
      <c r="B74" s="28">
        <v>1.74</v>
      </c>
      <c r="C74" s="28">
        <v>20.47</v>
      </c>
      <c r="D74" s="41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 x14ac:dyDescent="0.25">
      <c r="A75" s="28" t="s">
        <v>524</v>
      </c>
      <c r="B75" s="28">
        <v>1.38</v>
      </c>
      <c r="C75" s="28">
        <v>21.03</v>
      </c>
      <c r="D75" s="41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1:14" x14ac:dyDescent="0.25">
      <c r="A76" s="28" t="s">
        <v>524</v>
      </c>
      <c r="B76" s="28">
        <v>1.57</v>
      </c>
      <c r="C76" s="28">
        <v>20.59</v>
      </c>
      <c r="D76" s="41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 x14ac:dyDescent="0.25">
      <c r="A77" s="28" t="s">
        <v>537</v>
      </c>
      <c r="B77" s="28">
        <v>1.0900000000000001</v>
      </c>
      <c r="C77" s="28">
        <v>22.44</v>
      </c>
      <c r="D77" s="41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1:14" x14ac:dyDescent="0.25">
      <c r="A78" s="28" t="s">
        <v>537</v>
      </c>
      <c r="B78" s="28">
        <v>1.36</v>
      </c>
      <c r="C78" s="28">
        <v>22.55</v>
      </c>
      <c r="D78" s="41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 x14ac:dyDescent="0.25">
      <c r="A79" s="28" t="s">
        <v>537</v>
      </c>
      <c r="B79" s="28">
        <v>1.39</v>
      </c>
      <c r="C79" s="28">
        <v>22.57</v>
      </c>
      <c r="D79" s="41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1:14" x14ac:dyDescent="0.25">
      <c r="A80" s="28" t="s">
        <v>539</v>
      </c>
      <c r="B80" s="28">
        <v>2.82</v>
      </c>
      <c r="C80" s="28">
        <v>23.01</v>
      </c>
      <c r="D80" s="41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x14ac:dyDescent="0.25">
      <c r="A81" s="28" t="s">
        <v>539</v>
      </c>
      <c r="B81" s="28">
        <v>3</v>
      </c>
      <c r="C81" s="28">
        <v>23.16</v>
      </c>
      <c r="D81" s="41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x14ac:dyDescent="0.25">
      <c r="A82" s="28" t="s">
        <v>539</v>
      </c>
      <c r="B82" s="28">
        <v>2.99</v>
      </c>
      <c r="C82" s="28">
        <v>23.05</v>
      </c>
      <c r="D82" s="41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x14ac:dyDescent="0.25">
      <c r="A83" s="28" t="s">
        <v>541</v>
      </c>
      <c r="B83" s="28">
        <v>1.23</v>
      </c>
      <c r="C83" s="28">
        <v>21.66</v>
      </c>
      <c r="D83" s="41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 x14ac:dyDescent="0.25">
      <c r="A84" s="28" t="s">
        <v>541</v>
      </c>
      <c r="B84" s="28">
        <v>1.1399999999999999</v>
      </c>
      <c r="C84" s="28">
        <v>21.31</v>
      </c>
      <c r="D84" s="41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 x14ac:dyDescent="0.25">
      <c r="A85" s="28" t="s">
        <v>541</v>
      </c>
      <c r="B85" s="28">
        <v>0.87</v>
      </c>
      <c r="C85" s="28">
        <v>21.77</v>
      </c>
      <c r="D85" s="41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pans="1:14" x14ac:dyDescent="0.25">
      <c r="A86" s="28" t="s">
        <v>543</v>
      </c>
      <c r="B86" s="28">
        <v>0.66</v>
      </c>
      <c r="C86" s="28">
        <v>21.19</v>
      </c>
      <c r="D86" s="41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 x14ac:dyDescent="0.25">
      <c r="A87" s="28" t="s">
        <v>543</v>
      </c>
      <c r="B87" s="28">
        <v>0.94</v>
      </c>
      <c r="C87" s="28">
        <v>20.95</v>
      </c>
      <c r="D87" s="41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spans="1:14" x14ac:dyDescent="0.25">
      <c r="A88" s="28" t="s">
        <v>543</v>
      </c>
      <c r="B88" s="28">
        <v>0.69</v>
      </c>
      <c r="C88" s="28">
        <v>21.2</v>
      </c>
      <c r="D88" s="41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pans="1:14" x14ac:dyDescent="0.25">
      <c r="A89" s="28" t="s">
        <v>545</v>
      </c>
      <c r="B89" s="28">
        <v>0.74</v>
      </c>
      <c r="C89" s="28">
        <v>22.4</v>
      </c>
      <c r="D89" s="41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 x14ac:dyDescent="0.25">
      <c r="A90" s="28" t="s">
        <v>545</v>
      </c>
      <c r="B90" s="28">
        <v>0.91</v>
      </c>
      <c r="C90" s="28">
        <v>22.11</v>
      </c>
      <c r="D90" s="41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pans="1:14" x14ac:dyDescent="0.25">
      <c r="A91" s="28" t="s">
        <v>545</v>
      </c>
      <c r="B91" s="28">
        <v>1.02</v>
      </c>
      <c r="C91" s="28">
        <v>22.15</v>
      </c>
      <c r="D91" s="41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spans="1:14" x14ac:dyDescent="0.25">
      <c r="A92" s="28" t="s">
        <v>526</v>
      </c>
      <c r="B92" s="28">
        <v>1.18</v>
      </c>
      <c r="C92" s="28">
        <v>23</v>
      </c>
      <c r="D92" s="41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4" x14ac:dyDescent="0.25">
      <c r="A93" s="28" t="s">
        <v>526</v>
      </c>
      <c r="B93" s="28">
        <v>0.78</v>
      </c>
      <c r="C93" s="28">
        <v>23.5</v>
      </c>
      <c r="D93" s="41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pans="1:14" x14ac:dyDescent="0.25">
      <c r="A94" s="28" t="s">
        <v>526</v>
      </c>
      <c r="B94" s="28">
        <v>1.17</v>
      </c>
      <c r="C94" s="28">
        <v>22.82</v>
      </c>
      <c r="D94" s="41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spans="1:14" x14ac:dyDescent="0.25">
      <c r="A95" s="28" t="s">
        <v>528</v>
      </c>
      <c r="B95" s="28">
        <v>0.53</v>
      </c>
      <c r="C95" s="28">
        <v>22.12</v>
      </c>
      <c r="D95" s="41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spans="1:14" x14ac:dyDescent="0.25">
      <c r="A96" s="28" t="s">
        <v>528</v>
      </c>
      <c r="B96" s="28">
        <v>0.43</v>
      </c>
      <c r="C96" s="28">
        <v>22.12</v>
      </c>
      <c r="D96" s="41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 x14ac:dyDescent="0.25">
      <c r="A97" s="28" t="s">
        <v>528</v>
      </c>
      <c r="B97" s="28">
        <v>0.16</v>
      </c>
      <c r="C97" s="28">
        <v>22.2</v>
      </c>
      <c r="D97" s="41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4" x14ac:dyDescent="0.25">
      <c r="A98" s="28" t="s">
        <v>530</v>
      </c>
      <c r="B98" s="28">
        <v>0.83</v>
      </c>
      <c r="C98" s="28">
        <v>22.55</v>
      </c>
      <c r="D98" s="41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x14ac:dyDescent="0.25">
      <c r="A99" s="28" t="s">
        <v>530</v>
      </c>
      <c r="B99" s="28">
        <v>1.27</v>
      </c>
      <c r="C99" s="28">
        <v>21.99</v>
      </c>
      <c r="D99" s="41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1:14" x14ac:dyDescent="0.25">
      <c r="A100" s="28" t="s">
        <v>530</v>
      </c>
      <c r="B100" s="28">
        <v>1.42</v>
      </c>
      <c r="C100" s="28">
        <v>21.89</v>
      </c>
      <c r="D100" s="41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spans="1:14" x14ac:dyDescent="0.25">
      <c r="A101" s="28" t="s">
        <v>532</v>
      </c>
      <c r="B101" s="28">
        <v>1.88</v>
      </c>
      <c r="C101" s="28">
        <v>23.43</v>
      </c>
      <c r="D101" s="41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x14ac:dyDescent="0.25">
      <c r="A102" s="28" t="s">
        <v>532</v>
      </c>
      <c r="B102" s="28">
        <v>1.85</v>
      </c>
      <c r="C102" s="28">
        <v>23.22</v>
      </c>
      <c r="D102" s="41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14" x14ac:dyDescent="0.25">
      <c r="A103" s="28" t="s">
        <v>532</v>
      </c>
      <c r="B103" s="28">
        <v>1.44</v>
      </c>
      <c r="C103" s="28">
        <v>24.08</v>
      </c>
      <c r="D103" s="41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14" x14ac:dyDescent="0.25">
      <c r="A104" s="28" t="s">
        <v>534</v>
      </c>
      <c r="B104" s="28">
        <v>1.22</v>
      </c>
      <c r="C104" s="28">
        <v>22.07</v>
      </c>
      <c r="D104" s="41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14" x14ac:dyDescent="0.25">
      <c r="A105" s="28" t="s">
        <v>534</v>
      </c>
      <c r="B105" s="28">
        <v>0.83</v>
      </c>
      <c r="C105" s="28">
        <v>22.44</v>
      </c>
      <c r="D105" s="41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4" x14ac:dyDescent="0.25">
      <c r="A106" s="28" t="s">
        <v>534</v>
      </c>
      <c r="B106" s="28">
        <v>0.91</v>
      </c>
      <c r="C106" s="28">
        <v>22.51</v>
      </c>
      <c r="D106" s="41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4" x14ac:dyDescent="0.25">
      <c r="A107" s="28" t="s">
        <v>547</v>
      </c>
      <c r="B107" s="28">
        <v>1.1000000000000001</v>
      </c>
      <c r="C107" s="28">
        <v>22.47</v>
      </c>
      <c r="D107" s="41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14" x14ac:dyDescent="0.25">
      <c r="A108" s="28" t="s">
        <v>547</v>
      </c>
      <c r="B108" s="28">
        <v>1.21</v>
      </c>
      <c r="C108" s="28">
        <v>22.44</v>
      </c>
      <c r="D108" s="41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4" x14ac:dyDescent="0.25">
      <c r="A109" s="28" t="s">
        <v>547</v>
      </c>
      <c r="B109" s="28">
        <v>0.28999999999999998</v>
      </c>
      <c r="C109" s="28">
        <v>22.98</v>
      </c>
      <c r="D109" s="41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4" x14ac:dyDescent="0.25">
      <c r="A110" s="28" t="s">
        <v>549</v>
      </c>
      <c r="B110" s="28">
        <v>2.21</v>
      </c>
      <c r="C110" s="28">
        <v>22.71</v>
      </c>
      <c r="D110" s="41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14" x14ac:dyDescent="0.25">
      <c r="A111" s="28" t="s">
        <v>549</v>
      </c>
      <c r="B111" s="28">
        <v>2.15</v>
      </c>
      <c r="C111" s="28">
        <v>22.8</v>
      </c>
      <c r="D111" s="41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14" x14ac:dyDescent="0.25">
      <c r="A112" s="28" t="s">
        <v>549</v>
      </c>
      <c r="B112" s="28">
        <v>2.2200000000000002</v>
      </c>
      <c r="C112" s="28">
        <v>22.59</v>
      </c>
      <c r="D112" s="41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4" x14ac:dyDescent="0.25">
      <c r="A113" s="28" t="s">
        <v>551</v>
      </c>
      <c r="B113" s="28">
        <v>1.38</v>
      </c>
      <c r="C113" s="28">
        <v>21.85</v>
      </c>
      <c r="D113" s="41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4" x14ac:dyDescent="0.25">
      <c r="A114" s="28" t="s">
        <v>551</v>
      </c>
      <c r="B114" s="28">
        <v>1.31</v>
      </c>
      <c r="C114" s="28">
        <v>21.87</v>
      </c>
      <c r="D114" s="41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 x14ac:dyDescent="0.25">
      <c r="A115" s="28" t="s">
        <v>551</v>
      </c>
      <c r="B115" s="28">
        <v>1.55</v>
      </c>
      <c r="C115" s="28">
        <v>21.92</v>
      </c>
      <c r="D115" s="41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1:14" x14ac:dyDescent="0.25">
      <c r="A116" s="28" t="s">
        <v>553</v>
      </c>
      <c r="B116" s="28">
        <v>1.53</v>
      </c>
      <c r="C116" s="28">
        <v>22.98</v>
      </c>
      <c r="D116" s="41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 x14ac:dyDescent="0.25">
      <c r="A117" s="28" t="s">
        <v>553</v>
      </c>
      <c r="B117" s="28">
        <v>1.52</v>
      </c>
      <c r="C117" s="28">
        <v>23.23</v>
      </c>
      <c r="D117" s="41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x14ac:dyDescent="0.25">
      <c r="A118" s="28" t="s">
        <v>553</v>
      </c>
      <c r="B118" s="28">
        <v>1.17</v>
      </c>
      <c r="C118" s="28">
        <v>23.39</v>
      </c>
      <c r="D118" s="41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x14ac:dyDescent="0.25">
      <c r="A119" s="28" t="s">
        <v>555</v>
      </c>
      <c r="B119" s="28">
        <v>1.31</v>
      </c>
      <c r="C119" s="28">
        <v>21.35</v>
      </c>
      <c r="D119" s="41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x14ac:dyDescent="0.25">
      <c r="A120" s="28" t="s">
        <v>555</v>
      </c>
      <c r="B120" s="28">
        <v>1.35</v>
      </c>
      <c r="C120" s="28">
        <v>21.3</v>
      </c>
      <c r="D120" s="41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x14ac:dyDescent="0.25">
      <c r="A121" s="28" t="s">
        <v>555</v>
      </c>
      <c r="B121" s="28">
        <v>1.42</v>
      </c>
      <c r="C121" s="28">
        <v>20.89</v>
      </c>
      <c r="D121" s="41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13E2-E975-48A6-9563-9750F35DF271}">
  <dimension ref="A1:AG190"/>
  <sheetViews>
    <sheetView topLeftCell="A121" workbookViewId="0">
      <selection sqref="A1:XFD1048576"/>
    </sheetView>
  </sheetViews>
  <sheetFormatPr defaultRowHeight="15" x14ac:dyDescent="0.25"/>
  <cols>
    <col min="1" max="1" width="12.7109375" style="28" bestFit="1" customWidth="1"/>
    <col min="2" max="2" width="30.5703125" style="28" bestFit="1" customWidth="1"/>
    <col min="3" max="12" width="21.7109375" style="28" bestFit="1" customWidth="1"/>
    <col min="13" max="13" width="12.7109375" style="28" bestFit="1" customWidth="1"/>
    <col min="14" max="14" width="12" style="28" bestFit="1" customWidth="1"/>
    <col min="15" max="15" width="9.140625" style="28"/>
    <col min="16" max="18" width="12" style="28" bestFit="1" customWidth="1"/>
    <col min="19" max="19" width="9.140625" style="28"/>
    <col min="20" max="20" width="12.42578125" style="28" bestFit="1" customWidth="1"/>
    <col min="21" max="21" width="30.5703125" style="28" bestFit="1" customWidth="1"/>
    <col min="22" max="31" width="21.7109375" style="28" bestFit="1" customWidth="1"/>
    <col min="32" max="32" width="12.7109375" style="28" bestFit="1" customWidth="1"/>
    <col min="33" max="33" width="12" style="28" bestFit="1" customWidth="1"/>
    <col min="34" max="16384" width="9.140625" style="28"/>
  </cols>
  <sheetData>
    <row r="1" spans="1:33" x14ac:dyDescent="0.25">
      <c r="A1" s="49" t="s">
        <v>597</v>
      </c>
      <c r="P1" s="28" t="s">
        <v>129</v>
      </c>
      <c r="Q1" s="28" t="s">
        <v>594</v>
      </c>
      <c r="R1" s="28" t="s">
        <v>13</v>
      </c>
      <c r="T1" s="56" t="s">
        <v>598</v>
      </c>
    </row>
    <row r="2" spans="1:33" x14ac:dyDescent="0.25">
      <c r="B2" s="28" t="s">
        <v>558</v>
      </c>
      <c r="C2" s="28" t="s">
        <v>142</v>
      </c>
      <c r="D2" s="28" t="s">
        <v>200</v>
      </c>
      <c r="E2" s="28" t="s">
        <v>131</v>
      </c>
      <c r="F2" s="28" t="s">
        <v>188</v>
      </c>
      <c r="G2" s="28" t="s">
        <v>153</v>
      </c>
      <c r="H2" s="28" t="s">
        <v>211</v>
      </c>
      <c r="I2" s="28" t="s">
        <v>599</v>
      </c>
      <c r="J2" s="28" t="s">
        <v>222</v>
      </c>
      <c r="K2" s="28" t="s">
        <v>177</v>
      </c>
      <c r="L2" s="28" t="s">
        <v>233</v>
      </c>
      <c r="M2" s="28" t="s">
        <v>559</v>
      </c>
      <c r="N2" s="28" t="s">
        <v>560</v>
      </c>
      <c r="P2" s="28">
        <f>_xlfn.T.TEST(C3:L3,C34:L34,2,2)</f>
        <v>7.0403229927319612E-4</v>
      </c>
      <c r="Q2" s="28">
        <f>_xlfn.T.TEST(C3:L3,V3:AE3,2,2)</f>
        <v>0.86924460292635231</v>
      </c>
      <c r="R2" s="28">
        <f>_xlfn.T.TEST(V3:AE3,V34:AE34,2,2)</f>
        <v>2.4808356376597598E-5</v>
      </c>
      <c r="U2" s="28" t="s">
        <v>558</v>
      </c>
      <c r="V2" s="28" t="s">
        <v>16</v>
      </c>
      <c r="W2" s="28" t="s">
        <v>75</v>
      </c>
      <c r="X2" s="28" t="s">
        <v>31</v>
      </c>
      <c r="Y2" s="28" t="s">
        <v>86</v>
      </c>
      <c r="Z2" s="28" t="s">
        <v>42</v>
      </c>
      <c r="AA2" s="28" t="s">
        <v>97</v>
      </c>
      <c r="AB2" s="28" t="s">
        <v>53</v>
      </c>
      <c r="AC2" s="28" t="s">
        <v>108</v>
      </c>
      <c r="AD2" s="28" t="s">
        <v>64</v>
      </c>
      <c r="AE2" s="28" t="s">
        <v>119</v>
      </c>
      <c r="AF2" s="28" t="s">
        <v>559</v>
      </c>
      <c r="AG2" s="28" t="s">
        <v>560</v>
      </c>
    </row>
    <row r="3" spans="1:33" x14ac:dyDescent="0.25">
      <c r="B3" s="28" t="s">
        <v>563</v>
      </c>
      <c r="C3" s="28">
        <v>128</v>
      </c>
      <c r="D3" s="28">
        <v>72</v>
      </c>
      <c r="E3" s="28">
        <v>95</v>
      </c>
      <c r="F3" s="28">
        <v>144</v>
      </c>
      <c r="G3" s="28">
        <v>119</v>
      </c>
      <c r="H3" s="28">
        <v>94</v>
      </c>
      <c r="I3" s="28">
        <v>114</v>
      </c>
      <c r="J3" s="28">
        <v>130</v>
      </c>
      <c r="K3" s="28">
        <v>136</v>
      </c>
      <c r="L3" s="28">
        <v>128</v>
      </c>
      <c r="M3" s="28">
        <v>116</v>
      </c>
      <c r="N3" s="28">
        <v>22.464787260658898</v>
      </c>
      <c r="P3" s="28">
        <f t="shared" ref="P3:P29" si="0">_xlfn.T.TEST(C4:L4,C35:L35,2,2)</f>
        <v>1.3843197645292091E-4</v>
      </c>
      <c r="Q3" s="28">
        <f t="shared" ref="Q3:Q63" si="1">_xlfn.T.TEST(C4:L4,V4:AE4,2,2)</f>
        <v>0.45810845337701722</v>
      </c>
      <c r="R3" s="28">
        <f t="shared" ref="R3:R29" si="2">_xlfn.T.TEST(V4:AE4,V35:AE35,2,2)</f>
        <v>1.4210059859801478E-4</v>
      </c>
      <c r="U3" s="28" t="s">
        <v>563</v>
      </c>
      <c r="V3" s="28">
        <v>112</v>
      </c>
      <c r="W3" s="28">
        <v>149</v>
      </c>
      <c r="X3" s="28">
        <v>118</v>
      </c>
      <c r="Y3" s="28">
        <v>141</v>
      </c>
      <c r="Z3" s="28">
        <v>111</v>
      </c>
      <c r="AA3" s="28">
        <v>100</v>
      </c>
      <c r="AB3" s="28">
        <v>136</v>
      </c>
      <c r="AC3" s="28">
        <v>108</v>
      </c>
      <c r="AD3" s="28">
        <v>96</v>
      </c>
      <c r="AE3" s="28">
        <v>72</v>
      </c>
      <c r="AF3" s="28">
        <v>114.3</v>
      </c>
      <c r="AG3" s="28">
        <v>23.060548321514101</v>
      </c>
    </row>
    <row r="4" spans="1:33" x14ac:dyDescent="0.25">
      <c r="B4" s="28" t="s">
        <v>564</v>
      </c>
      <c r="C4" s="28">
        <v>81</v>
      </c>
      <c r="D4" s="28">
        <v>53</v>
      </c>
      <c r="E4" s="28">
        <v>66</v>
      </c>
      <c r="F4" s="28">
        <v>92</v>
      </c>
      <c r="G4" s="28">
        <v>78</v>
      </c>
      <c r="H4" s="28">
        <v>55</v>
      </c>
      <c r="I4" s="28">
        <v>67</v>
      </c>
      <c r="J4" s="28">
        <v>87</v>
      </c>
      <c r="K4" s="28">
        <v>76</v>
      </c>
      <c r="L4" s="28">
        <v>71</v>
      </c>
      <c r="M4" s="28">
        <v>72.599999999999994</v>
      </c>
      <c r="N4" s="28">
        <v>12.764534199622499</v>
      </c>
      <c r="P4" s="28">
        <f t="shared" si="0"/>
        <v>2.5659102142360564E-2</v>
      </c>
      <c r="Q4" s="28">
        <f t="shared" si="1"/>
        <v>0.12320200821786248</v>
      </c>
      <c r="R4" s="28">
        <f t="shared" si="2"/>
        <v>2.5552328529003928E-3</v>
      </c>
      <c r="U4" s="28" t="s">
        <v>564</v>
      </c>
      <c r="V4" s="28">
        <v>71</v>
      </c>
      <c r="W4" s="28">
        <v>122</v>
      </c>
      <c r="X4" s="28">
        <v>80</v>
      </c>
      <c r="Y4" s="28">
        <v>98</v>
      </c>
      <c r="Z4" s="28">
        <v>64</v>
      </c>
      <c r="AA4" s="28">
        <v>63</v>
      </c>
      <c r="AB4" s="28">
        <v>93</v>
      </c>
      <c r="AC4" s="28">
        <v>73</v>
      </c>
      <c r="AD4" s="28">
        <v>73</v>
      </c>
      <c r="AE4" s="28">
        <v>48</v>
      </c>
      <c r="AF4" s="28">
        <v>78.5</v>
      </c>
      <c r="AG4" s="28">
        <v>21.035683967962601</v>
      </c>
    </row>
    <row r="5" spans="1:33" x14ac:dyDescent="0.25">
      <c r="B5" s="28" t="s">
        <v>565</v>
      </c>
      <c r="C5" s="28">
        <v>47</v>
      </c>
      <c r="D5" s="28">
        <v>20</v>
      </c>
      <c r="E5" s="28">
        <v>29</v>
      </c>
      <c r="F5" s="28">
        <v>52</v>
      </c>
      <c r="G5" s="28">
        <v>41</v>
      </c>
      <c r="H5" s="28">
        <v>39</v>
      </c>
      <c r="I5" s="28">
        <v>47</v>
      </c>
      <c r="J5" s="28">
        <v>43</v>
      </c>
      <c r="K5" s="28">
        <v>60</v>
      </c>
      <c r="L5" s="28">
        <v>57</v>
      </c>
      <c r="M5" s="28">
        <v>43.5</v>
      </c>
      <c r="N5" s="28">
        <v>12.2042797593485</v>
      </c>
      <c r="P5" s="28">
        <f t="shared" si="0"/>
        <v>5.0908307418452562E-4</v>
      </c>
      <c r="Q5" s="28">
        <f t="shared" si="1"/>
        <v>0.98702840927145963</v>
      </c>
      <c r="R5" s="28">
        <f t="shared" si="2"/>
        <v>5.2167404635856035E-5</v>
      </c>
      <c r="U5" s="28" t="s">
        <v>565</v>
      </c>
      <c r="V5" s="28">
        <v>41</v>
      </c>
      <c r="W5" s="28">
        <v>27</v>
      </c>
      <c r="X5" s="28">
        <v>38</v>
      </c>
      <c r="Y5" s="28">
        <v>43</v>
      </c>
      <c r="Z5" s="28">
        <v>47</v>
      </c>
      <c r="AA5" s="28">
        <v>38</v>
      </c>
      <c r="AB5" s="28">
        <v>43</v>
      </c>
      <c r="AC5" s="28">
        <v>35</v>
      </c>
      <c r="AD5" s="28">
        <v>23</v>
      </c>
      <c r="AE5" s="28">
        <v>24</v>
      </c>
      <c r="AF5" s="28">
        <v>35.9</v>
      </c>
      <c r="AG5" s="28">
        <v>8.4780763017195007</v>
      </c>
    </row>
    <row r="6" spans="1:33" x14ac:dyDescent="0.25">
      <c r="B6" s="28" t="s">
        <v>566</v>
      </c>
      <c r="C6" s="28">
        <v>5.4203474762683301</v>
      </c>
      <c r="D6" s="28">
        <v>3.3888997842714201</v>
      </c>
      <c r="E6" s="28">
        <v>4.0195571435287398</v>
      </c>
      <c r="F6" s="28">
        <v>6.1344756585331197</v>
      </c>
      <c r="G6" s="28">
        <v>5.11540711906098</v>
      </c>
      <c r="H6" s="28">
        <v>4.03270014538694</v>
      </c>
      <c r="I6" s="28">
        <v>4.7358582012047297</v>
      </c>
      <c r="J6" s="28">
        <v>5.5620260987378396</v>
      </c>
      <c r="K6" s="28">
        <v>5.7799237371173504</v>
      </c>
      <c r="L6" s="28">
        <v>5.4977569915051996</v>
      </c>
      <c r="M6" s="28">
        <v>4.9686952355614702</v>
      </c>
      <c r="N6" s="28">
        <v>0.89452124584911397</v>
      </c>
      <c r="P6" s="28">
        <f t="shared" si="0"/>
        <v>1.759910943956699E-4</v>
      </c>
      <c r="Q6" s="28">
        <f t="shared" si="1"/>
        <v>0.58702076148368443</v>
      </c>
      <c r="R6" s="28">
        <f t="shared" si="2"/>
        <v>1.9077218451727542E-4</v>
      </c>
      <c r="U6" s="28" t="s">
        <v>566</v>
      </c>
      <c r="V6" s="28">
        <v>4.9963444404515496</v>
      </c>
      <c r="W6" s="28">
        <v>7.0844614673446404</v>
      </c>
      <c r="X6" s="28">
        <v>4.91945663628678</v>
      </c>
      <c r="Y6" s="28">
        <v>6.0714072124872898</v>
      </c>
      <c r="Z6" s="28">
        <v>4.6385828873901502</v>
      </c>
      <c r="AA6" s="28">
        <v>4.25200198426759</v>
      </c>
      <c r="AB6" s="28">
        <v>5.6966001908174899</v>
      </c>
      <c r="AC6" s="28">
        <v>4.6086008249964401</v>
      </c>
      <c r="AD6" s="28">
        <v>4.41227163047225</v>
      </c>
      <c r="AE6" s="28">
        <v>3.0810560224422598</v>
      </c>
      <c r="AF6" s="28">
        <v>4.9760783296956399</v>
      </c>
      <c r="AG6" s="28">
        <v>1.09797845979108</v>
      </c>
    </row>
    <row r="7" spans="1:33" x14ac:dyDescent="0.25">
      <c r="B7" s="28" t="s">
        <v>567</v>
      </c>
      <c r="C7" s="28">
        <v>7.0006962283628997</v>
      </c>
      <c r="D7" s="28">
        <v>4.3049570181178201</v>
      </c>
      <c r="E7" s="28">
        <v>5.1801949113741896</v>
      </c>
      <c r="F7" s="28">
        <v>7.9022714258446198</v>
      </c>
      <c r="G7" s="28">
        <v>6.5688820268088897</v>
      </c>
      <c r="H7" s="28">
        <v>4.8851496385482696</v>
      </c>
      <c r="I7" s="28">
        <v>5.7098217456146498</v>
      </c>
      <c r="J7" s="28">
        <v>7.2600834492350401</v>
      </c>
      <c r="K7" s="28">
        <v>6.35554832864874</v>
      </c>
      <c r="L7" s="28">
        <v>6.2438929059995996</v>
      </c>
      <c r="M7" s="28">
        <v>6.1411497678554703</v>
      </c>
      <c r="N7" s="28">
        <v>1.1249927512835201</v>
      </c>
      <c r="P7" s="28">
        <f t="shared" si="0"/>
        <v>1.7933792727688025E-2</v>
      </c>
      <c r="Q7" s="28">
        <f t="shared" si="1"/>
        <v>0.16931613643801552</v>
      </c>
      <c r="R7" s="28">
        <f t="shared" si="2"/>
        <v>5.4130362700387374E-3</v>
      </c>
      <c r="U7" s="28" t="s">
        <v>567</v>
      </c>
      <c r="V7" s="28">
        <v>5.9990142464853102</v>
      </c>
      <c r="W7" s="28">
        <v>10.672628304821099</v>
      </c>
      <c r="X7" s="28">
        <v>6.4415119660031301</v>
      </c>
      <c r="Y7" s="28">
        <v>7.9238163687000203</v>
      </c>
      <c r="Z7" s="28">
        <v>5.2805280528052796</v>
      </c>
      <c r="AA7" s="28">
        <v>5.5456390444286798</v>
      </c>
      <c r="AB7" s="28">
        <v>7.5060532687651298</v>
      </c>
      <c r="AC7" s="28">
        <v>6.0566950910347996</v>
      </c>
      <c r="AD7" s="28">
        <v>6.4307737483482601</v>
      </c>
      <c r="AE7" s="28">
        <v>3.42748333862265</v>
      </c>
      <c r="AF7" s="28">
        <v>6.5284143430014403</v>
      </c>
      <c r="AG7" s="28">
        <v>1.9071836083087601</v>
      </c>
    </row>
    <row r="8" spans="1:33" x14ac:dyDescent="0.25">
      <c r="B8" s="28" t="s">
        <v>568</v>
      </c>
      <c r="C8" s="28">
        <v>3.9022140221402202</v>
      </c>
      <c r="D8" s="28">
        <v>2.2385275463250802</v>
      </c>
      <c r="E8" s="28">
        <v>2.66211081928755</v>
      </c>
      <c r="F8" s="28">
        <v>4.39498520918439</v>
      </c>
      <c r="G8" s="28">
        <v>3.6</v>
      </c>
      <c r="H8" s="28">
        <v>3.2362907129520702</v>
      </c>
      <c r="I8" s="28">
        <v>3.8095238095238</v>
      </c>
      <c r="J8" s="28">
        <v>3.7754255889956498</v>
      </c>
      <c r="K8" s="28">
        <v>5.1850784963272298</v>
      </c>
      <c r="L8" s="28">
        <v>4.78544776119403</v>
      </c>
      <c r="M8" s="28">
        <v>3.7589603965929999</v>
      </c>
      <c r="N8" s="28">
        <v>0.902380378167705</v>
      </c>
      <c r="P8" s="28">
        <f t="shared" si="0"/>
        <v>8.1729747694366417E-2</v>
      </c>
      <c r="Q8" s="28">
        <f t="shared" si="1"/>
        <v>0.54465179304923783</v>
      </c>
      <c r="R8" s="28">
        <f t="shared" si="2"/>
        <v>1.3312713911008378E-2</v>
      </c>
      <c r="U8" s="28" t="s">
        <v>568</v>
      </c>
      <c r="V8" s="28">
        <v>3.8748293604956401</v>
      </c>
      <c r="W8" s="28">
        <v>2.8122558805659201</v>
      </c>
      <c r="X8" s="28">
        <v>3.2852236977978402</v>
      </c>
      <c r="Y8" s="28">
        <v>3.9610040684731702</v>
      </c>
      <c r="Z8" s="28">
        <v>3.97977184523109</v>
      </c>
      <c r="AA8" s="28">
        <v>3.1254997829514002</v>
      </c>
      <c r="AB8" s="28">
        <v>3.74437617918823</v>
      </c>
      <c r="AC8" s="28">
        <v>3.0751208083174602</v>
      </c>
      <c r="AD8" s="28">
        <v>2.2102987106590799</v>
      </c>
      <c r="AE8" s="28">
        <v>2.56296164456705</v>
      </c>
      <c r="AF8" s="28">
        <v>3.2631341978246899</v>
      </c>
      <c r="AG8" s="28">
        <v>0.62031643608064002</v>
      </c>
    </row>
    <row r="9" spans="1:33" x14ac:dyDescent="0.25">
      <c r="B9" s="28" t="s">
        <v>569</v>
      </c>
      <c r="C9" s="28">
        <v>69</v>
      </c>
      <c r="D9" s="28">
        <v>44</v>
      </c>
      <c r="E9" s="28">
        <v>41</v>
      </c>
      <c r="F9" s="28">
        <v>73</v>
      </c>
      <c r="G9" s="28">
        <v>76</v>
      </c>
      <c r="H9" s="28">
        <v>64</v>
      </c>
      <c r="I9" s="28">
        <v>75</v>
      </c>
      <c r="J9" s="28">
        <v>69</v>
      </c>
      <c r="K9" s="28">
        <v>96</v>
      </c>
      <c r="L9" s="28">
        <v>74</v>
      </c>
      <c r="M9" s="28">
        <v>68.099999999999994</v>
      </c>
      <c r="N9" s="28">
        <v>15.9195896094507</v>
      </c>
      <c r="P9" s="28">
        <f t="shared" si="0"/>
        <v>5.6729739548622475E-2</v>
      </c>
      <c r="Q9" s="28">
        <f t="shared" si="1"/>
        <v>0.94227119576590013</v>
      </c>
      <c r="R9" s="28">
        <f t="shared" si="2"/>
        <v>1.4983169664055369E-2</v>
      </c>
      <c r="U9" s="28" t="s">
        <v>569</v>
      </c>
      <c r="V9" s="28">
        <v>69</v>
      </c>
      <c r="W9" s="28">
        <v>64</v>
      </c>
      <c r="X9" s="28">
        <v>69</v>
      </c>
      <c r="Y9" s="28">
        <v>91</v>
      </c>
      <c r="Z9" s="28">
        <v>73</v>
      </c>
      <c r="AA9" s="28">
        <v>55</v>
      </c>
      <c r="AB9" s="28">
        <v>59</v>
      </c>
      <c r="AC9" s="28">
        <v>74</v>
      </c>
      <c r="AD9" s="28">
        <v>47</v>
      </c>
      <c r="AE9" s="28">
        <v>37</v>
      </c>
      <c r="AF9" s="28">
        <v>63.8</v>
      </c>
      <c r="AG9" s="28">
        <v>15.215489184088399</v>
      </c>
    </row>
    <row r="10" spans="1:33" x14ac:dyDescent="0.25">
      <c r="B10" s="28" t="s">
        <v>570</v>
      </c>
      <c r="C10" s="28">
        <v>39</v>
      </c>
      <c r="D10" s="28">
        <v>28</v>
      </c>
      <c r="E10" s="28">
        <v>29</v>
      </c>
      <c r="F10" s="28">
        <v>42</v>
      </c>
      <c r="G10" s="28">
        <v>51</v>
      </c>
      <c r="H10" s="28">
        <v>37</v>
      </c>
      <c r="I10" s="28">
        <v>43</v>
      </c>
      <c r="J10" s="28">
        <v>38</v>
      </c>
      <c r="K10" s="28">
        <v>51</v>
      </c>
      <c r="L10" s="28">
        <v>42</v>
      </c>
      <c r="M10" s="28">
        <v>40</v>
      </c>
      <c r="N10" s="28">
        <v>7.7316090031621298</v>
      </c>
      <c r="P10" s="28">
        <f t="shared" si="0"/>
        <v>0.17274443073061618</v>
      </c>
      <c r="Q10" s="28">
        <f t="shared" si="1"/>
        <v>0.25503101436819126</v>
      </c>
      <c r="R10" s="28">
        <f t="shared" si="2"/>
        <v>7.2796737076569071E-2</v>
      </c>
      <c r="U10" s="28" t="s">
        <v>570</v>
      </c>
      <c r="V10" s="28">
        <v>40</v>
      </c>
      <c r="W10" s="28">
        <v>45</v>
      </c>
      <c r="X10" s="28">
        <v>45</v>
      </c>
      <c r="Y10" s="28">
        <v>60</v>
      </c>
      <c r="Z10" s="28">
        <v>40</v>
      </c>
      <c r="AA10" s="28">
        <v>32</v>
      </c>
      <c r="AB10" s="28">
        <v>33</v>
      </c>
      <c r="AC10" s="28">
        <v>47</v>
      </c>
      <c r="AD10" s="28">
        <v>32</v>
      </c>
      <c r="AE10" s="28">
        <v>23</v>
      </c>
      <c r="AF10" s="28">
        <v>39.700000000000003</v>
      </c>
      <c r="AG10" s="28">
        <v>10.3499865807749</v>
      </c>
    </row>
    <row r="11" spans="1:33" x14ac:dyDescent="0.25">
      <c r="B11" s="28" t="s">
        <v>571</v>
      </c>
      <c r="C11" s="28">
        <v>30</v>
      </c>
      <c r="D11" s="28">
        <v>17</v>
      </c>
      <c r="E11" s="28">
        <v>13</v>
      </c>
      <c r="F11" s="28">
        <v>31</v>
      </c>
      <c r="G11" s="28">
        <v>25</v>
      </c>
      <c r="H11" s="28">
        <v>27</v>
      </c>
      <c r="I11" s="28">
        <v>32</v>
      </c>
      <c r="J11" s="28">
        <v>31</v>
      </c>
      <c r="K11" s="28">
        <v>45</v>
      </c>
      <c r="L11" s="28">
        <v>33</v>
      </c>
      <c r="M11" s="28">
        <v>28.4</v>
      </c>
      <c r="N11" s="28">
        <v>8.8593955148694405</v>
      </c>
      <c r="P11" s="28">
        <f t="shared" si="0"/>
        <v>1.320416676760661E-3</v>
      </c>
      <c r="Q11" s="28">
        <f t="shared" si="1"/>
        <v>0.47967884869909361</v>
      </c>
      <c r="R11" s="28">
        <f t="shared" si="2"/>
        <v>1.7423896522508276E-3</v>
      </c>
      <c r="U11" s="28" t="s">
        <v>571</v>
      </c>
      <c r="V11" s="28">
        <v>29</v>
      </c>
      <c r="W11" s="28">
        <v>19</v>
      </c>
      <c r="X11" s="28">
        <v>24</v>
      </c>
      <c r="Y11" s="28">
        <v>32</v>
      </c>
      <c r="Z11" s="28">
        <v>33</v>
      </c>
      <c r="AA11" s="28">
        <v>24</v>
      </c>
      <c r="AB11" s="28">
        <v>26</v>
      </c>
      <c r="AC11" s="28">
        <v>27</v>
      </c>
      <c r="AD11" s="28">
        <v>15</v>
      </c>
      <c r="AE11" s="28">
        <v>14</v>
      </c>
      <c r="AF11" s="28">
        <v>24.3</v>
      </c>
      <c r="AG11" s="28">
        <v>6.56675126849054</v>
      </c>
    </row>
    <row r="12" spans="1:33" x14ac:dyDescent="0.25">
      <c r="B12" s="28" t="s">
        <v>572</v>
      </c>
      <c r="C12" s="28">
        <v>1.8405797101449199</v>
      </c>
      <c r="D12" s="28">
        <v>1.61363636363636</v>
      </c>
      <c r="E12" s="28">
        <v>2.2926829268292601</v>
      </c>
      <c r="F12" s="28">
        <v>1.95890410958904</v>
      </c>
      <c r="G12" s="28">
        <v>1.5526315789473599</v>
      </c>
      <c r="H12" s="28">
        <v>1.421875</v>
      </c>
      <c r="I12" s="28">
        <v>1.5066666666666599</v>
      </c>
      <c r="J12" s="28">
        <v>1.8695652173913</v>
      </c>
      <c r="K12" s="28">
        <v>1.40625</v>
      </c>
      <c r="L12" s="28">
        <v>1.71621621621621</v>
      </c>
      <c r="M12" s="28">
        <v>1.7179007789421099</v>
      </c>
      <c r="N12" s="28">
        <v>0.27770377492806803</v>
      </c>
      <c r="P12" s="28">
        <f t="shared" si="0"/>
        <v>8.1522174341417167E-4</v>
      </c>
      <c r="Q12" s="28">
        <f t="shared" si="1"/>
        <v>0.35285279001588665</v>
      </c>
      <c r="R12" s="28">
        <f t="shared" si="2"/>
        <v>9.805194641550467E-3</v>
      </c>
      <c r="U12" s="28" t="s">
        <v>572</v>
      </c>
      <c r="V12" s="28">
        <v>1.60869565217391</v>
      </c>
      <c r="W12" s="28">
        <v>2.3125</v>
      </c>
      <c r="X12" s="28">
        <v>1.6956521739130399</v>
      </c>
      <c r="Y12" s="28">
        <v>1.5384615384615301</v>
      </c>
      <c r="Z12" s="28">
        <v>1.5068493150684901</v>
      </c>
      <c r="AA12" s="28">
        <v>1.8</v>
      </c>
      <c r="AB12" s="28">
        <v>2.2881355932203302</v>
      </c>
      <c r="AC12" s="28">
        <v>1.4459459459459401</v>
      </c>
      <c r="AD12" s="28">
        <v>2.0212765957446801</v>
      </c>
      <c r="AE12" s="28">
        <v>1.91891891891891</v>
      </c>
      <c r="AF12" s="28">
        <v>1.8136435733446801</v>
      </c>
      <c r="AG12" s="28">
        <v>0.31435223767326798</v>
      </c>
    </row>
    <row r="13" spans="1:33" x14ac:dyDescent="0.25">
      <c r="B13" s="28" t="s">
        <v>573</v>
      </c>
      <c r="C13" s="28">
        <v>2.07692307692307</v>
      </c>
      <c r="D13" s="28">
        <v>1.8928571428571399</v>
      </c>
      <c r="E13" s="28">
        <v>2.2758620689655098</v>
      </c>
      <c r="F13" s="28">
        <v>2.1904761904761898</v>
      </c>
      <c r="G13" s="28">
        <v>1.52941176470588</v>
      </c>
      <c r="H13" s="28">
        <v>1.48648648648648</v>
      </c>
      <c r="I13" s="28">
        <v>1.5581395348837199</v>
      </c>
      <c r="J13" s="28">
        <v>2.2894736842105199</v>
      </c>
      <c r="K13" s="28">
        <v>1.4901960784313699</v>
      </c>
      <c r="L13" s="28">
        <v>1.71428571428571</v>
      </c>
      <c r="M13" s="28">
        <v>1.85041117422256</v>
      </c>
      <c r="N13" s="28">
        <v>0.33528220876134401</v>
      </c>
      <c r="P13" s="28">
        <f t="shared" si="0"/>
        <v>3.348452884398586E-2</v>
      </c>
      <c r="Q13" s="28">
        <f t="shared" si="1"/>
        <v>0.530049060430692</v>
      </c>
      <c r="R13" s="28">
        <f t="shared" si="2"/>
        <v>2.8814492455116808E-3</v>
      </c>
      <c r="U13" s="28" t="s">
        <v>573</v>
      </c>
      <c r="V13" s="28">
        <v>1.7749999999999999</v>
      </c>
      <c r="W13" s="28">
        <v>2.7111111111111099</v>
      </c>
      <c r="X13" s="28">
        <v>1.7777777777777699</v>
      </c>
      <c r="Y13" s="28">
        <v>1.63333333333333</v>
      </c>
      <c r="Z13" s="28">
        <v>1.6</v>
      </c>
      <c r="AA13" s="28">
        <v>1.96875</v>
      </c>
      <c r="AB13" s="28">
        <v>2.8181818181818099</v>
      </c>
      <c r="AC13" s="28">
        <v>1.5531914893617</v>
      </c>
      <c r="AD13" s="28">
        <v>2.28125</v>
      </c>
      <c r="AE13" s="28">
        <v>2.0869565217391299</v>
      </c>
      <c r="AF13" s="28">
        <v>2.02055520515048</v>
      </c>
      <c r="AG13" s="28">
        <v>0.453701431769446</v>
      </c>
    </row>
    <row r="14" spans="1:33" x14ac:dyDescent="0.25">
      <c r="B14" s="28" t="s">
        <v>574</v>
      </c>
      <c r="C14" s="28">
        <v>1.5333333333333301</v>
      </c>
      <c r="D14" s="28">
        <v>1.1176470588235199</v>
      </c>
      <c r="E14" s="28">
        <v>2.1538461538461502</v>
      </c>
      <c r="F14" s="28">
        <v>1.6451612903225801</v>
      </c>
      <c r="G14" s="28">
        <v>1.6</v>
      </c>
      <c r="H14" s="28">
        <v>1.3333333333333299</v>
      </c>
      <c r="I14" s="28">
        <v>1.4375</v>
      </c>
      <c r="J14" s="28">
        <v>1.3548387096774099</v>
      </c>
      <c r="K14" s="28">
        <v>1.31111111111111</v>
      </c>
      <c r="L14" s="28">
        <v>1.6969696969696899</v>
      </c>
      <c r="M14" s="28">
        <v>1.51837406874171</v>
      </c>
      <c r="N14" s="28">
        <v>0.28475082941632901</v>
      </c>
      <c r="P14" s="28" t="e">
        <f t="shared" si="0"/>
        <v>#DIV/0!</v>
      </c>
      <c r="Q14" s="28" t="e">
        <f t="shared" si="1"/>
        <v>#DIV/0!</v>
      </c>
      <c r="R14" s="28" t="e">
        <f t="shared" si="2"/>
        <v>#DIV/0!</v>
      </c>
      <c r="U14" s="28" t="s">
        <v>574</v>
      </c>
      <c r="V14" s="28">
        <v>1.3793103448275801</v>
      </c>
      <c r="W14" s="28">
        <v>1.3684210526315701</v>
      </c>
      <c r="X14" s="28">
        <v>1.5416666666666601</v>
      </c>
      <c r="Y14" s="28">
        <v>1.34375</v>
      </c>
      <c r="Z14" s="28">
        <v>1.39393939393939</v>
      </c>
      <c r="AA14" s="28">
        <v>1.5416666666666601</v>
      </c>
      <c r="AB14" s="28">
        <v>1.6153846153846101</v>
      </c>
      <c r="AC14" s="28">
        <v>1.25925925925925</v>
      </c>
      <c r="AD14" s="28">
        <v>1.4666666666666599</v>
      </c>
      <c r="AE14" s="28">
        <v>1.6428571428571399</v>
      </c>
      <c r="AF14" s="28">
        <v>1.4552921808899499</v>
      </c>
      <c r="AG14" s="28">
        <v>0.12640993558739899</v>
      </c>
    </row>
    <row r="15" spans="1:33" x14ac:dyDescent="0.25"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P15" s="28" t="e">
        <f t="shared" si="0"/>
        <v>#DIV/0!</v>
      </c>
      <c r="Q15" s="28" t="e">
        <f t="shared" si="1"/>
        <v>#DIV/0!</v>
      </c>
      <c r="R15" s="28" t="e">
        <f t="shared" si="2"/>
        <v>#DIV/0!</v>
      </c>
      <c r="U15" s="28" t="s">
        <v>575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100</v>
      </c>
      <c r="AE15" s="28">
        <v>100</v>
      </c>
      <c r="AF15" s="28">
        <v>100</v>
      </c>
      <c r="AG15" s="28">
        <v>0</v>
      </c>
    </row>
    <row r="16" spans="1:33" x14ac:dyDescent="0.25"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P16" s="28" t="e">
        <f t="shared" si="0"/>
        <v>#DIV/0!</v>
      </c>
      <c r="Q16" s="28" t="e">
        <f t="shared" si="1"/>
        <v>#DIV/0!</v>
      </c>
      <c r="R16" s="28" t="e">
        <f t="shared" si="2"/>
        <v>#DIV/0!</v>
      </c>
      <c r="U16" s="28" t="s">
        <v>576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100</v>
      </c>
      <c r="AE16" s="28">
        <v>100</v>
      </c>
      <c r="AF16" s="28">
        <v>100</v>
      </c>
      <c r="AG16" s="28">
        <v>0</v>
      </c>
    </row>
    <row r="17" spans="1:33" x14ac:dyDescent="0.25"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P17" s="28">
        <f t="shared" si="0"/>
        <v>0.10492245364131669</v>
      </c>
      <c r="Q17" s="28">
        <f t="shared" si="1"/>
        <v>0.6407130380745768</v>
      </c>
      <c r="R17" s="28">
        <f t="shared" si="2"/>
        <v>5.8872685435249747E-2</v>
      </c>
      <c r="U17" s="28" t="s">
        <v>577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100</v>
      </c>
      <c r="AE17" s="28">
        <v>100</v>
      </c>
      <c r="AF17" s="28">
        <v>100</v>
      </c>
      <c r="AG17" s="28">
        <v>0</v>
      </c>
    </row>
    <row r="18" spans="1:33" x14ac:dyDescent="0.25">
      <c r="B18" s="28" t="s">
        <v>578</v>
      </c>
      <c r="C18" s="28">
        <v>238</v>
      </c>
      <c r="D18" s="28">
        <v>100</v>
      </c>
      <c r="E18" s="28">
        <v>153</v>
      </c>
      <c r="F18" s="28">
        <v>209</v>
      </c>
      <c r="G18" s="28">
        <v>211</v>
      </c>
      <c r="H18" s="28">
        <v>146</v>
      </c>
      <c r="I18" s="28">
        <v>189</v>
      </c>
      <c r="J18" s="28">
        <v>190</v>
      </c>
      <c r="K18" s="28">
        <v>301</v>
      </c>
      <c r="L18" s="28">
        <v>285</v>
      </c>
      <c r="M18" s="28">
        <v>202.2</v>
      </c>
      <c r="N18" s="28">
        <v>61.796799629466598</v>
      </c>
      <c r="P18" s="28">
        <f t="shared" si="0"/>
        <v>5.0958821140853913E-2</v>
      </c>
      <c r="Q18" s="28">
        <f t="shared" si="1"/>
        <v>0.70351066959446606</v>
      </c>
      <c r="R18" s="28">
        <f t="shared" si="2"/>
        <v>2.7998628498032627E-3</v>
      </c>
      <c r="U18" s="28" t="s">
        <v>578</v>
      </c>
      <c r="V18" s="28">
        <v>189</v>
      </c>
      <c r="W18" s="28">
        <v>212</v>
      </c>
      <c r="X18" s="28">
        <v>192</v>
      </c>
      <c r="Y18" s="28">
        <v>273</v>
      </c>
      <c r="Z18" s="28">
        <v>215</v>
      </c>
      <c r="AA18" s="28">
        <v>149</v>
      </c>
      <c r="AB18" s="28">
        <v>231</v>
      </c>
      <c r="AC18" s="28">
        <v>180</v>
      </c>
      <c r="AD18" s="28">
        <v>158</v>
      </c>
      <c r="AE18" s="28">
        <v>107</v>
      </c>
      <c r="AF18" s="28">
        <v>190.6</v>
      </c>
      <c r="AG18" s="28">
        <v>46.397317930146599</v>
      </c>
    </row>
    <row r="19" spans="1:33" x14ac:dyDescent="0.25">
      <c r="B19" s="28" t="s">
        <v>579</v>
      </c>
      <c r="C19" s="28">
        <v>105</v>
      </c>
      <c r="D19" s="28">
        <v>63</v>
      </c>
      <c r="E19" s="28">
        <v>82</v>
      </c>
      <c r="F19" s="28">
        <v>106</v>
      </c>
      <c r="G19" s="28">
        <v>141</v>
      </c>
      <c r="H19" s="28">
        <v>77</v>
      </c>
      <c r="I19" s="28">
        <v>93</v>
      </c>
      <c r="J19" s="28">
        <v>120</v>
      </c>
      <c r="K19" s="28">
        <v>148</v>
      </c>
      <c r="L19" s="28">
        <v>122</v>
      </c>
      <c r="M19" s="28">
        <v>105.7</v>
      </c>
      <c r="N19" s="28">
        <v>27.640750914385599</v>
      </c>
      <c r="P19" s="28">
        <f t="shared" si="0"/>
        <v>0.33617589090942479</v>
      </c>
      <c r="Q19" s="28">
        <f t="shared" si="1"/>
        <v>0.27642614824950529</v>
      </c>
      <c r="R19" s="28">
        <f t="shared" si="2"/>
        <v>0.77810209032791611</v>
      </c>
      <c r="U19" s="28" t="s">
        <v>579</v>
      </c>
      <c r="V19" s="28">
        <v>99</v>
      </c>
      <c r="W19" s="28">
        <v>143</v>
      </c>
      <c r="X19" s="28">
        <v>108</v>
      </c>
      <c r="Y19" s="28">
        <v>164</v>
      </c>
      <c r="Z19" s="28">
        <v>117</v>
      </c>
      <c r="AA19" s="28">
        <v>78</v>
      </c>
      <c r="AB19" s="28">
        <v>125</v>
      </c>
      <c r="AC19" s="28">
        <v>108</v>
      </c>
      <c r="AD19" s="28">
        <v>99</v>
      </c>
      <c r="AE19" s="28">
        <v>65</v>
      </c>
      <c r="AF19" s="28">
        <v>110.6</v>
      </c>
      <c r="AG19" s="28">
        <v>29.010342983149901</v>
      </c>
    </row>
    <row r="20" spans="1:33" x14ac:dyDescent="0.25">
      <c r="B20" s="28" t="s">
        <v>580</v>
      </c>
      <c r="C20" s="28">
        <v>132</v>
      </c>
      <c r="D20" s="28">
        <v>36</v>
      </c>
      <c r="E20" s="28">
        <v>70</v>
      </c>
      <c r="F20" s="28">
        <v>102</v>
      </c>
      <c r="G20" s="28">
        <v>69</v>
      </c>
      <c r="H20" s="28">
        <v>68</v>
      </c>
      <c r="I20" s="28">
        <v>95</v>
      </c>
      <c r="J20" s="28">
        <v>69</v>
      </c>
      <c r="K20" s="28">
        <v>152</v>
      </c>
      <c r="L20" s="28">
        <v>162</v>
      </c>
      <c r="M20" s="28">
        <v>95.5</v>
      </c>
      <c r="N20" s="28">
        <v>41.285590706686001</v>
      </c>
      <c r="P20" s="28">
        <f t="shared" si="0"/>
        <v>1.1381818999782244E-3</v>
      </c>
      <c r="Q20" s="28">
        <f t="shared" si="1"/>
        <v>9.6177786358612238E-2</v>
      </c>
      <c r="R20" s="28">
        <f t="shared" si="2"/>
        <v>3.7670376089038096E-5</v>
      </c>
      <c r="U20" s="28" t="s">
        <v>580</v>
      </c>
      <c r="V20" s="28">
        <v>89</v>
      </c>
      <c r="W20" s="28">
        <v>68</v>
      </c>
      <c r="X20" s="28">
        <v>83</v>
      </c>
      <c r="Y20" s="28">
        <v>108</v>
      </c>
      <c r="Z20" s="28">
        <v>97</v>
      </c>
      <c r="AA20" s="28">
        <v>70</v>
      </c>
      <c r="AB20" s="28">
        <v>105</v>
      </c>
      <c r="AC20" s="28">
        <v>71</v>
      </c>
      <c r="AD20" s="28">
        <v>58</v>
      </c>
      <c r="AE20" s="28">
        <v>41</v>
      </c>
      <c r="AF20" s="28">
        <v>79</v>
      </c>
      <c r="AG20" s="28">
        <v>21.364560478615999</v>
      </c>
    </row>
    <row r="21" spans="1:33" x14ac:dyDescent="0.25">
      <c r="B21" s="28" t="s">
        <v>581</v>
      </c>
      <c r="C21" s="28">
        <v>7.89915966386554E-3</v>
      </c>
      <c r="D21" s="28">
        <v>8.0000000000000002E-3</v>
      </c>
      <c r="E21" s="28">
        <v>8.1045751633986897E-3</v>
      </c>
      <c r="F21" s="28">
        <v>8.0861244019138703E-3</v>
      </c>
      <c r="G21" s="28">
        <v>7.10900473933649E-3</v>
      </c>
      <c r="H21" s="28">
        <v>6.9178082191780803E-3</v>
      </c>
      <c r="I21" s="28">
        <v>6.9312169312169304E-3</v>
      </c>
      <c r="J21" s="28">
        <v>8.1578947368421001E-3</v>
      </c>
      <c r="K21" s="28">
        <v>7.6744186046511604E-3</v>
      </c>
      <c r="L21" s="28">
        <v>7.0877192982456098E-3</v>
      </c>
      <c r="M21" s="28">
        <v>7.5967921758648502E-3</v>
      </c>
      <c r="N21" s="28">
        <v>5.24219587280038E-4</v>
      </c>
      <c r="P21" s="28">
        <f t="shared" si="0"/>
        <v>8.5536400991092739E-4</v>
      </c>
      <c r="Q21" s="28">
        <f t="shared" si="1"/>
        <v>0.90201054944693293</v>
      </c>
      <c r="R21" s="28">
        <f t="shared" si="2"/>
        <v>8.7957213910058535E-2</v>
      </c>
      <c r="U21" s="28" t="s">
        <v>581</v>
      </c>
      <c r="V21" s="28">
        <v>8.4656084656084592E-3</v>
      </c>
      <c r="W21" s="28">
        <v>8.3018867924528304E-3</v>
      </c>
      <c r="X21" s="28">
        <v>8.5416666666666592E-3</v>
      </c>
      <c r="Y21" s="28">
        <v>7.87545787545787E-3</v>
      </c>
      <c r="Z21" s="28">
        <v>7.6279069767441797E-3</v>
      </c>
      <c r="AA21" s="28">
        <v>8.0536912751677792E-3</v>
      </c>
      <c r="AB21" s="28">
        <v>7.7056277056277E-3</v>
      </c>
      <c r="AC21" s="28">
        <v>7.8333333333333293E-3</v>
      </c>
      <c r="AD21" s="28">
        <v>7.4683544303797396E-3</v>
      </c>
      <c r="AE21" s="28">
        <v>7.6635514018691502E-3</v>
      </c>
      <c r="AF21" s="28">
        <v>7.9537084923307702E-3</v>
      </c>
      <c r="AG21" s="28">
        <v>3.722342195419E-4</v>
      </c>
    </row>
    <row r="22" spans="1:33" x14ac:dyDescent="0.25">
      <c r="B22" s="28" t="s">
        <v>582</v>
      </c>
      <c r="C22" s="28">
        <v>94.285714285714207</v>
      </c>
      <c r="D22" s="28">
        <v>95.238095238095198</v>
      </c>
      <c r="E22" s="28">
        <v>89.024390243902403</v>
      </c>
      <c r="F22" s="28">
        <v>92.452830188679201</v>
      </c>
      <c r="G22" s="28">
        <v>66.6666666666666</v>
      </c>
      <c r="H22" s="28">
        <v>75.324675324675297</v>
      </c>
      <c r="I22" s="28">
        <v>78.494623655913898</v>
      </c>
      <c r="J22" s="28">
        <v>84.1666666666666</v>
      </c>
      <c r="K22" s="28">
        <v>81.081081081080995</v>
      </c>
      <c r="L22" s="28">
        <v>81.147540983606504</v>
      </c>
      <c r="M22" s="28">
        <v>83.788228433500095</v>
      </c>
      <c r="N22" s="28">
        <v>9.1350139921786901</v>
      </c>
      <c r="P22" s="28">
        <f t="shared" si="0"/>
        <v>2.9288524066251445E-2</v>
      </c>
      <c r="Q22" s="28">
        <f t="shared" si="1"/>
        <v>0.15118751906108122</v>
      </c>
      <c r="R22" s="28">
        <f t="shared" si="2"/>
        <v>6.412410302376973E-4</v>
      </c>
      <c r="U22" s="28" t="s">
        <v>582</v>
      </c>
      <c r="V22" s="28">
        <v>86.868686868686794</v>
      </c>
      <c r="W22" s="28">
        <v>92.307692307692307</v>
      </c>
      <c r="X22" s="28">
        <v>92.592592592592595</v>
      </c>
      <c r="Y22" s="28">
        <v>85.365853658536494</v>
      </c>
      <c r="Z22" s="28">
        <v>71.794871794871796</v>
      </c>
      <c r="AA22" s="28">
        <v>87.179487179487097</v>
      </c>
      <c r="AB22" s="28">
        <v>81.599999999999994</v>
      </c>
      <c r="AC22" s="28">
        <v>79.629629629629605</v>
      </c>
      <c r="AD22" s="28">
        <v>81.818181818181799</v>
      </c>
      <c r="AE22" s="28">
        <v>83.076923076922995</v>
      </c>
      <c r="AF22" s="28">
        <v>84.223391892660104</v>
      </c>
      <c r="AG22" s="28">
        <v>6.1643519269929703</v>
      </c>
    </row>
    <row r="23" spans="1:33" x14ac:dyDescent="0.25">
      <c r="B23" s="28" t="s">
        <v>583</v>
      </c>
      <c r="C23" s="28">
        <v>68.939393939393895</v>
      </c>
      <c r="D23" s="28">
        <v>61.1111111111111</v>
      </c>
      <c r="E23" s="28">
        <v>75.714285714285694</v>
      </c>
      <c r="F23" s="28">
        <v>70.588235294117595</v>
      </c>
      <c r="G23" s="28">
        <v>82.608695652173907</v>
      </c>
      <c r="H23" s="28">
        <v>63.235294117647001</v>
      </c>
      <c r="I23" s="28">
        <v>62.105263157894697</v>
      </c>
      <c r="J23" s="28">
        <v>81.159420289855007</v>
      </c>
      <c r="K23" s="28">
        <v>74.342105263157904</v>
      </c>
      <c r="L23" s="28">
        <v>64.197530864197503</v>
      </c>
      <c r="M23" s="28">
        <v>70.400133540383393</v>
      </c>
      <c r="N23" s="28">
        <v>7.8574646271557897</v>
      </c>
      <c r="P23" s="28">
        <f t="shared" si="0"/>
        <v>0.59707032743000554</v>
      </c>
      <c r="Q23" s="28">
        <f t="shared" si="1"/>
        <v>0.57538052890443669</v>
      </c>
      <c r="R23" s="28">
        <f t="shared" si="2"/>
        <v>0.58089537675068259</v>
      </c>
      <c r="U23" s="28" t="s">
        <v>583</v>
      </c>
      <c r="V23" s="28">
        <v>85.393258426966199</v>
      </c>
      <c r="W23" s="28">
        <v>66.176470588235205</v>
      </c>
      <c r="X23" s="28">
        <v>79.518072289156606</v>
      </c>
      <c r="Y23" s="28">
        <v>70.370370370370296</v>
      </c>
      <c r="Z23" s="28">
        <v>84.536082474226802</v>
      </c>
      <c r="AA23" s="28">
        <v>77.142857142857096</v>
      </c>
      <c r="AB23" s="28">
        <v>73.3333333333333</v>
      </c>
      <c r="AC23" s="28">
        <v>78.873239436619698</v>
      </c>
      <c r="AD23" s="28">
        <v>67.241379310344797</v>
      </c>
      <c r="AE23" s="28">
        <v>70.731707317073102</v>
      </c>
      <c r="AF23" s="28">
        <v>75.331677068918296</v>
      </c>
      <c r="AG23" s="28">
        <v>6.8178183834004198</v>
      </c>
    </row>
    <row r="24" spans="1:33" x14ac:dyDescent="0.25">
      <c r="B24" s="28" t="s">
        <v>584</v>
      </c>
      <c r="C24" s="28">
        <v>23.614722222222198</v>
      </c>
      <c r="D24" s="28">
        <v>21.245833333333302</v>
      </c>
      <c r="E24" s="28">
        <v>23.634444444444402</v>
      </c>
      <c r="F24" s="28">
        <v>23.473888888888801</v>
      </c>
      <c r="G24" s="28">
        <v>23.2630555555555</v>
      </c>
      <c r="H24" s="28">
        <v>23.309444444444399</v>
      </c>
      <c r="I24" s="28">
        <v>24.071666666666601</v>
      </c>
      <c r="J24" s="28">
        <v>23.372777777777699</v>
      </c>
      <c r="K24" s="28">
        <v>23.529722222222201</v>
      </c>
      <c r="L24" s="28">
        <v>23.282222222222199</v>
      </c>
      <c r="M24" s="28">
        <v>23.279777777777699</v>
      </c>
      <c r="N24" s="28">
        <v>0.753654821419665</v>
      </c>
      <c r="P24" s="28">
        <f t="shared" si="0"/>
        <v>0.11191769370313301</v>
      </c>
      <c r="Q24" s="28">
        <f t="shared" si="1"/>
        <v>0.94678568419229392</v>
      </c>
      <c r="R24" s="28">
        <f t="shared" si="2"/>
        <v>1.135601502636017E-2</v>
      </c>
      <c r="U24" s="28" t="s">
        <v>584</v>
      </c>
      <c r="V24" s="28">
        <v>22.4163888888888</v>
      </c>
      <c r="W24" s="28">
        <v>21.031944444444399</v>
      </c>
      <c r="X24" s="28">
        <v>23.986388888888801</v>
      </c>
      <c r="Y24" s="28">
        <v>23.223611111111101</v>
      </c>
      <c r="Z24" s="28">
        <v>23.9297222222222</v>
      </c>
      <c r="AA24" s="28">
        <v>23.518333333333299</v>
      </c>
      <c r="AB24" s="28">
        <v>23.8738888888888</v>
      </c>
      <c r="AC24" s="28">
        <v>23.434444444444399</v>
      </c>
      <c r="AD24" s="28">
        <v>21.7575</v>
      </c>
      <c r="AE24" s="28">
        <v>23.3686111111111</v>
      </c>
      <c r="AF24" s="28">
        <v>23.054083333333299</v>
      </c>
      <c r="AG24" s="28">
        <v>0.99848310062267898</v>
      </c>
    </row>
    <row r="25" spans="1:33" x14ac:dyDescent="0.25">
      <c r="B25" s="28" t="s">
        <v>585</v>
      </c>
      <c r="C25" s="28">
        <v>-0.04</v>
      </c>
      <c r="D25" s="28">
        <v>-5.9999999999999602E-2</v>
      </c>
      <c r="E25" s="28">
        <v>-5.0000000000000197E-2</v>
      </c>
      <c r="F25" s="28">
        <v>0.41999999999999899</v>
      </c>
      <c r="G25" s="28">
        <v>-0.06</v>
      </c>
      <c r="H25" s="28">
        <v>0.39999999999999902</v>
      </c>
      <c r="I25" s="28">
        <v>-3.00000000000002E-2</v>
      </c>
      <c r="J25" s="28">
        <v>0.5</v>
      </c>
      <c r="K25" s="28">
        <v>-5.0000000000000197E-2</v>
      </c>
      <c r="L25" s="28">
        <v>0.38</v>
      </c>
      <c r="M25" s="28">
        <v>0.14099999999999999</v>
      </c>
      <c r="N25" s="28">
        <v>0.246461626492509</v>
      </c>
      <c r="P25" s="28">
        <f t="shared" si="0"/>
        <v>0.11285683569555256</v>
      </c>
      <c r="Q25" s="28">
        <f t="shared" si="1"/>
        <v>0.98066359666746206</v>
      </c>
      <c r="R25" s="28">
        <f t="shared" si="2"/>
        <v>1.1268801517313343E-2</v>
      </c>
      <c r="U25" s="28" t="s">
        <v>585</v>
      </c>
      <c r="V25" s="28">
        <v>-0.04</v>
      </c>
      <c r="W25" s="28">
        <v>0.38</v>
      </c>
      <c r="X25" s="28">
        <v>-5.0000000000000197E-2</v>
      </c>
      <c r="Y25" s="28">
        <v>0.38</v>
      </c>
      <c r="Z25" s="28">
        <v>-5.0000000000000197E-2</v>
      </c>
      <c r="AA25" s="28">
        <v>0.38</v>
      </c>
      <c r="AB25" s="28">
        <v>-0.08</v>
      </c>
      <c r="AC25" s="28">
        <v>9.9999999999999603E-2</v>
      </c>
      <c r="AD25" s="28">
        <v>-5.0000000000000197E-2</v>
      </c>
      <c r="AE25" s="28">
        <v>0.369999999999999</v>
      </c>
      <c r="AF25" s="28">
        <v>0.13399999999999901</v>
      </c>
      <c r="AG25" s="28">
        <v>0.21500387593405501</v>
      </c>
    </row>
    <row r="26" spans="1:33" x14ac:dyDescent="0.25">
      <c r="B26" s="28" t="s">
        <v>586</v>
      </c>
      <c r="C26" s="28">
        <v>-1.6938585863338501E-3</v>
      </c>
      <c r="D26" s="28">
        <v>-2.8240831535595E-3</v>
      </c>
      <c r="E26" s="28">
        <v>-2.1155563913309301E-3</v>
      </c>
      <c r="F26" s="28">
        <v>1.78922206707216E-2</v>
      </c>
      <c r="G26" s="28">
        <v>-2.5791968667534301E-3</v>
      </c>
      <c r="H26" s="28">
        <v>1.7160426150582699E-2</v>
      </c>
      <c r="I26" s="28">
        <v>-1.2462784740012499E-3</v>
      </c>
      <c r="J26" s="28">
        <v>2.1392408072068599E-2</v>
      </c>
      <c r="K26" s="28">
        <v>-2.1249719621755101E-3</v>
      </c>
      <c r="L26" s="28">
        <v>1.6321466068531E-2</v>
      </c>
      <c r="M26" s="28">
        <v>6.0182575527749499E-3</v>
      </c>
      <c r="N26" s="28">
        <v>1.0564532266020299E-2</v>
      </c>
      <c r="P26" s="28">
        <f t="shared" si="0"/>
        <v>0.94135007871234377</v>
      </c>
      <c r="Q26" s="28">
        <f t="shared" si="1"/>
        <v>2.8173130870151684E-2</v>
      </c>
      <c r="R26" s="28">
        <f t="shared" si="2"/>
        <v>0.77109432508418829</v>
      </c>
      <c r="U26" s="28" t="s">
        <v>586</v>
      </c>
      <c r="V26" s="28">
        <v>-1.78440872873269E-3</v>
      </c>
      <c r="W26" s="28">
        <v>1.8067754077791699E-2</v>
      </c>
      <c r="X26" s="28">
        <v>-2.0845155238503402E-3</v>
      </c>
      <c r="Y26" s="28">
        <v>1.63626577357813E-2</v>
      </c>
      <c r="Z26" s="28">
        <v>-2.0894517510766501E-3</v>
      </c>
      <c r="AA26" s="28">
        <v>1.6157607540216799E-2</v>
      </c>
      <c r="AB26" s="28">
        <v>-3.35094128871617E-3</v>
      </c>
      <c r="AC26" s="28">
        <v>4.2672229861077998E-3</v>
      </c>
      <c r="AD26" s="28">
        <v>-2.2980581408709698E-3</v>
      </c>
      <c r="AE26" s="28">
        <v>1.58332045597727E-2</v>
      </c>
      <c r="AF26" s="28">
        <v>5.9081071466423598E-3</v>
      </c>
      <c r="AG26" s="28">
        <v>9.4486674659560108E-3</v>
      </c>
    </row>
    <row r="27" spans="1:33" x14ac:dyDescent="0.25">
      <c r="B27" s="28" t="s">
        <v>587</v>
      </c>
      <c r="C27" s="28">
        <v>1.5390625</v>
      </c>
      <c r="D27" s="28">
        <v>1.6527777777777699</v>
      </c>
      <c r="E27" s="28">
        <v>1.30526315789473</v>
      </c>
      <c r="F27" s="28">
        <v>1.36805555555555</v>
      </c>
      <c r="G27" s="28">
        <v>1.3781512605041999</v>
      </c>
      <c r="H27" s="28">
        <v>1.2934782608695601</v>
      </c>
      <c r="I27" s="28">
        <v>1.5438596491228</v>
      </c>
      <c r="J27" s="28">
        <v>1.45384615384615</v>
      </c>
      <c r="K27" s="28">
        <v>1.38970588235294</v>
      </c>
      <c r="L27" s="28">
        <v>1.5078125</v>
      </c>
      <c r="M27" s="28">
        <v>1.44320126979237</v>
      </c>
      <c r="N27" s="28">
        <v>0.11629262075557401</v>
      </c>
      <c r="P27" s="28">
        <f t="shared" si="0"/>
        <v>0.55598516714343538</v>
      </c>
      <c r="Q27" s="28">
        <f t="shared" si="1"/>
        <v>5.4371016678898501E-2</v>
      </c>
      <c r="R27" s="28">
        <f t="shared" si="2"/>
        <v>1</v>
      </c>
      <c r="U27" s="28" t="s">
        <v>587</v>
      </c>
      <c r="V27" s="28">
        <v>1.33928571428571</v>
      </c>
      <c r="W27" s="28">
        <v>1.65771812080536</v>
      </c>
      <c r="X27" s="28">
        <v>2.20338983050847</v>
      </c>
      <c r="Y27" s="28">
        <v>1.83687943262411</v>
      </c>
      <c r="Z27" s="28">
        <v>1.5405405405405399</v>
      </c>
      <c r="AA27" s="28">
        <v>1.61</v>
      </c>
      <c r="AB27" s="28">
        <v>1.59558823529411</v>
      </c>
      <c r="AC27" s="28">
        <v>1.63888888888888</v>
      </c>
      <c r="AD27" s="28">
        <v>1.40625</v>
      </c>
      <c r="AE27" s="28">
        <v>1.6111111111111101</v>
      </c>
      <c r="AF27" s="28">
        <v>1.6439651874058301</v>
      </c>
      <c r="AG27" s="28">
        <v>0.239210472719004</v>
      </c>
    </row>
    <row r="28" spans="1:33" x14ac:dyDescent="0.25">
      <c r="B28" s="28" t="s">
        <v>588</v>
      </c>
      <c r="C28" s="28">
        <v>1</v>
      </c>
      <c r="D28" s="28">
        <v>2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1.1000000000000001</v>
      </c>
      <c r="N28" s="28">
        <v>0.316227766016837</v>
      </c>
      <c r="P28" s="28" t="e">
        <f t="shared" si="0"/>
        <v>#DIV/0!</v>
      </c>
      <c r="Q28" s="28" t="e">
        <f t="shared" si="1"/>
        <v>#DIV/0!</v>
      </c>
      <c r="R28" s="28" t="e">
        <f t="shared" si="2"/>
        <v>#DIV/0!</v>
      </c>
      <c r="U28" s="28" t="s">
        <v>588</v>
      </c>
      <c r="V28" s="28">
        <v>1</v>
      </c>
      <c r="W28" s="28">
        <v>2</v>
      </c>
      <c r="X28" s="28">
        <v>2</v>
      </c>
      <c r="Y28" s="28">
        <v>2</v>
      </c>
      <c r="Z28" s="28">
        <v>1</v>
      </c>
      <c r="AA28" s="28">
        <v>2</v>
      </c>
      <c r="AB28" s="28">
        <v>1</v>
      </c>
      <c r="AC28" s="28">
        <v>2</v>
      </c>
      <c r="AD28" s="28">
        <v>1</v>
      </c>
      <c r="AE28" s="28">
        <v>1</v>
      </c>
      <c r="AF28" s="28">
        <v>1.5</v>
      </c>
      <c r="AG28" s="28">
        <v>0.52704627669472903</v>
      </c>
    </row>
    <row r="29" spans="1:33" x14ac:dyDescent="0.25"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P29" s="28" t="e">
        <f t="shared" si="0"/>
        <v>#DIV/0!</v>
      </c>
      <c r="Q29" s="28" t="e">
        <f t="shared" si="1"/>
        <v>#DIV/0!</v>
      </c>
      <c r="R29" s="28" t="e">
        <f t="shared" si="2"/>
        <v>#DIV/0!</v>
      </c>
      <c r="U29" s="28" t="s">
        <v>589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</row>
    <row r="30" spans="1:33" x14ac:dyDescent="0.25">
      <c r="Q30" s="28" t="e">
        <f t="shared" si="1"/>
        <v>#DIV/0!</v>
      </c>
    </row>
    <row r="31" spans="1:33" x14ac:dyDescent="0.25">
      <c r="Q31" s="28" t="e">
        <f t="shared" si="1"/>
        <v>#DIV/0!</v>
      </c>
    </row>
    <row r="32" spans="1:33" x14ac:dyDescent="0.25">
      <c r="A32" s="49" t="s">
        <v>600</v>
      </c>
      <c r="Q32" s="28" t="e">
        <f t="shared" si="1"/>
        <v>#DIV/0!</v>
      </c>
      <c r="T32" s="56" t="s">
        <v>601</v>
      </c>
    </row>
    <row r="33" spans="2:33" x14ac:dyDescent="0.25">
      <c r="B33" s="28" t="s">
        <v>558</v>
      </c>
      <c r="C33" s="28" t="s">
        <v>132</v>
      </c>
      <c r="D33" s="28" t="s">
        <v>189</v>
      </c>
      <c r="E33" s="28" t="s">
        <v>143</v>
      </c>
      <c r="F33" s="28" t="s">
        <v>201</v>
      </c>
      <c r="G33" s="28" t="s">
        <v>154</v>
      </c>
      <c r="H33" s="28" t="s">
        <v>212</v>
      </c>
      <c r="I33" s="28" t="s">
        <v>166</v>
      </c>
      <c r="J33" s="28" t="s">
        <v>223</v>
      </c>
      <c r="K33" s="28" t="s">
        <v>178</v>
      </c>
      <c r="L33" s="28" t="s">
        <v>234</v>
      </c>
      <c r="M33" s="28" t="s">
        <v>559</v>
      </c>
      <c r="N33" s="28" t="s">
        <v>560</v>
      </c>
      <c r="Q33" s="28">
        <f t="shared" si="1"/>
        <v>0.3305093272588544</v>
      </c>
      <c r="U33" s="28" t="s">
        <v>558</v>
      </c>
      <c r="V33" s="28" t="s">
        <v>18</v>
      </c>
      <c r="W33" s="28" t="s">
        <v>76</v>
      </c>
      <c r="X33" s="28" t="s">
        <v>32</v>
      </c>
      <c r="Y33" s="28" t="s">
        <v>87</v>
      </c>
      <c r="Z33" s="28" t="s">
        <v>43</v>
      </c>
      <c r="AA33" s="28" t="s">
        <v>98</v>
      </c>
      <c r="AB33" s="28" t="s">
        <v>54</v>
      </c>
      <c r="AC33" s="28" t="s">
        <v>109</v>
      </c>
      <c r="AD33" s="28" t="s">
        <v>65</v>
      </c>
      <c r="AE33" s="28" t="s">
        <v>120</v>
      </c>
      <c r="AF33" s="28" t="s">
        <v>559</v>
      </c>
      <c r="AG33" s="28" t="s">
        <v>560</v>
      </c>
    </row>
    <row r="34" spans="2:33" x14ac:dyDescent="0.25">
      <c r="B34" s="28" t="s">
        <v>563</v>
      </c>
      <c r="C34" s="28">
        <v>73</v>
      </c>
      <c r="D34" s="28">
        <v>59</v>
      </c>
      <c r="E34" s="28">
        <v>50</v>
      </c>
      <c r="F34" s="28">
        <v>115</v>
      </c>
      <c r="G34" s="28">
        <v>40</v>
      </c>
      <c r="H34" s="28">
        <v>107</v>
      </c>
      <c r="I34" s="28">
        <v>95</v>
      </c>
      <c r="J34" s="28">
        <v>55</v>
      </c>
      <c r="K34" s="28">
        <v>70</v>
      </c>
      <c r="L34" s="28">
        <v>61</v>
      </c>
      <c r="M34" s="28">
        <v>72.5</v>
      </c>
      <c r="N34" s="28">
        <v>25.1495526799185</v>
      </c>
      <c r="Q34" s="28">
        <f t="shared" si="1"/>
        <v>0.63257736153050925</v>
      </c>
      <c r="U34" s="28" t="s">
        <v>563</v>
      </c>
      <c r="V34" s="28">
        <v>65</v>
      </c>
      <c r="W34" s="28">
        <v>45</v>
      </c>
      <c r="X34" s="28">
        <v>38</v>
      </c>
      <c r="Y34" s="28">
        <v>62</v>
      </c>
      <c r="Z34" s="28">
        <v>89</v>
      </c>
      <c r="AA34" s="28">
        <v>68</v>
      </c>
      <c r="AB34" s="28">
        <v>48</v>
      </c>
      <c r="AC34" s="28">
        <v>86</v>
      </c>
      <c r="AD34" s="28">
        <v>50</v>
      </c>
      <c r="AE34" s="28">
        <v>77</v>
      </c>
      <c r="AF34" s="28">
        <v>62.8</v>
      </c>
      <c r="AG34" s="28">
        <v>17.5549929586365</v>
      </c>
    </row>
    <row r="35" spans="2:33" x14ac:dyDescent="0.25">
      <c r="B35" s="28" t="s">
        <v>564</v>
      </c>
      <c r="C35" s="28">
        <v>36</v>
      </c>
      <c r="D35" s="28">
        <v>35</v>
      </c>
      <c r="E35" s="28">
        <v>37</v>
      </c>
      <c r="F35" s="28">
        <v>72</v>
      </c>
      <c r="G35" s="28">
        <v>25</v>
      </c>
      <c r="H35" s="28">
        <v>67</v>
      </c>
      <c r="I35" s="28">
        <v>46</v>
      </c>
      <c r="J35" s="28">
        <v>36</v>
      </c>
      <c r="K35" s="28">
        <v>35</v>
      </c>
      <c r="L35" s="28">
        <v>35</v>
      </c>
      <c r="M35" s="28">
        <v>42.4</v>
      </c>
      <c r="N35" s="28">
        <v>15.1745400808942</v>
      </c>
      <c r="Q35" s="28">
        <f t="shared" si="1"/>
        <v>0.18277820992948152</v>
      </c>
      <c r="U35" s="28" t="s">
        <v>564</v>
      </c>
      <c r="V35" s="28">
        <v>43</v>
      </c>
      <c r="W35" s="28">
        <v>22</v>
      </c>
      <c r="X35" s="28">
        <v>20</v>
      </c>
      <c r="Y35" s="28">
        <v>26</v>
      </c>
      <c r="Z35" s="28">
        <v>56</v>
      </c>
      <c r="AA35" s="28">
        <v>45</v>
      </c>
      <c r="AB35" s="28">
        <v>28</v>
      </c>
      <c r="AC35" s="28">
        <v>57</v>
      </c>
      <c r="AD35" s="28">
        <v>34</v>
      </c>
      <c r="AE35" s="28">
        <v>60</v>
      </c>
      <c r="AF35" s="28">
        <v>39.1</v>
      </c>
      <c r="AG35" s="28">
        <v>15.169047432189</v>
      </c>
    </row>
    <row r="36" spans="2:33" x14ac:dyDescent="0.25">
      <c r="B36" s="28" t="s">
        <v>565</v>
      </c>
      <c r="C36" s="28">
        <v>37</v>
      </c>
      <c r="D36" s="28">
        <v>24</v>
      </c>
      <c r="E36" s="28">
        <v>13</v>
      </c>
      <c r="F36" s="28">
        <v>43</v>
      </c>
      <c r="G36" s="28">
        <v>15</v>
      </c>
      <c r="H36" s="28">
        <v>40</v>
      </c>
      <c r="I36" s="28">
        <v>49</v>
      </c>
      <c r="J36" s="28">
        <v>19</v>
      </c>
      <c r="K36" s="28">
        <v>35</v>
      </c>
      <c r="L36" s="28">
        <v>26</v>
      </c>
      <c r="M36" s="28">
        <v>30.1</v>
      </c>
      <c r="N36" s="28">
        <v>12.431590583848999</v>
      </c>
      <c r="Q36" s="28">
        <f t="shared" si="1"/>
        <v>0.42785957472396119</v>
      </c>
      <c r="U36" s="28" t="s">
        <v>565</v>
      </c>
      <c r="V36" s="28">
        <v>23</v>
      </c>
      <c r="W36" s="28">
        <v>23</v>
      </c>
      <c r="X36" s="28">
        <v>18</v>
      </c>
      <c r="Y36" s="28">
        <v>36</v>
      </c>
      <c r="Z36" s="28">
        <v>33</v>
      </c>
      <c r="AA36" s="28">
        <v>23</v>
      </c>
      <c r="AB36" s="28">
        <v>21</v>
      </c>
      <c r="AC36" s="28">
        <v>29</v>
      </c>
      <c r="AD36" s="28">
        <v>16</v>
      </c>
      <c r="AE36" s="28">
        <v>17</v>
      </c>
      <c r="AF36" s="28">
        <v>23.9</v>
      </c>
      <c r="AG36" s="28">
        <v>6.7568894881857799</v>
      </c>
    </row>
    <row r="37" spans="2:33" x14ac:dyDescent="0.25">
      <c r="B37" s="28" t="s">
        <v>566</v>
      </c>
      <c r="C37" s="28">
        <v>3.0736842105263098</v>
      </c>
      <c r="D37" s="28">
        <v>2.5170350180719301</v>
      </c>
      <c r="E37" s="28">
        <v>2.1222911311811701</v>
      </c>
      <c r="F37" s="28">
        <v>5.01156048372453</v>
      </c>
      <c r="G37" s="28">
        <v>1.7258323545626599</v>
      </c>
      <c r="H37" s="28">
        <v>4.5637647504857499</v>
      </c>
      <c r="I37" s="28">
        <v>3.9830429516444599</v>
      </c>
      <c r="J37" s="28">
        <v>2.4196800645247998</v>
      </c>
      <c r="K37" s="28">
        <v>2.9297556211779399</v>
      </c>
      <c r="L37" s="28">
        <v>2.6023582390235198</v>
      </c>
      <c r="M37" s="28">
        <v>3.0949004824923101</v>
      </c>
      <c r="N37" s="28">
        <v>1.0801457338721401</v>
      </c>
      <c r="Q37" s="28">
        <f t="shared" si="1"/>
        <v>0.44527831091660608</v>
      </c>
      <c r="U37" s="28" t="s">
        <v>566</v>
      </c>
      <c r="V37" s="28">
        <v>2.9353839206191901</v>
      </c>
      <c r="W37" s="28">
        <v>2.1260121523904498</v>
      </c>
      <c r="X37" s="28">
        <v>1.5938854453092199</v>
      </c>
      <c r="Y37" s="28">
        <v>2.6799865520388</v>
      </c>
      <c r="Z37" s="28">
        <v>3.7065315471645701</v>
      </c>
      <c r="AA37" s="28">
        <v>2.9136266796795902</v>
      </c>
      <c r="AB37" s="28">
        <v>2.0233244344527099</v>
      </c>
      <c r="AC37" s="28">
        <v>3.6707254899635999</v>
      </c>
      <c r="AD37" s="28">
        <v>2.2710068130204299</v>
      </c>
      <c r="AE37" s="28">
        <v>3.6490969406560998</v>
      </c>
      <c r="AF37" s="28">
        <v>2.7569579975294598</v>
      </c>
      <c r="AG37" s="28">
        <v>0.75425279578031501</v>
      </c>
    </row>
    <row r="38" spans="2:33" x14ac:dyDescent="0.25">
      <c r="B38" s="28" t="s">
        <v>567</v>
      </c>
      <c r="C38" s="28">
        <v>2.8489777973180899</v>
      </c>
      <c r="D38" s="28">
        <v>3.0275361622374901</v>
      </c>
      <c r="E38" s="28">
        <v>3.1949341584514599</v>
      </c>
      <c r="F38" s="28">
        <v>5.9187541387892999</v>
      </c>
      <c r="G38" s="28">
        <v>2.1209907383404398</v>
      </c>
      <c r="H38" s="28">
        <v>5.8994741347682496</v>
      </c>
      <c r="I38" s="28">
        <v>3.8854086013936699</v>
      </c>
      <c r="J38" s="28">
        <v>3.0562433675274101</v>
      </c>
      <c r="K38" s="28">
        <v>2.9079831060029</v>
      </c>
      <c r="L38" s="28">
        <v>3.0170246390345499</v>
      </c>
      <c r="M38" s="28">
        <v>3.5877326843863599</v>
      </c>
      <c r="N38" s="28">
        <v>1.2953708223690501</v>
      </c>
      <c r="Q38" s="28">
        <f t="shared" si="1"/>
        <v>0.54342530742350204</v>
      </c>
      <c r="U38" s="28" t="s">
        <v>567</v>
      </c>
      <c r="V38" s="28">
        <v>3.6673773987206801</v>
      </c>
      <c r="W38" s="28">
        <v>1.8838304552590199</v>
      </c>
      <c r="X38" s="28">
        <v>1.45064775451816</v>
      </c>
      <c r="Y38" s="28">
        <v>1.92287938862296</v>
      </c>
      <c r="Z38" s="28">
        <v>4.4603743528474702</v>
      </c>
      <c r="AA38" s="28">
        <v>3.9267015706806201</v>
      </c>
      <c r="AB38" s="28">
        <v>2.0282506338283199</v>
      </c>
      <c r="AC38" s="28">
        <v>4.1586445899114297</v>
      </c>
      <c r="AD38" s="28">
        <v>2.8108852910781899</v>
      </c>
      <c r="AE38" s="28">
        <v>5.0775740479548599</v>
      </c>
      <c r="AF38" s="28">
        <v>3.13871654834217</v>
      </c>
      <c r="AG38" s="28">
        <v>1.2775752595762699</v>
      </c>
    </row>
    <row r="39" spans="2:33" x14ac:dyDescent="0.25">
      <c r="B39" s="28" t="s">
        <v>568</v>
      </c>
      <c r="C39" s="28">
        <v>3.3291677080729798</v>
      </c>
      <c r="D39" s="28">
        <v>2.0202492576051601</v>
      </c>
      <c r="E39" s="28">
        <v>1.0852677225610401</v>
      </c>
      <c r="F39" s="28">
        <v>3.9880461665292599</v>
      </c>
      <c r="G39" s="28">
        <v>1.3169125716376</v>
      </c>
      <c r="H39" s="28">
        <v>3.3088995611112302</v>
      </c>
      <c r="I39" s="28">
        <v>4.0792729459103203</v>
      </c>
      <c r="J39" s="28">
        <v>1.7349837662337599</v>
      </c>
      <c r="K39" s="28">
        <v>2.9518566241068198</v>
      </c>
      <c r="L39" s="28">
        <v>2.19604898878513</v>
      </c>
      <c r="M39" s="28">
        <v>2.6010705312553299</v>
      </c>
      <c r="N39" s="28">
        <v>1.0781261529616999</v>
      </c>
      <c r="Q39" s="28">
        <f t="shared" si="1"/>
        <v>0.24522446052523575</v>
      </c>
      <c r="U39" s="28" t="s">
        <v>568</v>
      </c>
      <c r="V39" s="28">
        <v>2.2075879169221699</v>
      </c>
      <c r="W39" s="28">
        <v>2.4241004772081798</v>
      </c>
      <c r="X39" s="28">
        <v>1.7903025279734699</v>
      </c>
      <c r="Y39" s="28">
        <v>3.7449070997197</v>
      </c>
      <c r="Z39" s="28">
        <v>2.8804189700320002</v>
      </c>
      <c r="AA39" s="28">
        <v>1.93625330308911</v>
      </c>
      <c r="AB39" s="28">
        <v>2.11729121156108</v>
      </c>
      <c r="AC39" s="28">
        <v>2.98285714285714</v>
      </c>
      <c r="AD39" s="28">
        <v>1.6127677446451001</v>
      </c>
      <c r="AE39" s="28">
        <v>1.8310196266156</v>
      </c>
      <c r="AF39" s="28">
        <v>2.3527506020623599</v>
      </c>
      <c r="AG39" s="28">
        <v>0.66706385533117996</v>
      </c>
    </row>
    <row r="40" spans="2:33" x14ac:dyDescent="0.25">
      <c r="B40" s="28" t="s">
        <v>569</v>
      </c>
      <c r="C40" s="28">
        <v>44</v>
      </c>
      <c r="D40" s="28">
        <v>49</v>
      </c>
      <c r="E40" s="28">
        <v>42</v>
      </c>
      <c r="F40" s="28">
        <v>72</v>
      </c>
      <c r="G40" s="28">
        <v>33</v>
      </c>
      <c r="H40" s="28">
        <v>91</v>
      </c>
      <c r="I40" s="28">
        <v>71</v>
      </c>
      <c r="J40" s="28">
        <v>38</v>
      </c>
      <c r="K40" s="28">
        <v>51</v>
      </c>
      <c r="L40" s="28">
        <v>49</v>
      </c>
      <c r="M40" s="28">
        <v>54</v>
      </c>
      <c r="N40" s="28">
        <v>18.202563921968</v>
      </c>
      <c r="Q40" s="28">
        <f t="shared" si="1"/>
        <v>0.31733826038455504</v>
      </c>
      <c r="U40" s="28" t="s">
        <v>569</v>
      </c>
      <c r="V40" s="28">
        <v>48</v>
      </c>
      <c r="W40" s="28">
        <v>29</v>
      </c>
      <c r="X40" s="28">
        <v>27</v>
      </c>
      <c r="Y40" s="28">
        <v>53</v>
      </c>
      <c r="Z40" s="28">
        <v>64</v>
      </c>
      <c r="AA40" s="28">
        <v>43</v>
      </c>
      <c r="AB40" s="28">
        <v>31</v>
      </c>
      <c r="AC40" s="28">
        <v>73</v>
      </c>
      <c r="AD40" s="28">
        <v>32</v>
      </c>
      <c r="AE40" s="28">
        <v>49</v>
      </c>
      <c r="AF40" s="28">
        <v>44.9</v>
      </c>
      <c r="AG40" s="28">
        <v>15.573838462127499</v>
      </c>
    </row>
    <row r="41" spans="2:33" x14ac:dyDescent="0.25">
      <c r="B41" s="28" t="s">
        <v>570</v>
      </c>
      <c r="C41" s="28">
        <v>21</v>
      </c>
      <c r="D41" s="28">
        <v>31</v>
      </c>
      <c r="E41" s="28">
        <v>31</v>
      </c>
      <c r="F41" s="28">
        <v>44</v>
      </c>
      <c r="G41" s="28">
        <v>20</v>
      </c>
      <c r="H41" s="28">
        <v>54</v>
      </c>
      <c r="I41" s="28">
        <v>36</v>
      </c>
      <c r="J41" s="28">
        <v>24</v>
      </c>
      <c r="K41" s="28">
        <v>25</v>
      </c>
      <c r="L41" s="28">
        <v>29</v>
      </c>
      <c r="M41" s="28">
        <v>31.5</v>
      </c>
      <c r="N41" s="28">
        <v>10.7004672795163</v>
      </c>
      <c r="Q41" s="28">
        <f t="shared" si="1"/>
        <v>0.2804889402823551</v>
      </c>
      <c r="U41" s="28" t="s">
        <v>570</v>
      </c>
      <c r="V41" s="28">
        <v>30</v>
      </c>
      <c r="W41" s="28">
        <v>11</v>
      </c>
      <c r="X41" s="28">
        <v>12</v>
      </c>
      <c r="Y41" s="28">
        <v>22</v>
      </c>
      <c r="Z41" s="28">
        <v>39</v>
      </c>
      <c r="AA41" s="28">
        <v>28</v>
      </c>
      <c r="AB41" s="28">
        <v>17</v>
      </c>
      <c r="AC41" s="28">
        <v>48</v>
      </c>
      <c r="AD41" s="28">
        <v>22</v>
      </c>
      <c r="AE41" s="28">
        <v>34</v>
      </c>
      <c r="AF41" s="28">
        <v>26.3</v>
      </c>
      <c r="AG41" s="28">
        <v>11.8794874562088</v>
      </c>
    </row>
    <row r="42" spans="2:33" x14ac:dyDescent="0.25">
      <c r="B42" s="28" t="s">
        <v>571</v>
      </c>
      <c r="C42" s="28">
        <v>23</v>
      </c>
      <c r="D42" s="28">
        <v>18</v>
      </c>
      <c r="E42" s="28">
        <v>11</v>
      </c>
      <c r="F42" s="28">
        <v>28</v>
      </c>
      <c r="G42" s="28">
        <v>13</v>
      </c>
      <c r="H42" s="28">
        <v>38</v>
      </c>
      <c r="I42" s="28">
        <v>35</v>
      </c>
      <c r="J42" s="28">
        <v>15</v>
      </c>
      <c r="K42" s="28">
        <v>26</v>
      </c>
      <c r="L42" s="28">
        <v>20</v>
      </c>
      <c r="M42" s="28">
        <v>22.7</v>
      </c>
      <c r="N42" s="28">
        <v>9.0927321404392902</v>
      </c>
      <c r="Q42" s="28">
        <f t="shared" si="1"/>
        <v>0.27628782961357207</v>
      </c>
      <c r="U42" s="28" t="s">
        <v>571</v>
      </c>
      <c r="V42" s="28">
        <v>19</v>
      </c>
      <c r="W42" s="28">
        <v>18</v>
      </c>
      <c r="X42" s="28">
        <v>15</v>
      </c>
      <c r="Y42" s="28">
        <v>31</v>
      </c>
      <c r="Z42" s="28">
        <v>25</v>
      </c>
      <c r="AA42" s="28">
        <v>15</v>
      </c>
      <c r="AB42" s="28">
        <v>15</v>
      </c>
      <c r="AC42" s="28">
        <v>25</v>
      </c>
      <c r="AD42" s="28">
        <v>10</v>
      </c>
      <c r="AE42" s="28">
        <v>15</v>
      </c>
      <c r="AF42" s="28">
        <v>18.8</v>
      </c>
      <c r="AG42" s="28">
        <v>6.3385943061358399</v>
      </c>
    </row>
    <row r="43" spans="2:33" x14ac:dyDescent="0.25">
      <c r="B43" s="28" t="s">
        <v>572</v>
      </c>
      <c r="C43" s="28">
        <v>1.63636363636363</v>
      </c>
      <c r="D43" s="28">
        <v>1.18367346938775</v>
      </c>
      <c r="E43" s="28">
        <v>1.1666666666666601</v>
      </c>
      <c r="F43" s="28">
        <v>1.5833333333333299</v>
      </c>
      <c r="G43" s="28">
        <v>1.1818181818181801</v>
      </c>
      <c r="H43" s="28">
        <v>1.16483516483516</v>
      </c>
      <c r="I43" s="28">
        <v>1.3239436619718301</v>
      </c>
      <c r="J43" s="28">
        <v>1.42105263157894</v>
      </c>
      <c r="K43" s="28">
        <v>1.3529411764705801</v>
      </c>
      <c r="L43" s="28">
        <v>1.22448979591836</v>
      </c>
      <c r="M43" s="28">
        <v>1.32391177183444</v>
      </c>
      <c r="N43" s="28">
        <v>0.17479456427037199</v>
      </c>
      <c r="Q43" s="28">
        <f t="shared" si="1"/>
        <v>7.48467406670911E-2</v>
      </c>
      <c r="U43" s="28" t="s">
        <v>572</v>
      </c>
      <c r="V43" s="28">
        <v>1.3333333333333299</v>
      </c>
      <c r="W43" s="28">
        <v>1.5172413793103401</v>
      </c>
      <c r="X43" s="28">
        <v>1.37037037037037</v>
      </c>
      <c r="Y43" s="28">
        <v>1.15094339622641</v>
      </c>
      <c r="Z43" s="28">
        <v>1.375</v>
      </c>
      <c r="AA43" s="28">
        <v>1.5581395348837199</v>
      </c>
      <c r="AB43" s="28">
        <v>1.5161290322580601</v>
      </c>
      <c r="AC43" s="28">
        <v>1.1643835616438301</v>
      </c>
      <c r="AD43" s="28">
        <v>1.53125</v>
      </c>
      <c r="AE43" s="28">
        <v>1.5510204081632599</v>
      </c>
      <c r="AF43" s="28">
        <v>1.40678110161893</v>
      </c>
      <c r="AG43" s="28">
        <v>0.15466995533230399</v>
      </c>
    </row>
    <row r="44" spans="2:33" x14ac:dyDescent="0.25">
      <c r="B44" s="28" t="s">
        <v>573</v>
      </c>
      <c r="C44" s="28">
        <v>1.71428571428571</v>
      </c>
      <c r="D44" s="28">
        <v>1.12903225806451</v>
      </c>
      <c r="E44" s="28">
        <v>1.19354838709677</v>
      </c>
      <c r="F44" s="28">
        <v>1.63636363636363</v>
      </c>
      <c r="G44" s="28">
        <v>1.25</v>
      </c>
      <c r="H44" s="28">
        <v>1.24074074074074</v>
      </c>
      <c r="I44" s="28">
        <v>1.2777777777777699</v>
      </c>
      <c r="J44" s="28">
        <v>1.5</v>
      </c>
      <c r="K44" s="28">
        <v>1.4</v>
      </c>
      <c r="L44" s="28">
        <v>1.2068965517241299</v>
      </c>
      <c r="M44" s="28">
        <v>1.35486450660532</v>
      </c>
      <c r="N44" s="28">
        <v>0.20011320734914301</v>
      </c>
      <c r="Q44" s="28">
        <f t="shared" si="1"/>
        <v>0.6349554799509729</v>
      </c>
      <c r="U44" s="28" t="s">
        <v>573</v>
      </c>
      <c r="V44" s="28">
        <v>1.43333333333333</v>
      </c>
      <c r="W44" s="28">
        <v>2</v>
      </c>
      <c r="X44" s="28">
        <v>1.6666666666666601</v>
      </c>
      <c r="Y44" s="28">
        <v>1.1818181818181801</v>
      </c>
      <c r="Z44" s="28">
        <v>1.4358974358974299</v>
      </c>
      <c r="AA44" s="28">
        <v>1.6071428571428501</v>
      </c>
      <c r="AB44" s="28">
        <v>1.6470588235294099</v>
      </c>
      <c r="AC44" s="28">
        <v>1.1875</v>
      </c>
      <c r="AD44" s="28">
        <v>1.5454545454545401</v>
      </c>
      <c r="AE44" s="28">
        <v>1.76470588235294</v>
      </c>
      <c r="AF44" s="28">
        <v>1.54695777261953</v>
      </c>
      <c r="AG44" s="28">
        <v>0.25131170674940001</v>
      </c>
    </row>
    <row r="45" spans="2:33" x14ac:dyDescent="0.25">
      <c r="B45" s="28" t="s">
        <v>574</v>
      </c>
      <c r="C45" s="28">
        <v>1.5652173913043399</v>
      </c>
      <c r="D45" s="28">
        <v>1.2777777777777699</v>
      </c>
      <c r="E45" s="28">
        <v>1.0909090909090899</v>
      </c>
      <c r="F45" s="28">
        <v>1.5</v>
      </c>
      <c r="G45" s="28">
        <v>1.07692307692307</v>
      </c>
      <c r="H45" s="28">
        <v>1.0526315789473599</v>
      </c>
      <c r="I45" s="28">
        <v>1.3714285714285701</v>
      </c>
      <c r="J45" s="28">
        <v>1.2666666666666599</v>
      </c>
      <c r="K45" s="28">
        <v>1.3076923076922999</v>
      </c>
      <c r="L45" s="28">
        <v>1.25</v>
      </c>
      <c r="M45" s="28">
        <v>1.2759246461649201</v>
      </c>
      <c r="N45" s="28">
        <v>0.172718025283667</v>
      </c>
      <c r="Q45" s="28" t="e">
        <f t="shared" si="1"/>
        <v>#DIV/0!</v>
      </c>
      <c r="U45" s="28" t="s">
        <v>574</v>
      </c>
      <c r="V45" s="28">
        <v>1.1578947368421</v>
      </c>
      <c r="W45" s="28">
        <v>1.2222222222222201</v>
      </c>
      <c r="X45" s="28">
        <v>1.13333333333333</v>
      </c>
      <c r="Y45" s="28">
        <v>1.12903225806451</v>
      </c>
      <c r="Z45" s="28">
        <v>1.28</v>
      </c>
      <c r="AA45" s="28">
        <v>1.4666666666666599</v>
      </c>
      <c r="AB45" s="28">
        <v>1.3333333333333299</v>
      </c>
      <c r="AC45" s="28">
        <v>1.1200000000000001</v>
      </c>
      <c r="AD45" s="28">
        <v>1.5</v>
      </c>
      <c r="AE45" s="28">
        <v>1.06666666666666</v>
      </c>
      <c r="AF45" s="28">
        <v>1.2409149217128801</v>
      </c>
      <c r="AG45" s="28">
        <v>0.150729302491035</v>
      </c>
    </row>
    <row r="46" spans="2:33" x14ac:dyDescent="0.25">
      <c r="B46" s="28" t="s">
        <v>575</v>
      </c>
      <c r="C46" s="28">
        <v>100</v>
      </c>
      <c r="D46" s="28">
        <v>100</v>
      </c>
      <c r="E46" s="28">
        <v>100</v>
      </c>
      <c r="F46" s="28">
        <v>100</v>
      </c>
      <c r="G46" s="28">
        <v>100</v>
      </c>
      <c r="H46" s="28">
        <v>100</v>
      </c>
      <c r="I46" s="28">
        <v>100</v>
      </c>
      <c r="J46" s="28">
        <v>100</v>
      </c>
      <c r="K46" s="28">
        <v>100</v>
      </c>
      <c r="L46" s="28">
        <v>100</v>
      </c>
      <c r="M46" s="28">
        <v>100</v>
      </c>
      <c r="N46" s="28">
        <v>0</v>
      </c>
      <c r="Q46" s="28" t="e">
        <f t="shared" si="1"/>
        <v>#DIV/0!</v>
      </c>
      <c r="U46" s="28" t="s">
        <v>575</v>
      </c>
      <c r="V46" s="28">
        <v>100</v>
      </c>
      <c r="W46" s="28">
        <v>100</v>
      </c>
      <c r="X46" s="28">
        <v>100</v>
      </c>
      <c r="Y46" s="28">
        <v>100</v>
      </c>
      <c r="Z46" s="28">
        <v>100</v>
      </c>
      <c r="AA46" s="28">
        <v>100</v>
      </c>
      <c r="AB46" s="28">
        <v>100</v>
      </c>
      <c r="AC46" s="28">
        <v>100</v>
      </c>
      <c r="AD46" s="28">
        <v>100</v>
      </c>
      <c r="AE46" s="28">
        <v>100</v>
      </c>
      <c r="AF46" s="28">
        <v>100</v>
      </c>
      <c r="AG46" s="28">
        <v>0</v>
      </c>
    </row>
    <row r="47" spans="2:33" x14ac:dyDescent="0.25">
      <c r="B47" s="28" t="s">
        <v>576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Q47" s="28" t="e">
        <f t="shared" si="1"/>
        <v>#DIV/0!</v>
      </c>
      <c r="U47" s="28" t="s">
        <v>576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100</v>
      </c>
      <c r="AE47" s="28">
        <v>100</v>
      </c>
      <c r="AF47" s="28">
        <v>100</v>
      </c>
      <c r="AG47" s="28">
        <v>0</v>
      </c>
    </row>
    <row r="48" spans="2:33" x14ac:dyDescent="0.25">
      <c r="B48" s="28" t="s">
        <v>577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Q48" s="28">
        <f t="shared" si="1"/>
        <v>0.28896503326475892</v>
      </c>
      <c r="U48" s="28" t="s">
        <v>577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100</v>
      </c>
      <c r="AE48" s="28">
        <v>100</v>
      </c>
      <c r="AF48" s="28">
        <v>100</v>
      </c>
      <c r="AG48" s="28">
        <v>0</v>
      </c>
    </row>
    <row r="49" spans="1:33" x14ac:dyDescent="0.25">
      <c r="B49" s="28" t="s">
        <v>578</v>
      </c>
      <c r="C49" s="28">
        <v>188</v>
      </c>
      <c r="D49" s="28">
        <v>196</v>
      </c>
      <c r="E49" s="28">
        <v>131</v>
      </c>
      <c r="F49" s="28">
        <v>152</v>
      </c>
      <c r="G49" s="28">
        <v>124</v>
      </c>
      <c r="H49" s="28">
        <v>157</v>
      </c>
      <c r="I49" s="28">
        <v>190</v>
      </c>
      <c r="J49" s="28">
        <v>132</v>
      </c>
      <c r="K49" s="28">
        <v>213</v>
      </c>
      <c r="L49" s="28">
        <v>166</v>
      </c>
      <c r="M49" s="28">
        <v>164.9</v>
      </c>
      <c r="N49" s="28">
        <v>30.874117171363899</v>
      </c>
      <c r="Q49" s="28">
        <f t="shared" si="1"/>
        <v>0.1157579119743521</v>
      </c>
      <c r="U49" s="28" t="s">
        <v>578</v>
      </c>
      <c r="V49" s="28">
        <v>152</v>
      </c>
      <c r="W49" s="28">
        <v>79</v>
      </c>
      <c r="X49" s="28">
        <v>86</v>
      </c>
      <c r="Y49" s="28">
        <v>181</v>
      </c>
      <c r="Z49" s="28">
        <v>295</v>
      </c>
      <c r="AA49" s="28">
        <v>140</v>
      </c>
      <c r="AB49" s="28">
        <v>100</v>
      </c>
      <c r="AC49" s="28">
        <v>151</v>
      </c>
      <c r="AD49" s="28">
        <v>106</v>
      </c>
      <c r="AE49" s="28">
        <v>116</v>
      </c>
      <c r="AF49" s="28">
        <v>140.6</v>
      </c>
      <c r="AG49" s="28">
        <v>63.189661601668099</v>
      </c>
    </row>
    <row r="50" spans="1:33" x14ac:dyDescent="0.25">
      <c r="B50" s="28" t="s">
        <v>579</v>
      </c>
      <c r="C50" s="28">
        <v>68</v>
      </c>
      <c r="D50" s="28">
        <v>100</v>
      </c>
      <c r="E50" s="28">
        <v>62</v>
      </c>
      <c r="F50" s="28">
        <v>92</v>
      </c>
      <c r="G50" s="28">
        <v>62</v>
      </c>
      <c r="H50" s="28">
        <v>89</v>
      </c>
      <c r="I50" s="28">
        <v>76</v>
      </c>
      <c r="J50" s="28">
        <v>84</v>
      </c>
      <c r="K50" s="28">
        <v>124</v>
      </c>
      <c r="L50" s="28">
        <v>78</v>
      </c>
      <c r="M50" s="28">
        <v>83.5</v>
      </c>
      <c r="N50" s="28">
        <v>19.0511008722447</v>
      </c>
      <c r="Q50" s="28">
        <f t="shared" si="1"/>
        <v>0.70314376905996578</v>
      </c>
      <c r="U50" s="28" t="s">
        <v>579</v>
      </c>
      <c r="V50" s="28">
        <v>67</v>
      </c>
      <c r="W50" s="28">
        <v>25</v>
      </c>
      <c r="X50" s="28">
        <v>35</v>
      </c>
      <c r="Y50" s="28">
        <v>51</v>
      </c>
      <c r="Z50" s="28">
        <v>132</v>
      </c>
      <c r="AA50" s="28">
        <v>78</v>
      </c>
      <c r="AB50" s="28">
        <v>49</v>
      </c>
      <c r="AC50" s="28">
        <v>86</v>
      </c>
      <c r="AD50" s="28">
        <v>57</v>
      </c>
      <c r="AE50" s="28">
        <v>69</v>
      </c>
      <c r="AF50" s="28">
        <v>64.900000000000006</v>
      </c>
      <c r="AG50" s="28">
        <v>30.064560162719399</v>
      </c>
    </row>
    <row r="51" spans="1:33" x14ac:dyDescent="0.25">
      <c r="B51" s="28" t="s">
        <v>580</v>
      </c>
      <c r="C51" s="28">
        <v>119</v>
      </c>
      <c r="D51" s="28">
        <v>95</v>
      </c>
      <c r="E51" s="28">
        <v>68</v>
      </c>
      <c r="F51" s="28">
        <v>60</v>
      </c>
      <c r="G51" s="28">
        <v>61</v>
      </c>
      <c r="H51" s="28">
        <v>67</v>
      </c>
      <c r="I51" s="28">
        <v>113</v>
      </c>
      <c r="J51" s="28">
        <v>47</v>
      </c>
      <c r="K51" s="28">
        <v>88</v>
      </c>
      <c r="L51" s="28">
        <v>88</v>
      </c>
      <c r="M51" s="28">
        <v>80.599999999999994</v>
      </c>
      <c r="N51" s="28">
        <v>23.856981274996901</v>
      </c>
      <c r="Q51" s="28">
        <f t="shared" si="1"/>
        <v>0.20139894764500207</v>
      </c>
      <c r="U51" s="28" t="s">
        <v>580</v>
      </c>
      <c r="V51" s="28">
        <v>85</v>
      </c>
      <c r="W51" s="28">
        <v>53</v>
      </c>
      <c r="X51" s="28">
        <v>50</v>
      </c>
      <c r="Y51" s="28">
        <v>129</v>
      </c>
      <c r="Z51" s="28">
        <v>163</v>
      </c>
      <c r="AA51" s="28">
        <v>61</v>
      </c>
      <c r="AB51" s="28">
        <v>50</v>
      </c>
      <c r="AC51" s="28">
        <v>64</v>
      </c>
      <c r="AD51" s="28">
        <v>48</v>
      </c>
      <c r="AE51" s="28">
        <v>46</v>
      </c>
      <c r="AF51" s="28">
        <v>74.900000000000006</v>
      </c>
      <c r="AG51" s="28">
        <v>39.973463419846098</v>
      </c>
    </row>
    <row r="52" spans="1:33" x14ac:dyDescent="0.25">
      <c r="B52" s="28" t="s">
        <v>581</v>
      </c>
      <c r="C52" s="28">
        <v>5.5851063829787202E-3</v>
      </c>
      <c r="D52" s="28">
        <v>5.2551020408163202E-3</v>
      </c>
      <c r="E52" s="28">
        <v>5.5725190839694596E-3</v>
      </c>
      <c r="F52" s="28">
        <v>8.4210526315789402E-3</v>
      </c>
      <c r="G52" s="28">
        <v>5.0806451612903196E-3</v>
      </c>
      <c r="H52" s="28">
        <v>7.7070063694267502E-3</v>
      </c>
      <c r="I52" s="28">
        <v>6.1052631578947299E-3</v>
      </c>
      <c r="J52" s="28">
        <v>5.3787878787878701E-3</v>
      </c>
      <c r="K52" s="28">
        <v>4.6009389671361504E-3</v>
      </c>
      <c r="L52" s="28">
        <v>6.2650602409638498E-3</v>
      </c>
      <c r="M52" s="28">
        <v>5.9971481914843101E-3</v>
      </c>
      <c r="N52" s="28">
        <v>1.1997620937808E-3</v>
      </c>
      <c r="Q52" s="28">
        <f t="shared" si="1"/>
        <v>1.8215734710760711E-2</v>
      </c>
      <c r="U52" s="28" t="s">
        <v>581</v>
      </c>
      <c r="V52" s="28">
        <v>6.1184210526315699E-3</v>
      </c>
      <c r="W52" s="28">
        <v>7.4683544303797396E-3</v>
      </c>
      <c r="X52" s="28">
        <v>6.27906976744186E-3</v>
      </c>
      <c r="Y52" s="28">
        <v>6.0773480662983399E-3</v>
      </c>
      <c r="Z52" s="28">
        <v>5.8983050847457603E-3</v>
      </c>
      <c r="AA52" s="28">
        <v>6.4999999999999997E-3</v>
      </c>
      <c r="AB52" s="28">
        <v>6.8999999999999999E-3</v>
      </c>
      <c r="AC52" s="28">
        <v>6.8874172185430403E-3</v>
      </c>
      <c r="AD52" s="28">
        <v>5.7547169811320697E-3</v>
      </c>
      <c r="AE52" s="28">
        <v>7.9310344827586195E-3</v>
      </c>
      <c r="AF52" s="28">
        <v>6.5814667083930996E-3</v>
      </c>
      <c r="AG52" s="28">
        <v>7.0866264628761597E-4</v>
      </c>
    </row>
    <row r="53" spans="1:33" x14ac:dyDescent="0.25">
      <c r="B53" s="28" t="s">
        <v>582</v>
      </c>
      <c r="C53" s="28">
        <v>63.235294117647001</v>
      </c>
      <c r="D53" s="28">
        <v>60</v>
      </c>
      <c r="E53" s="28">
        <v>66.129032258064498</v>
      </c>
      <c r="F53" s="28">
        <v>88.043478260869506</v>
      </c>
      <c r="G53" s="28">
        <v>51.612903225806399</v>
      </c>
      <c r="H53" s="28">
        <v>78.651685393258404</v>
      </c>
      <c r="I53" s="28">
        <v>64.473684210526301</v>
      </c>
      <c r="J53" s="28">
        <v>54.761904761904702</v>
      </c>
      <c r="K53" s="28">
        <v>39.516129032258</v>
      </c>
      <c r="L53" s="28">
        <v>65.384615384615302</v>
      </c>
      <c r="M53" s="28">
        <v>63.180872664494999</v>
      </c>
      <c r="N53" s="28">
        <v>13.5300186147921</v>
      </c>
      <c r="Q53" s="28">
        <f t="shared" si="1"/>
        <v>0.92648163250476401</v>
      </c>
      <c r="U53" s="28" t="s">
        <v>582</v>
      </c>
      <c r="V53" s="28">
        <v>77.611940298507406</v>
      </c>
      <c r="W53" s="28">
        <v>96</v>
      </c>
      <c r="X53" s="28">
        <v>68.571428571428498</v>
      </c>
      <c r="Y53" s="28">
        <v>78.431372549019599</v>
      </c>
      <c r="Z53" s="28">
        <v>81.060606060606005</v>
      </c>
      <c r="AA53" s="28">
        <v>65.384615384615302</v>
      </c>
      <c r="AB53" s="28">
        <v>69.387755102040799</v>
      </c>
      <c r="AC53" s="28">
        <v>76.744186046511601</v>
      </c>
      <c r="AD53" s="28">
        <v>66.6666666666666</v>
      </c>
      <c r="AE53" s="28">
        <v>92.753623188405797</v>
      </c>
      <c r="AF53" s="28">
        <v>77.261219386780198</v>
      </c>
      <c r="AG53" s="28">
        <v>10.531189522331299</v>
      </c>
    </row>
    <row r="54" spans="1:33" x14ac:dyDescent="0.25">
      <c r="B54" s="28" t="s">
        <v>583</v>
      </c>
      <c r="C54" s="28">
        <v>53.781512605042003</v>
      </c>
      <c r="D54" s="28">
        <v>47.368421052631497</v>
      </c>
      <c r="E54" s="28">
        <v>50</v>
      </c>
      <c r="F54" s="28">
        <v>83.3333333333333</v>
      </c>
      <c r="G54" s="28">
        <v>50.819672131147499</v>
      </c>
      <c r="H54" s="28">
        <v>77.611940298507406</v>
      </c>
      <c r="I54" s="28">
        <v>61.061946902654803</v>
      </c>
      <c r="J54" s="28">
        <v>53.191489361702097</v>
      </c>
      <c r="K54" s="28">
        <v>56.818181818181799</v>
      </c>
      <c r="L54" s="28">
        <v>62.5</v>
      </c>
      <c r="M54" s="28">
        <v>59.648649750319997</v>
      </c>
      <c r="N54" s="28">
        <v>12.017361157858399</v>
      </c>
      <c r="Q54" s="28">
        <f t="shared" si="1"/>
        <v>0.10145820131360017</v>
      </c>
      <c r="U54" s="28" t="s">
        <v>583</v>
      </c>
      <c r="V54" s="28">
        <v>51.764705882352899</v>
      </c>
      <c r="W54" s="28">
        <v>67.924528301886795</v>
      </c>
      <c r="X54" s="28">
        <v>64</v>
      </c>
      <c r="Y54" s="28">
        <v>55.813953488372</v>
      </c>
      <c r="Z54" s="28">
        <v>42.944785276073603</v>
      </c>
      <c r="AA54" s="28">
        <v>68.852459016393396</v>
      </c>
      <c r="AB54" s="28">
        <v>72</v>
      </c>
      <c r="AC54" s="28">
        <v>62.5</v>
      </c>
      <c r="AD54" s="28">
        <v>50</v>
      </c>
      <c r="AE54" s="28">
        <v>65.2173913043478</v>
      </c>
      <c r="AF54" s="28">
        <v>60.101782326942597</v>
      </c>
      <c r="AG54" s="28">
        <v>9.4912542136147309</v>
      </c>
    </row>
    <row r="55" spans="1:33" x14ac:dyDescent="0.25">
      <c r="B55" s="28" t="s">
        <v>584</v>
      </c>
      <c r="C55" s="28">
        <v>23.75</v>
      </c>
      <c r="D55" s="28">
        <v>23.440277777777698</v>
      </c>
      <c r="E55" s="28">
        <v>23.559444444444399</v>
      </c>
      <c r="F55" s="28">
        <v>22.946944444444402</v>
      </c>
      <c r="G55" s="28">
        <v>23.177222222222198</v>
      </c>
      <c r="H55" s="28">
        <v>23.445555555555501</v>
      </c>
      <c r="I55" s="28">
        <v>23.851111111111098</v>
      </c>
      <c r="J55" s="28">
        <v>22.730277777777701</v>
      </c>
      <c r="K55" s="28">
        <v>23.892777777777699</v>
      </c>
      <c r="L55" s="28">
        <v>23.440277777777698</v>
      </c>
      <c r="M55" s="28">
        <v>23.423388888888802</v>
      </c>
      <c r="N55" s="28">
        <v>0.37969583433558601</v>
      </c>
      <c r="Q55" s="28">
        <f t="shared" si="1"/>
        <v>0.30895481326313629</v>
      </c>
      <c r="U55" s="28" t="s">
        <v>584</v>
      </c>
      <c r="V55" s="28">
        <v>22.143611111111099</v>
      </c>
      <c r="W55" s="28">
        <v>21.1663888888888</v>
      </c>
      <c r="X55" s="28">
        <v>23.8411111111111</v>
      </c>
      <c r="Y55" s="28">
        <v>23.134444444444402</v>
      </c>
      <c r="Z55" s="28">
        <v>24.011666666666599</v>
      </c>
      <c r="AA55" s="28">
        <v>23.338611111111099</v>
      </c>
      <c r="AB55" s="28">
        <v>23.723333333333301</v>
      </c>
      <c r="AC55" s="28">
        <v>23.428611111111099</v>
      </c>
      <c r="AD55" s="28">
        <v>22.016666666666602</v>
      </c>
      <c r="AE55" s="28">
        <v>21.101111111111098</v>
      </c>
      <c r="AF55" s="28">
        <v>22.7905555555555</v>
      </c>
      <c r="AG55" s="28">
        <v>1.09545394315041</v>
      </c>
    </row>
    <row r="56" spans="1:33" x14ac:dyDescent="0.25">
      <c r="B56" s="28" t="s">
        <v>585</v>
      </c>
      <c r="C56" s="28">
        <v>-5.0000000000000197E-2</v>
      </c>
      <c r="D56" s="28">
        <v>-0.04</v>
      </c>
      <c r="E56" s="28">
        <v>-0.08</v>
      </c>
      <c r="F56" s="28">
        <v>-4.9999999999999802E-2</v>
      </c>
      <c r="G56" s="28">
        <v>-4.9999999999999802E-2</v>
      </c>
      <c r="H56" s="28">
        <v>-6.0000000000000497E-2</v>
      </c>
      <c r="I56" s="28">
        <v>-4.9999999999999802E-2</v>
      </c>
      <c r="J56" s="28">
        <v>-0.06</v>
      </c>
      <c r="K56" s="28">
        <v>-0.06</v>
      </c>
      <c r="L56" s="28">
        <v>0.4</v>
      </c>
      <c r="M56" s="28">
        <v>-0.01</v>
      </c>
      <c r="N56" s="28">
        <v>0.14445299120013599</v>
      </c>
      <c r="Q56" s="28">
        <f t="shared" si="1"/>
        <v>0.2948935334729843</v>
      </c>
      <c r="U56" s="28" t="s">
        <v>585</v>
      </c>
      <c r="V56" s="28">
        <v>-5.0000000000000197E-2</v>
      </c>
      <c r="W56" s="28">
        <v>-4.9999999999999802E-2</v>
      </c>
      <c r="X56" s="28">
        <v>-5.0000000000000197E-2</v>
      </c>
      <c r="Y56" s="28">
        <v>-7.9999999999999599E-2</v>
      </c>
      <c r="Z56" s="28">
        <v>-5.9999999999999602E-2</v>
      </c>
      <c r="AA56" s="28">
        <v>-7.0000000000000201E-2</v>
      </c>
      <c r="AB56" s="28">
        <v>-0.06</v>
      </c>
      <c r="AC56" s="28">
        <v>-6.9999999999999798E-2</v>
      </c>
      <c r="AD56" s="28">
        <v>-0.04</v>
      </c>
      <c r="AE56" s="28">
        <v>-4.9999999999999802E-2</v>
      </c>
      <c r="AF56" s="28">
        <v>-5.7999999999999899E-2</v>
      </c>
      <c r="AG56" s="28">
        <v>1.2292725943057E-2</v>
      </c>
    </row>
    <row r="57" spans="1:33" x14ac:dyDescent="0.25">
      <c r="B57" s="28" t="s">
        <v>586</v>
      </c>
      <c r="C57" s="28">
        <v>-2.1052631578947398E-3</v>
      </c>
      <c r="D57" s="28">
        <v>-1.7064644190318201E-3</v>
      </c>
      <c r="E57" s="28">
        <v>-3.39566580988987E-3</v>
      </c>
      <c r="F57" s="28">
        <v>-2.1789393407497799E-3</v>
      </c>
      <c r="G57" s="28">
        <v>-2.15729044320332E-3</v>
      </c>
      <c r="H57" s="28">
        <v>-2.5591204208331498E-3</v>
      </c>
      <c r="I57" s="28">
        <v>-2.0963383956023401E-3</v>
      </c>
      <c r="J57" s="28">
        <v>-2.6396509794815999E-3</v>
      </c>
      <c r="K57" s="28">
        <v>-2.51121910386681E-3</v>
      </c>
      <c r="L57" s="28">
        <v>1.7064644190318199E-2</v>
      </c>
      <c r="M57" s="28">
        <v>-4.2853078802352701E-4</v>
      </c>
      <c r="N57" s="28">
        <v>6.1631502085152503E-3</v>
      </c>
      <c r="Q57" s="28">
        <f t="shared" si="1"/>
        <v>5.2833722094415413E-2</v>
      </c>
      <c r="U57" s="28" t="s">
        <v>586</v>
      </c>
      <c r="V57" s="28">
        <v>-2.2579876312455401E-3</v>
      </c>
      <c r="W57" s="28">
        <v>-2.3622357248782701E-3</v>
      </c>
      <c r="X57" s="28">
        <v>-2.0972176911963499E-3</v>
      </c>
      <c r="Y57" s="28">
        <v>-3.4580471639210201E-3</v>
      </c>
      <c r="Z57" s="28">
        <v>-2.4987853126951999E-3</v>
      </c>
      <c r="AA57" s="28">
        <v>-2.9993215820231199E-3</v>
      </c>
      <c r="AB57" s="28">
        <v>-2.5291555430658999E-3</v>
      </c>
      <c r="AC57" s="28">
        <v>-2.9877998174122201E-3</v>
      </c>
      <c r="AD57" s="28">
        <v>-1.8168054504163499E-3</v>
      </c>
      <c r="AE57" s="28">
        <v>-2.3695434679584901E-3</v>
      </c>
      <c r="AF57" s="28">
        <v>-2.5376899384812498E-3</v>
      </c>
      <c r="AG57" s="28">
        <v>4.8480552214451701E-4</v>
      </c>
    </row>
    <row r="58" spans="1:33" x14ac:dyDescent="0.25">
      <c r="B58" s="28" t="s">
        <v>587</v>
      </c>
      <c r="C58" s="28">
        <v>1.54794520547945</v>
      </c>
      <c r="D58" s="28">
        <v>1.35593220338983</v>
      </c>
      <c r="E58" s="28">
        <v>1.66</v>
      </c>
      <c r="F58" s="28">
        <v>1.6956521739130399</v>
      </c>
      <c r="G58" s="28">
        <v>1.325</v>
      </c>
      <c r="H58" s="28">
        <v>1.33644859813084</v>
      </c>
      <c r="I58" s="28">
        <v>1.4842105263157801</v>
      </c>
      <c r="J58" s="28">
        <v>1.5636363636363599</v>
      </c>
      <c r="K58" s="28">
        <v>1.3142857142857101</v>
      </c>
      <c r="L58" s="28">
        <v>1.1967213114754001</v>
      </c>
      <c r="M58" s="28">
        <v>1.4479832096626399</v>
      </c>
      <c r="N58" s="28">
        <v>0.16600444949742399</v>
      </c>
      <c r="Q58" s="28">
        <f t="shared" si="1"/>
        <v>0.17687964807940018</v>
      </c>
      <c r="U58" s="28" t="s">
        <v>587</v>
      </c>
      <c r="V58" s="28">
        <v>1.4153846153846099</v>
      </c>
      <c r="W58" s="28">
        <v>1.4</v>
      </c>
      <c r="X58" s="28">
        <v>1.73684210526315</v>
      </c>
      <c r="Y58" s="28">
        <v>1.5967741935483799</v>
      </c>
      <c r="Z58" s="28">
        <v>1.8876404494382</v>
      </c>
      <c r="AA58" s="28">
        <v>1.95588235294117</v>
      </c>
      <c r="AB58" s="28">
        <v>1.6041666666666601</v>
      </c>
      <c r="AC58" s="28">
        <v>1.6279069767441801</v>
      </c>
      <c r="AD58" s="28">
        <v>1.46</v>
      </c>
      <c r="AE58" s="28">
        <v>1.4675324675324599</v>
      </c>
      <c r="AF58" s="28">
        <v>1.61521298275188</v>
      </c>
      <c r="AG58" s="28">
        <v>0.19374603775240801</v>
      </c>
    </row>
    <row r="59" spans="1:33" x14ac:dyDescent="0.25">
      <c r="B59" s="28" t="s">
        <v>588</v>
      </c>
      <c r="C59" s="28">
        <v>1</v>
      </c>
      <c r="D59" s="28">
        <v>1</v>
      </c>
      <c r="E59" s="28">
        <v>2</v>
      </c>
      <c r="F59" s="28">
        <v>2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1.2</v>
      </c>
      <c r="N59" s="28">
        <v>0.42163702135578301</v>
      </c>
      <c r="Q59" s="28" t="e">
        <f t="shared" si="1"/>
        <v>#DIV/0!</v>
      </c>
      <c r="U59" s="28" t="s">
        <v>588</v>
      </c>
      <c r="V59" s="28">
        <v>1</v>
      </c>
      <c r="W59" s="28">
        <v>1</v>
      </c>
      <c r="X59" s="28">
        <v>2</v>
      </c>
      <c r="Y59" s="28">
        <v>2</v>
      </c>
      <c r="Z59" s="28">
        <v>2</v>
      </c>
      <c r="AA59" s="28">
        <v>2</v>
      </c>
      <c r="AB59" s="28">
        <v>1</v>
      </c>
      <c r="AC59" s="28">
        <v>2</v>
      </c>
      <c r="AD59" s="28">
        <v>1</v>
      </c>
      <c r="AE59" s="28">
        <v>1</v>
      </c>
      <c r="AF59" s="28">
        <v>1.5</v>
      </c>
      <c r="AG59" s="28">
        <v>0.52704627669472903</v>
      </c>
    </row>
    <row r="60" spans="1:33" x14ac:dyDescent="0.25">
      <c r="B60" s="28" t="s">
        <v>589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Q60" s="28" t="e">
        <f t="shared" si="1"/>
        <v>#DIV/0!</v>
      </c>
      <c r="U60" s="28" t="s">
        <v>589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</row>
    <row r="61" spans="1:33" x14ac:dyDescent="0.25">
      <c r="Q61" s="28" t="e">
        <f t="shared" si="1"/>
        <v>#DIV/0!</v>
      </c>
    </row>
    <row r="62" spans="1:33" x14ac:dyDescent="0.25">
      <c r="Q62" s="28" t="e">
        <f t="shared" si="1"/>
        <v>#DIV/0!</v>
      </c>
    </row>
    <row r="63" spans="1:33" x14ac:dyDescent="0.25">
      <c r="Q63" s="28" t="e">
        <f t="shared" si="1"/>
        <v>#DIV/0!</v>
      </c>
    </row>
    <row r="64" spans="1:33" x14ac:dyDescent="0.25">
      <c r="A64" s="49" t="s">
        <v>602</v>
      </c>
      <c r="T64" s="56" t="s">
        <v>603</v>
      </c>
    </row>
    <row r="65" spans="2:33" x14ac:dyDescent="0.25">
      <c r="B65" s="28" t="s">
        <v>558</v>
      </c>
      <c r="C65" s="28" t="s">
        <v>356</v>
      </c>
      <c r="D65" s="28" t="s">
        <v>406</v>
      </c>
      <c r="E65" s="28" t="s">
        <v>346</v>
      </c>
      <c r="F65" s="28" t="s">
        <v>396</v>
      </c>
      <c r="G65" s="28" t="s">
        <v>366</v>
      </c>
      <c r="H65" s="28" t="s">
        <v>376</v>
      </c>
      <c r="I65" s="28" t="s">
        <v>426</v>
      </c>
      <c r="J65" s="28" t="s">
        <v>386</v>
      </c>
      <c r="K65" s="28" t="s">
        <v>436</v>
      </c>
      <c r="L65" s="28" t="s">
        <v>559</v>
      </c>
      <c r="M65" s="28" t="s">
        <v>560</v>
      </c>
      <c r="P65" s="28" t="s">
        <v>129</v>
      </c>
      <c r="Q65" s="28" t="s">
        <v>594</v>
      </c>
      <c r="R65" s="28" t="s">
        <v>13</v>
      </c>
      <c r="U65" s="28" t="s">
        <v>558</v>
      </c>
      <c r="V65" s="28" t="s">
        <v>244</v>
      </c>
      <c r="W65" s="28" t="s">
        <v>295</v>
      </c>
      <c r="X65" s="28" t="s">
        <v>254</v>
      </c>
      <c r="Y65" s="28" t="s">
        <v>306</v>
      </c>
      <c r="Z65" s="28" t="s">
        <v>264</v>
      </c>
      <c r="AA65" s="28" t="s">
        <v>316</v>
      </c>
      <c r="AB65" s="28" t="s">
        <v>274</v>
      </c>
      <c r="AC65" s="28" t="s">
        <v>326</v>
      </c>
      <c r="AD65" s="28" t="s">
        <v>285</v>
      </c>
      <c r="AE65" s="28" t="s">
        <v>336</v>
      </c>
      <c r="AF65" s="28" t="s">
        <v>559</v>
      </c>
      <c r="AG65" s="28" t="s">
        <v>560</v>
      </c>
    </row>
    <row r="66" spans="2:33" x14ac:dyDescent="0.25">
      <c r="B66" s="28" t="s">
        <v>563</v>
      </c>
      <c r="C66" s="28">
        <v>105</v>
      </c>
      <c r="D66" s="28">
        <v>127</v>
      </c>
      <c r="E66" s="28">
        <v>84</v>
      </c>
      <c r="F66" s="28">
        <v>108</v>
      </c>
      <c r="G66" s="28">
        <v>115</v>
      </c>
      <c r="H66" s="28">
        <v>92</v>
      </c>
      <c r="I66" s="28">
        <v>88</v>
      </c>
      <c r="J66" s="28">
        <v>84</v>
      </c>
      <c r="K66" s="28">
        <v>78</v>
      </c>
      <c r="L66" s="28">
        <v>97.8888888888888</v>
      </c>
      <c r="M66" s="28">
        <v>16.6090671354869</v>
      </c>
      <c r="P66" s="28">
        <f>_xlfn.T.TEST(C66:K66,C97:L97,2,2)</f>
        <v>6.5430503436661772E-4</v>
      </c>
      <c r="Q66" s="57">
        <f>_xlfn.T.TEST(C66:K66,V66:AE66,2,2)</f>
        <v>3.6063538256895949E-3</v>
      </c>
      <c r="R66" s="28">
        <f>_xlfn.T.TEST(V66:AE66,V97:AE97,2,2)</f>
        <v>9.8658962492590636E-5</v>
      </c>
      <c r="U66" s="28" t="s">
        <v>563</v>
      </c>
      <c r="V66" s="28">
        <v>132</v>
      </c>
      <c r="W66" s="28">
        <v>121</v>
      </c>
      <c r="X66" s="28">
        <v>154</v>
      </c>
      <c r="Y66" s="28">
        <v>123</v>
      </c>
      <c r="Z66" s="28">
        <v>182</v>
      </c>
      <c r="AA66" s="28">
        <v>153</v>
      </c>
      <c r="AB66" s="28">
        <v>142</v>
      </c>
      <c r="AC66" s="28">
        <v>160</v>
      </c>
      <c r="AD66" s="28">
        <v>100</v>
      </c>
      <c r="AE66" s="28">
        <v>85</v>
      </c>
      <c r="AF66" s="28">
        <v>135.19999999999999</v>
      </c>
      <c r="AG66" s="28">
        <v>29.1387485432485</v>
      </c>
    </row>
    <row r="67" spans="2:33" x14ac:dyDescent="0.25">
      <c r="B67" s="28" t="s">
        <v>564</v>
      </c>
      <c r="C67" s="28">
        <v>67</v>
      </c>
      <c r="D67" s="28">
        <v>90</v>
      </c>
      <c r="E67" s="28">
        <v>47</v>
      </c>
      <c r="F67" s="28">
        <v>56</v>
      </c>
      <c r="G67" s="28">
        <v>92</v>
      </c>
      <c r="H67" s="28">
        <v>49</v>
      </c>
      <c r="I67" s="28">
        <v>62</v>
      </c>
      <c r="J67" s="28">
        <v>46</v>
      </c>
      <c r="K67" s="28">
        <v>46</v>
      </c>
      <c r="L67" s="28">
        <v>61.6666666666666</v>
      </c>
      <c r="M67" s="28">
        <v>18.200274723201201</v>
      </c>
      <c r="P67" s="28">
        <f t="shared" ref="P67:P92" si="3">_xlfn.T.TEST(C67:K67,C98:L98,2,2)</f>
        <v>1.8926726036499204E-2</v>
      </c>
      <c r="Q67" s="28">
        <f t="shared" ref="Q67:Q123" si="4">_xlfn.T.TEST(C67:K67,V67:AE67,2,2)</f>
        <v>8.5827530299442636E-2</v>
      </c>
      <c r="R67" s="28">
        <f t="shared" ref="R67:R92" si="5">_xlfn.T.TEST(V67:AE67,V98:AE98,2,2)</f>
        <v>7.4409450969302362E-4</v>
      </c>
      <c r="U67" s="28" t="s">
        <v>564</v>
      </c>
      <c r="V67" s="28">
        <v>65</v>
      </c>
      <c r="W67" s="28">
        <v>56</v>
      </c>
      <c r="X67" s="28">
        <v>101</v>
      </c>
      <c r="Y67" s="28">
        <v>69</v>
      </c>
      <c r="Z67" s="28">
        <v>120</v>
      </c>
      <c r="AA67" s="28">
        <v>105</v>
      </c>
      <c r="AB67" s="28">
        <v>75</v>
      </c>
      <c r="AC67" s="28">
        <v>102</v>
      </c>
      <c r="AD67" s="28">
        <v>62</v>
      </c>
      <c r="AE67" s="28">
        <v>46</v>
      </c>
      <c r="AF67" s="28">
        <v>80.099999999999994</v>
      </c>
      <c r="AG67" s="28">
        <v>24.892881624182301</v>
      </c>
    </row>
    <row r="68" spans="2:33" x14ac:dyDescent="0.25">
      <c r="B68" s="28" t="s">
        <v>565</v>
      </c>
      <c r="C68" s="28">
        <v>38</v>
      </c>
      <c r="D68" s="28">
        <v>37</v>
      </c>
      <c r="E68" s="28">
        <v>37</v>
      </c>
      <c r="F68" s="28">
        <v>52</v>
      </c>
      <c r="G68" s="28">
        <v>23</v>
      </c>
      <c r="H68" s="28">
        <v>43</v>
      </c>
      <c r="I68" s="28">
        <v>26</v>
      </c>
      <c r="J68" s="28">
        <v>38</v>
      </c>
      <c r="K68" s="28">
        <v>32</v>
      </c>
      <c r="L68" s="28">
        <v>36.2222222222222</v>
      </c>
      <c r="M68" s="28">
        <v>8.6570459421470307</v>
      </c>
      <c r="P68" s="28">
        <f t="shared" si="3"/>
        <v>1.2873658582974502E-2</v>
      </c>
      <c r="Q68" s="57">
        <f t="shared" si="4"/>
        <v>6.3166715148924263E-4</v>
      </c>
      <c r="R68" s="28">
        <f t="shared" si="5"/>
        <v>4.6371042967372487E-4</v>
      </c>
      <c r="U68" s="28" t="s">
        <v>565</v>
      </c>
      <c r="V68" s="28">
        <v>67</v>
      </c>
      <c r="W68" s="28">
        <v>65</v>
      </c>
      <c r="X68" s="28">
        <v>53</v>
      </c>
      <c r="Y68" s="28">
        <v>54</v>
      </c>
      <c r="Z68" s="28">
        <v>62</v>
      </c>
      <c r="AA68" s="28">
        <v>48</v>
      </c>
      <c r="AB68" s="28">
        <v>67</v>
      </c>
      <c r="AC68" s="28">
        <v>58</v>
      </c>
      <c r="AD68" s="28">
        <v>38</v>
      </c>
      <c r="AE68" s="28">
        <v>39</v>
      </c>
      <c r="AF68" s="28">
        <v>55.1</v>
      </c>
      <c r="AG68" s="28">
        <v>10.7749709976407</v>
      </c>
    </row>
    <row r="69" spans="2:33" x14ac:dyDescent="0.25">
      <c r="B69" s="28" t="s">
        <v>566</v>
      </c>
      <c r="C69" s="28">
        <v>4.8441044173618799</v>
      </c>
      <c r="D69" s="28">
        <v>5.7152143205370196</v>
      </c>
      <c r="E69" s="28">
        <v>4.0372753731542499</v>
      </c>
      <c r="F69" s="28">
        <v>4.82705534725498</v>
      </c>
      <c r="G69" s="28">
        <v>5.531727261795</v>
      </c>
      <c r="H69" s="28">
        <v>4.0667477069289397</v>
      </c>
      <c r="I69" s="28">
        <v>3.9489429597128001</v>
      </c>
      <c r="J69" s="28">
        <v>3.7313985340934299</v>
      </c>
      <c r="K69" s="28">
        <v>3.52471568799738</v>
      </c>
      <c r="L69" s="28">
        <v>4.4696868454261898</v>
      </c>
      <c r="M69" s="28">
        <v>0.79102174794268798</v>
      </c>
      <c r="P69" s="28">
        <f t="shared" si="3"/>
        <v>9.0246405422138526E-4</v>
      </c>
      <c r="Q69" s="57">
        <f t="shared" si="4"/>
        <v>6.0040219259796107E-3</v>
      </c>
      <c r="R69" s="28">
        <f t="shared" si="5"/>
        <v>8.674351336591913E-5</v>
      </c>
      <c r="U69" s="28" t="s">
        <v>566</v>
      </c>
      <c r="V69" s="28">
        <v>5.9503387135147303</v>
      </c>
      <c r="W69" s="28">
        <v>5.4698879903561197</v>
      </c>
      <c r="X69" s="28">
        <v>6.89723811893505</v>
      </c>
      <c r="Y69" s="28">
        <v>5.4693000333493904</v>
      </c>
      <c r="Z69" s="28">
        <v>8.0098778713676193</v>
      </c>
      <c r="AA69" s="28">
        <v>6.8175066838300804</v>
      </c>
      <c r="AB69" s="28">
        <v>6.27924973283708</v>
      </c>
      <c r="AC69" s="28">
        <v>7.1285364223657801</v>
      </c>
      <c r="AD69" s="28">
        <v>4.4034542652347204</v>
      </c>
      <c r="AE69" s="28">
        <v>3.8131316278084402</v>
      </c>
      <c r="AF69" s="28">
        <v>6.0238521459598999</v>
      </c>
      <c r="AG69" s="28">
        <v>1.28042211357786</v>
      </c>
    </row>
    <row r="70" spans="2:33" x14ac:dyDescent="0.25">
      <c r="B70" s="28" t="s">
        <v>567</v>
      </c>
      <c r="C70" s="28">
        <v>5.7646805764680504</v>
      </c>
      <c r="D70" s="28">
        <v>7.5624956235557699</v>
      </c>
      <c r="E70" s="28">
        <v>4.1447223378977496</v>
      </c>
      <c r="F70" s="28">
        <v>4.5891190530389201</v>
      </c>
      <c r="G70" s="28">
        <v>7.7593477649704798</v>
      </c>
      <c r="H70" s="28">
        <v>4.0576909806086503</v>
      </c>
      <c r="I70" s="28">
        <v>5.2250860313224203</v>
      </c>
      <c r="J70" s="28">
        <v>3.9017953913576102</v>
      </c>
      <c r="K70" s="28">
        <v>3.8300529638966601</v>
      </c>
      <c r="L70" s="28">
        <v>5.2038878581240304</v>
      </c>
      <c r="M70" s="28">
        <v>1.53316463710374</v>
      </c>
      <c r="P70" s="28">
        <f t="shared" si="3"/>
        <v>2.1971648952006057E-2</v>
      </c>
      <c r="Q70" s="28">
        <f t="shared" si="4"/>
        <v>7.9783441705053249E-2</v>
      </c>
      <c r="R70" s="28">
        <f t="shared" si="5"/>
        <v>9.6118818826521546E-4</v>
      </c>
      <c r="U70" s="28" t="s">
        <v>567</v>
      </c>
      <c r="V70" s="28">
        <v>5.3529761632428903</v>
      </c>
      <c r="W70" s="28">
        <v>4.9167134112138102</v>
      </c>
      <c r="X70" s="28">
        <v>8.8529619439507101</v>
      </c>
      <c r="Y70" s="28">
        <v>5.6929388307015296</v>
      </c>
      <c r="Z70" s="28">
        <v>10.504303846714899</v>
      </c>
      <c r="AA70" s="28">
        <v>9.0285905366995394</v>
      </c>
      <c r="AB70" s="28">
        <v>6.2367181003418599</v>
      </c>
      <c r="AC70" s="28">
        <v>8.6948285660162892</v>
      </c>
      <c r="AD70" s="28">
        <v>5.4212916858954099</v>
      </c>
      <c r="AE70" s="28">
        <v>3.8366193267381701</v>
      </c>
      <c r="AF70" s="28">
        <v>6.8537942411515198</v>
      </c>
      <c r="AG70" s="28">
        <v>2.2193730727363201</v>
      </c>
    </row>
    <row r="71" spans="2:33" x14ac:dyDescent="0.25">
      <c r="B71" s="28" t="s">
        <v>568</v>
      </c>
      <c r="C71" s="28">
        <v>3.77984084880636</v>
      </c>
      <c r="D71" s="28">
        <v>3.58507832265704</v>
      </c>
      <c r="E71" s="28">
        <v>3.9085653921770001</v>
      </c>
      <c r="F71" s="28">
        <v>5.1125191173257596</v>
      </c>
      <c r="G71" s="28">
        <v>2.5748670584942599</v>
      </c>
      <c r="H71" s="28">
        <v>4.0771175726927904</v>
      </c>
      <c r="I71" s="28">
        <v>2.4955341669554998</v>
      </c>
      <c r="J71" s="28">
        <v>3.5440414507772</v>
      </c>
      <c r="K71" s="28">
        <v>3.1623157374619102</v>
      </c>
      <c r="L71" s="28">
        <v>3.5822088519275299</v>
      </c>
      <c r="M71" s="28">
        <v>0.79888404348906505</v>
      </c>
      <c r="P71" s="28">
        <f t="shared" si="3"/>
        <v>6.94130124249714E-3</v>
      </c>
      <c r="Q71" s="57">
        <f t="shared" si="4"/>
        <v>2.1749203207080034E-3</v>
      </c>
      <c r="R71" s="28">
        <f t="shared" si="5"/>
        <v>6.6287684585507138E-4</v>
      </c>
      <c r="U71" s="28" t="s">
        <v>568</v>
      </c>
      <c r="V71" s="28">
        <v>6.6727529255539801</v>
      </c>
      <c r="W71" s="28">
        <v>6.0569979033468799</v>
      </c>
      <c r="X71" s="28">
        <v>4.8538502632984803</v>
      </c>
      <c r="Y71" s="28">
        <v>5.2078868409772801</v>
      </c>
      <c r="Z71" s="28">
        <v>5.4876699530400996</v>
      </c>
      <c r="AA71" s="28">
        <v>4.4393063583814998</v>
      </c>
      <c r="AB71" s="28">
        <v>6.3275531886985501</v>
      </c>
      <c r="AC71" s="28">
        <v>5.4135338345864596</v>
      </c>
      <c r="AD71" s="28">
        <v>3.3708695759307998</v>
      </c>
      <c r="AE71" s="28">
        <v>3.7857951787736601</v>
      </c>
      <c r="AF71" s="28">
        <v>5.1616216022587702</v>
      </c>
      <c r="AG71" s="28">
        <v>1.07148259223635</v>
      </c>
    </row>
    <row r="72" spans="2:33" x14ac:dyDescent="0.25">
      <c r="B72" s="28" t="s">
        <v>569</v>
      </c>
      <c r="C72" s="28">
        <v>60</v>
      </c>
      <c r="D72" s="28">
        <v>58</v>
      </c>
      <c r="E72" s="28">
        <v>35</v>
      </c>
      <c r="F72" s="28">
        <v>63</v>
      </c>
      <c r="G72" s="28">
        <v>68</v>
      </c>
      <c r="H72" s="28">
        <v>44</v>
      </c>
      <c r="I72" s="28">
        <v>58</v>
      </c>
      <c r="J72" s="28">
        <v>54</v>
      </c>
      <c r="K72" s="28">
        <v>54</v>
      </c>
      <c r="L72" s="28">
        <v>54.8888888888888</v>
      </c>
      <c r="M72" s="28">
        <v>9.9930531426141709</v>
      </c>
      <c r="P72" s="28">
        <f t="shared" si="3"/>
        <v>4.7975752282003993E-2</v>
      </c>
      <c r="Q72" s="28">
        <f t="shared" si="4"/>
        <v>9.5383022402444007E-2</v>
      </c>
      <c r="R72" s="28">
        <f t="shared" si="5"/>
        <v>3.5678592000899139E-3</v>
      </c>
      <c r="U72" s="28" t="s">
        <v>569</v>
      </c>
      <c r="V72" s="28">
        <v>67</v>
      </c>
      <c r="W72" s="28">
        <v>65</v>
      </c>
      <c r="X72" s="28">
        <v>60</v>
      </c>
      <c r="Y72" s="28">
        <v>72</v>
      </c>
      <c r="Z72" s="28">
        <v>105</v>
      </c>
      <c r="AA72" s="28">
        <v>85</v>
      </c>
      <c r="AB72" s="28">
        <v>81</v>
      </c>
      <c r="AC72" s="28">
        <v>51</v>
      </c>
      <c r="AD72" s="28">
        <v>44</v>
      </c>
      <c r="AE72" s="28">
        <v>45</v>
      </c>
      <c r="AF72" s="28">
        <v>67.5</v>
      </c>
      <c r="AG72" s="28">
        <v>19.173187296615801</v>
      </c>
    </row>
    <row r="73" spans="2:33" x14ac:dyDescent="0.25">
      <c r="B73" s="28" t="s">
        <v>570</v>
      </c>
      <c r="C73" s="28">
        <v>36</v>
      </c>
      <c r="D73" s="28">
        <v>37</v>
      </c>
      <c r="E73" s="28">
        <v>20</v>
      </c>
      <c r="F73" s="28">
        <v>27</v>
      </c>
      <c r="G73" s="28">
        <v>54</v>
      </c>
      <c r="H73" s="28">
        <v>21</v>
      </c>
      <c r="I73" s="28">
        <v>40</v>
      </c>
      <c r="J73" s="28">
        <v>34</v>
      </c>
      <c r="K73" s="28">
        <v>29</v>
      </c>
      <c r="L73" s="28">
        <v>33.1111111111111</v>
      </c>
      <c r="M73" s="28">
        <v>10.4933841591314</v>
      </c>
      <c r="P73" s="28">
        <f t="shared" si="3"/>
        <v>0.20365894448658034</v>
      </c>
      <c r="Q73" s="28">
        <f t="shared" si="4"/>
        <v>0.65405070048023473</v>
      </c>
      <c r="R73" s="28">
        <f t="shared" si="5"/>
        <v>2.0175366985617449E-2</v>
      </c>
      <c r="U73" s="28" t="s">
        <v>570</v>
      </c>
      <c r="V73" s="28">
        <v>34</v>
      </c>
      <c r="W73" s="28">
        <v>30</v>
      </c>
      <c r="X73" s="28">
        <v>32</v>
      </c>
      <c r="Y73" s="28">
        <v>35</v>
      </c>
      <c r="Z73" s="28">
        <v>63</v>
      </c>
      <c r="AA73" s="28">
        <v>52</v>
      </c>
      <c r="AB73" s="28">
        <v>39</v>
      </c>
      <c r="AC73" s="28">
        <v>25</v>
      </c>
      <c r="AD73" s="28">
        <v>21</v>
      </c>
      <c r="AE73" s="28">
        <v>25</v>
      </c>
      <c r="AF73" s="28">
        <v>35.6</v>
      </c>
      <c r="AG73" s="28">
        <v>12.9803269946827</v>
      </c>
    </row>
    <row r="74" spans="2:33" x14ac:dyDescent="0.25">
      <c r="B74" s="28" t="s">
        <v>571</v>
      </c>
      <c r="C74" s="28">
        <v>24</v>
      </c>
      <c r="D74" s="28">
        <v>21</v>
      </c>
      <c r="E74" s="28">
        <v>15</v>
      </c>
      <c r="F74" s="28">
        <v>36</v>
      </c>
      <c r="G74" s="28">
        <v>14</v>
      </c>
      <c r="H74" s="28">
        <v>23</v>
      </c>
      <c r="I74" s="28">
        <v>18</v>
      </c>
      <c r="J74" s="28">
        <v>20</v>
      </c>
      <c r="K74" s="28">
        <v>25</v>
      </c>
      <c r="L74" s="28">
        <v>21.7777777777777</v>
      </c>
      <c r="M74" s="28">
        <v>6.5532010837791601</v>
      </c>
      <c r="P74" s="28">
        <f t="shared" si="3"/>
        <v>9.443244814904439E-2</v>
      </c>
      <c r="Q74" s="57">
        <f t="shared" si="4"/>
        <v>5.8787757118431618E-3</v>
      </c>
      <c r="R74" s="28">
        <f t="shared" si="5"/>
        <v>1.4158895247960309E-3</v>
      </c>
      <c r="U74" s="28" t="s">
        <v>571</v>
      </c>
      <c r="V74" s="28">
        <v>33</v>
      </c>
      <c r="W74" s="28">
        <v>35</v>
      </c>
      <c r="X74" s="28">
        <v>29</v>
      </c>
      <c r="Y74" s="28">
        <v>37</v>
      </c>
      <c r="Z74" s="28">
        <v>42</v>
      </c>
      <c r="AA74" s="28">
        <v>33</v>
      </c>
      <c r="AB74" s="28">
        <v>42</v>
      </c>
      <c r="AC74" s="28">
        <v>26</v>
      </c>
      <c r="AD74" s="28">
        <v>23</v>
      </c>
      <c r="AE74" s="28">
        <v>20</v>
      </c>
      <c r="AF74" s="28">
        <v>32</v>
      </c>
      <c r="AG74" s="28">
        <v>7.4981479194679901</v>
      </c>
    </row>
    <row r="75" spans="2:33" x14ac:dyDescent="0.25">
      <c r="B75" s="28" t="s">
        <v>572</v>
      </c>
      <c r="C75" s="28">
        <v>1.7333333333333301</v>
      </c>
      <c r="D75" s="28">
        <v>2.17241379310344</v>
      </c>
      <c r="E75" s="28">
        <v>2.3714285714285701</v>
      </c>
      <c r="F75" s="28">
        <v>1.6984126984126899</v>
      </c>
      <c r="G75" s="28">
        <v>1.6764705882352899</v>
      </c>
      <c r="H75" s="28">
        <v>2.0681818181818099</v>
      </c>
      <c r="I75" s="28">
        <v>1.5</v>
      </c>
      <c r="J75" s="28">
        <v>1.5370370370370301</v>
      </c>
      <c r="K75" s="28">
        <v>1.42592592592592</v>
      </c>
      <c r="L75" s="28">
        <v>1.79813375173979</v>
      </c>
      <c r="M75" s="28">
        <v>0.32905502196490399</v>
      </c>
      <c r="P75" s="28">
        <f t="shared" si="3"/>
        <v>7.6205288076478958E-2</v>
      </c>
      <c r="Q75" s="28">
        <f t="shared" si="4"/>
        <v>0.18729250841678211</v>
      </c>
      <c r="R75" s="28">
        <f t="shared" si="5"/>
        <v>2.3313840199401272E-2</v>
      </c>
      <c r="U75" s="28" t="s">
        <v>572</v>
      </c>
      <c r="V75" s="28">
        <v>1.9552238805970099</v>
      </c>
      <c r="W75" s="28">
        <v>1.84615384615384</v>
      </c>
      <c r="X75" s="28">
        <v>2.5499999999999998</v>
      </c>
      <c r="Y75" s="28">
        <v>1.69444444444444</v>
      </c>
      <c r="Z75" s="28">
        <v>1.7238095238095199</v>
      </c>
      <c r="AA75" s="28">
        <v>1.78823529411764</v>
      </c>
      <c r="AB75" s="28">
        <v>1.74074074074074</v>
      </c>
      <c r="AC75" s="28">
        <v>3.1176470588235201</v>
      </c>
      <c r="AD75" s="28">
        <v>2.25</v>
      </c>
      <c r="AE75" s="28">
        <v>1.86666666666666</v>
      </c>
      <c r="AF75" s="28">
        <v>2.0532921455353401</v>
      </c>
      <c r="AG75" s="28">
        <v>0.46078324247083102</v>
      </c>
    </row>
    <row r="76" spans="2:33" x14ac:dyDescent="0.25">
      <c r="B76" s="28" t="s">
        <v>573</v>
      </c>
      <c r="C76" s="28">
        <v>1.8611111111111101</v>
      </c>
      <c r="D76" s="28">
        <v>2.4324324324324298</v>
      </c>
      <c r="E76" s="28">
        <v>2.35</v>
      </c>
      <c r="F76" s="28">
        <v>2.07407407407407</v>
      </c>
      <c r="G76" s="28">
        <v>1.7037037037036999</v>
      </c>
      <c r="H76" s="28">
        <v>2.3333333333333299</v>
      </c>
      <c r="I76" s="28">
        <v>1.55</v>
      </c>
      <c r="J76" s="28">
        <v>1.3529411764705801</v>
      </c>
      <c r="K76" s="28">
        <v>1.58620689655172</v>
      </c>
      <c r="L76" s="28">
        <v>1.91597808085299</v>
      </c>
      <c r="M76" s="28">
        <v>0.39718544383110199</v>
      </c>
      <c r="P76" s="28">
        <f t="shared" si="3"/>
        <v>8.2164916200700627E-2</v>
      </c>
      <c r="Q76" s="28">
        <f t="shared" si="4"/>
        <v>0.1356393604024764</v>
      </c>
      <c r="R76" s="28">
        <f t="shared" si="5"/>
        <v>2.5953865652919506E-2</v>
      </c>
      <c r="U76" s="28" t="s">
        <v>573</v>
      </c>
      <c r="V76" s="28">
        <v>1.9117647058823499</v>
      </c>
      <c r="W76" s="28">
        <v>1.86666666666666</v>
      </c>
      <c r="X76" s="28">
        <v>3.1875</v>
      </c>
      <c r="Y76" s="28">
        <v>1.97142857142857</v>
      </c>
      <c r="Z76" s="28">
        <v>1.9047619047619</v>
      </c>
      <c r="AA76" s="28">
        <v>2.0192307692307598</v>
      </c>
      <c r="AB76" s="28">
        <v>1.92307692307692</v>
      </c>
      <c r="AC76" s="28">
        <v>4.08</v>
      </c>
      <c r="AD76" s="28">
        <v>2.9523809523809499</v>
      </c>
      <c r="AE76" s="28">
        <v>1.84</v>
      </c>
      <c r="AF76" s="28">
        <v>2.3656810493428102</v>
      </c>
      <c r="AG76" s="28">
        <v>0.77270781300012603</v>
      </c>
    </row>
    <row r="77" spans="2:33" x14ac:dyDescent="0.25">
      <c r="B77" s="28" t="s">
        <v>574</v>
      </c>
      <c r="C77" s="28">
        <v>1.5416666666666601</v>
      </c>
      <c r="D77" s="28">
        <v>1.71428571428571</v>
      </c>
      <c r="E77" s="28">
        <v>2.4</v>
      </c>
      <c r="F77" s="28">
        <v>1.4166666666666601</v>
      </c>
      <c r="G77" s="28">
        <v>1.5714285714285701</v>
      </c>
      <c r="H77" s="28">
        <v>1.8260869565217299</v>
      </c>
      <c r="I77" s="28">
        <v>1.38888888888888</v>
      </c>
      <c r="J77" s="28">
        <v>1.85</v>
      </c>
      <c r="K77" s="28">
        <v>1.24</v>
      </c>
      <c r="L77" s="28">
        <v>1.6610026071620201</v>
      </c>
      <c r="M77" s="28">
        <v>0.34372641561422901</v>
      </c>
      <c r="P77" s="28">
        <f t="shared" si="3"/>
        <v>0.25814566833567243</v>
      </c>
      <c r="Q77" s="28">
        <f t="shared" si="4"/>
        <v>0.67655343679494562</v>
      </c>
      <c r="R77" s="28">
        <f t="shared" si="5"/>
        <v>0.21318873555710838</v>
      </c>
      <c r="U77" s="28" t="s">
        <v>574</v>
      </c>
      <c r="V77" s="28">
        <v>2</v>
      </c>
      <c r="W77" s="28">
        <v>1.8285714285714201</v>
      </c>
      <c r="X77" s="28">
        <v>1.7931034482758601</v>
      </c>
      <c r="Y77" s="28">
        <v>1.43243243243243</v>
      </c>
      <c r="Z77" s="28">
        <v>1.4523809523809501</v>
      </c>
      <c r="AA77" s="28">
        <v>1.4242424242424201</v>
      </c>
      <c r="AB77" s="28">
        <v>1.5714285714285701</v>
      </c>
      <c r="AC77" s="28">
        <v>2.1923076923076898</v>
      </c>
      <c r="AD77" s="28">
        <v>1.60869565217391</v>
      </c>
      <c r="AE77" s="28">
        <v>1.9</v>
      </c>
      <c r="AF77" s="28">
        <v>1.72031626018132</v>
      </c>
      <c r="AG77" s="28">
        <v>0.26399813902455499</v>
      </c>
    </row>
    <row r="78" spans="2:33" x14ac:dyDescent="0.25">
      <c r="B78" s="28" t="s">
        <v>575</v>
      </c>
      <c r="C78" s="28">
        <v>100</v>
      </c>
      <c r="D78" s="28">
        <v>100</v>
      </c>
      <c r="E78" s="28">
        <v>100</v>
      </c>
      <c r="F78" s="28">
        <v>100</v>
      </c>
      <c r="G78" s="28">
        <v>100</v>
      </c>
      <c r="H78" s="28">
        <v>100</v>
      </c>
      <c r="I78" s="28">
        <v>100</v>
      </c>
      <c r="J78" s="28">
        <v>100</v>
      </c>
      <c r="K78" s="28">
        <v>100</v>
      </c>
      <c r="L78" s="28">
        <v>100</v>
      </c>
      <c r="M78" s="28">
        <v>0</v>
      </c>
      <c r="P78" s="28" t="e">
        <f t="shared" si="3"/>
        <v>#DIV/0!</v>
      </c>
      <c r="Q78" s="28" t="e">
        <f t="shared" si="4"/>
        <v>#DIV/0!</v>
      </c>
      <c r="R78" s="28" t="e">
        <f t="shared" si="5"/>
        <v>#DIV/0!</v>
      </c>
      <c r="U78" s="28" t="s">
        <v>575</v>
      </c>
      <c r="V78" s="28">
        <v>100</v>
      </c>
      <c r="W78" s="28">
        <v>100</v>
      </c>
      <c r="X78" s="28">
        <v>100</v>
      </c>
      <c r="Y78" s="28">
        <v>100</v>
      </c>
      <c r="Z78" s="28">
        <v>100</v>
      </c>
      <c r="AA78" s="28">
        <v>100</v>
      </c>
      <c r="AB78" s="28">
        <v>100</v>
      </c>
      <c r="AC78" s="28">
        <v>100</v>
      </c>
      <c r="AD78" s="28">
        <v>100</v>
      </c>
      <c r="AE78" s="28">
        <v>100</v>
      </c>
      <c r="AF78" s="28">
        <v>100</v>
      </c>
      <c r="AG78" s="28">
        <v>0</v>
      </c>
    </row>
    <row r="79" spans="2:33" x14ac:dyDescent="0.25">
      <c r="B79" s="28" t="s">
        <v>576</v>
      </c>
      <c r="C79" s="28">
        <v>100</v>
      </c>
      <c r="D79" s="28">
        <v>100</v>
      </c>
      <c r="E79" s="28">
        <v>100</v>
      </c>
      <c r="F79" s="28">
        <v>100</v>
      </c>
      <c r="G79" s="28">
        <v>100</v>
      </c>
      <c r="H79" s="28">
        <v>100</v>
      </c>
      <c r="I79" s="28">
        <v>100</v>
      </c>
      <c r="J79" s="28">
        <v>100</v>
      </c>
      <c r="K79" s="28">
        <v>100</v>
      </c>
      <c r="L79" s="28">
        <v>100</v>
      </c>
      <c r="M79" s="28">
        <v>0</v>
      </c>
      <c r="P79" s="28" t="e">
        <f t="shared" si="3"/>
        <v>#DIV/0!</v>
      </c>
      <c r="Q79" s="28" t="e">
        <f t="shared" si="4"/>
        <v>#DIV/0!</v>
      </c>
      <c r="R79" s="28" t="e">
        <f t="shared" si="5"/>
        <v>#DIV/0!</v>
      </c>
      <c r="U79" s="28" t="s">
        <v>576</v>
      </c>
      <c r="V79" s="28">
        <v>100</v>
      </c>
      <c r="W79" s="28">
        <v>100</v>
      </c>
      <c r="X79" s="28">
        <v>100</v>
      </c>
      <c r="Y79" s="28">
        <v>100</v>
      </c>
      <c r="Z79" s="28">
        <v>100</v>
      </c>
      <c r="AA79" s="28">
        <v>100</v>
      </c>
      <c r="AB79" s="28">
        <v>100</v>
      </c>
      <c r="AC79" s="28">
        <v>100</v>
      </c>
      <c r="AD79" s="28">
        <v>100</v>
      </c>
      <c r="AE79" s="28">
        <v>100</v>
      </c>
      <c r="AF79" s="28">
        <v>100</v>
      </c>
      <c r="AG79" s="28">
        <v>0</v>
      </c>
    </row>
    <row r="80" spans="2:33" x14ac:dyDescent="0.25">
      <c r="B80" s="28" t="s">
        <v>577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0</v>
      </c>
      <c r="P80" s="28" t="e">
        <f t="shared" si="3"/>
        <v>#DIV/0!</v>
      </c>
      <c r="Q80" s="28" t="e">
        <f t="shared" si="4"/>
        <v>#DIV/0!</v>
      </c>
      <c r="R80" s="28" t="e">
        <f t="shared" si="5"/>
        <v>#DIV/0!</v>
      </c>
      <c r="U80" s="28" t="s">
        <v>577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100</v>
      </c>
      <c r="AF80" s="28">
        <v>100</v>
      </c>
      <c r="AG80" s="28">
        <v>0</v>
      </c>
    </row>
    <row r="81" spans="1:33" x14ac:dyDescent="0.25">
      <c r="B81" s="28" t="s">
        <v>578</v>
      </c>
      <c r="C81" s="28">
        <v>167</v>
      </c>
      <c r="D81" s="28">
        <v>226</v>
      </c>
      <c r="E81" s="28">
        <v>117</v>
      </c>
      <c r="F81" s="28">
        <v>157</v>
      </c>
      <c r="G81" s="28">
        <v>154</v>
      </c>
      <c r="H81" s="28">
        <v>156</v>
      </c>
      <c r="I81" s="28">
        <v>152</v>
      </c>
      <c r="J81" s="28">
        <v>128</v>
      </c>
      <c r="K81" s="28">
        <v>156</v>
      </c>
      <c r="L81" s="28">
        <v>157</v>
      </c>
      <c r="M81" s="28">
        <v>30.286135441815599</v>
      </c>
      <c r="P81" s="28">
        <f t="shared" si="3"/>
        <v>0.76309254509550639</v>
      </c>
      <c r="Q81" s="28">
        <f t="shared" si="4"/>
        <v>4.3225354133612712E-3</v>
      </c>
      <c r="R81" s="28">
        <f t="shared" si="5"/>
        <v>8.0243661929914518E-4</v>
      </c>
      <c r="U81" s="28" t="s">
        <v>578</v>
      </c>
      <c r="V81" s="28">
        <v>205</v>
      </c>
      <c r="W81" s="28">
        <v>222</v>
      </c>
      <c r="X81" s="28">
        <v>217</v>
      </c>
      <c r="Y81" s="28">
        <v>206</v>
      </c>
      <c r="Z81" s="28">
        <v>248</v>
      </c>
      <c r="AA81" s="28">
        <v>271</v>
      </c>
      <c r="AB81" s="28">
        <v>217</v>
      </c>
      <c r="AC81" s="28">
        <v>194</v>
      </c>
      <c r="AD81" s="28">
        <v>141</v>
      </c>
      <c r="AE81" s="28">
        <v>165</v>
      </c>
      <c r="AF81" s="28">
        <v>208.6</v>
      </c>
      <c r="AG81" s="28">
        <v>37.223648397221801</v>
      </c>
    </row>
    <row r="82" spans="1:33" x14ac:dyDescent="0.25">
      <c r="B82" s="28" t="s">
        <v>579</v>
      </c>
      <c r="C82" s="28">
        <v>82</v>
      </c>
      <c r="D82" s="28">
        <v>109</v>
      </c>
      <c r="E82" s="28">
        <v>59</v>
      </c>
      <c r="F82" s="28">
        <v>81</v>
      </c>
      <c r="G82" s="28">
        <v>120</v>
      </c>
      <c r="H82" s="28">
        <v>60</v>
      </c>
      <c r="I82" s="28">
        <v>77</v>
      </c>
      <c r="J82" s="28">
        <v>64</v>
      </c>
      <c r="K82" s="28">
        <v>57</v>
      </c>
      <c r="L82" s="28">
        <v>78.7777777777777</v>
      </c>
      <c r="M82" s="28">
        <v>22.5487127003836</v>
      </c>
      <c r="P82" s="28">
        <f t="shared" si="3"/>
        <v>0.66707804829953521</v>
      </c>
      <c r="Q82" s="28">
        <f t="shared" si="4"/>
        <v>3.7104087843303185E-2</v>
      </c>
      <c r="R82" s="28">
        <f t="shared" si="5"/>
        <v>6.8797913959454835E-3</v>
      </c>
      <c r="U82" s="28" t="s">
        <v>579</v>
      </c>
      <c r="V82" s="28">
        <v>95</v>
      </c>
      <c r="W82" s="28">
        <v>91</v>
      </c>
      <c r="X82" s="28">
        <v>113</v>
      </c>
      <c r="Y82" s="28">
        <v>93</v>
      </c>
      <c r="Z82" s="28">
        <v>155</v>
      </c>
      <c r="AA82" s="28">
        <v>129</v>
      </c>
      <c r="AB82" s="28">
        <v>107</v>
      </c>
      <c r="AC82" s="28">
        <v>117</v>
      </c>
      <c r="AD82" s="28">
        <v>77</v>
      </c>
      <c r="AE82" s="28">
        <v>65</v>
      </c>
      <c r="AF82" s="28">
        <v>104.2</v>
      </c>
      <c r="AG82" s="28">
        <v>26.046112953759501</v>
      </c>
    </row>
    <row r="83" spans="1:33" x14ac:dyDescent="0.25">
      <c r="B83" s="28" t="s">
        <v>580</v>
      </c>
      <c r="C83" s="28">
        <v>84</v>
      </c>
      <c r="D83" s="28">
        <v>116</v>
      </c>
      <c r="E83" s="28">
        <v>57</v>
      </c>
      <c r="F83" s="28">
        <v>76</v>
      </c>
      <c r="G83" s="28">
        <v>33</v>
      </c>
      <c r="H83" s="28">
        <v>95</v>
      </c>
      <c r="I83" s="28">
        <v>74</v>
      </c>
      <c r="J83" s="28">
        <v>63</v>
      </c>
      <c r="K83" s="28">
        <v>98</v>
      </c>
      <c r="L83" s="28">
        <v>77.3333333333333</v>
      </c>
      <c r="M83" s="28">
        <v>24.688053791257001</v>
      </c>
      <c r="P83" s="28">
        <f t="shared" si="3"/>
        <v>0.97055348563323185</v>
      </c>
      <c r="Q83" s="28">
        <f t="shared" si="4"/>
        <v>2.9336355686936488E-2</v>
      </c>
      <c r="R83" s="28">
        <f t="shared" si="5"/>
        <v>2.7081949056993447E-3</v>
      </c>
      <c r="U83" s="28" t="s">
        <v>580</v>
      </c>
      <c r="V83" s="28">
        <v>109</v>
      </c>
      <c r="W83" s="28">
        <v>130</v>
      </c>
      <c r="X83" s="28">
        <v>103</v>
      </c>
      <c r="Y83" s="28">
        <v>112</v>
      </c>
      <c r="Z83" s="28">
        <v>92</v>
      </c>
      <c r="AA83" s="28">
        <v>141</v>
      </c>
      <c r="AB83" s="28">
        <v>109</v>
      </c>
      <c r="AC83" s="28">
        <v>76</v>
      </c>
      <c r="AD83" s="28">
        <v>63</v>
      </c>
      <c r="AE83" s="28">
        <v>99</v>
      </c>
      <c r="AF83" s="28">
        <v>103.4</v>
      </c>
      <c r="AG83" s="28">
        <v>23.0709051982506</v>
      </c>
    </row>
    <row r="84" spans="1:33" x14ac:dyDescent="0.25">
      <c r="B84" s="28" t="s">
        <v>581</v>
      </c>
      <c r="C84" s="28">
        <v>8.0239520958083795E-3</v>
      </c>
      <c r="D84" s="28">
        <v>8.0530973451327405E-3</v>
      </c>
      <c r="E84" s="28">
        <v>8.2905982905982899E-3</v>
      </c>
      <c r="F84" s="28">
        <v>7.4522292993630503E-3</v>
      </c>
      <c r="G84" s="28">
        <v>8.3766233766233694E-3</v>
      </c>
      <c r="H84" s="28">
        <v>7.7564102564102498E-3</v>
      </c>
      <c r="I84" s="28">
        <v>7.10526315789473E-3</v>
      </c>
      <c r="J84" s="28">
        <v>7.8906250000000001E-3</v>
      </c>
      <c r="K84" s="28">
        <v>6.2179487179487101E-3</v>
      </c>
      <c r="L84" s="28">
        <v>7.6851941710866104E-3</v>
      </c>
      <c r="M84" s="28">
        <v>6.7872799768901697E-4</v>
      </c>
      <c r="P84" s="28">
        <f t="shared" si="3"/>
        <v>3.0566813903088467E-4</v>
      </c>
      <c r="Q84" s="28">
        <f t="shared" si="4"/>
        <v>0.86081585657945159</v>
      </c>
      <c r="R84" s="28">
        <f t="shared" si="5"/>
        <v>1.1157257264977972E-3</v>
      </c>
      <c r="U84" s="28" t="s">
        <v>581</v>
      </c>
      <c r="V84" s="28">
        <v>8.1463414634146292E-3</v>
      </c>
      <c r="W84" s="28">
        <v>7.6576576576576497E-3</v>
      </c>
      <c r="X84" s="28">
        <v>8.0645161290322492E-3</v>
      </c>
      <c r="Y84" s="28">
        <v>7.8155339805825192E-3</v>
      </c>
      <c r="Z84" s="28">
        <v>8.4274193548387003E-3</v>
      </c>
      <c r="AA84" s="28">
        <v>7.8228782287822797E-3</v>
      </c>
      <c r="AB84" s="28">
        <v>7.14285714285714E-3</v>
      </c>
      <c r="AC84" s="28">
        <v>8.7113402061855597E-3</v>
      </c>
      <c r="AD84" s="28">
        <v>7.5177304964538999E-3</v>
      </c>
      <c r="AE84" s="28">
        <v>6.1212121212121202E-3</v>
      </c>
      <c r="AF84" s="28">
        <v>7.7427486781016797E-3</v>
      </c>
      <c r="AG84" s="28">
        <v>7.2512126810037904E-4</v>
      </c>
    </row>
    <row r="85" spans="1:33" x14ac:dyDescent="0.25">
      <c r="B85" s="28" t="s">
        <v>582</v>
      </c>
      <c r="C85" s="28">
        <v>87.804878048780495</v>
      </c>
      <c r="D85" s="28">
        <v>90.825688073394403</v>
      </c>
      <c r="E85" s="28">
        <v>84.745762711864401</v>
      </c>
      <c r="F85" s="28">
        <v>75.308641975308603</v>
      </c>
      <c r="G85" s="28">
        <v>83.3333333333333</v>
      </c>
      <c r="H85" s="28">
        <v>91.6666666666666</v>
      </c>
      <c r="I85" s="28">
        <v>85.714285714285694</v>
      </c>
      <c r="J85" s="28">
        <v>78.125</v>
      </c>
      <c r="K85" s="28">
        <v>82.456140350877106</v>
      </c>
      <c r="L85" s="28">
        <v>84.4422663193901</v>
      </c>
      <c r="M85" s="28">
        <v>5.4136714765762104</v>
      </c>
      <c r="P85" s="28">
        <f t="shared" si="3"/>
        <v>1.4957125855643452E-4</v>
      </c>
      <c r="Q85" s="28">
        <f t="shared" si="4"/>
        <v>0.65624642723736981</v>
      </c>
      <c r="R85" s="28">
        <f t="shared" si="5"/>
        <v>3.1685580975220487E-3</v>
      </c>
      <c r="U85" s="28" t="s">
        <v>582</v>
      </c>
      <c r="V85" s="28">
        <v>80</v>
      </c>
      <c r="W85" s="28">
        <v>74.725274725274701</v>
      </c>
      <c r="X85" s="28">
        <v>93.805309734513202</v>
      </c>
      <c r="Y85" s="28">
        <v>86.021505376343995</v>
      </c>
      <c r="Z85" s="28">
        <v>85.161290322580598</v>
      </c>
      <c r="AA85" s="28">
        <v>82.945736434108497</v>
      </c>
      <c r="AB85" s="28">
        <v>72.897196261682197</v>
      </c>
      <c r="AC85" s="28">
        <v>90.598290598290603</v>
      </c>
      <c r="AD85" s="28">
        <v>85.714285714285694</v>
      </c>
      <c r="AE85" s="28">
        <v>80</v>
      </c>
      <c r="AF85" s="28">
        <v>83.1868889167079</v>
      </c>
      <c r="AG85" s="28">
        <v>6.5306809890037503</v>
      </c>
    </row>
    <row r="86" spans="1:33" x14ac:dyDescent="0.25">
      <c r="B86" s="28" t="s">
        <v>583</v>
      </c>
      <c r="C86" s="28">
        <v>75</v>
      </c>
      <c r="D86" s="28">
        <v>73.275862068965495</v>
      </c>
      <c r="E86" s="28">
        <v>85.964912280701697</v>
      </c>
      <c r="F86" s="28">
        <v>75</v>
      </c>
      <c r="G86" s="28">
        <v>90.909090909090907</v>
      </c>
      <c r="H86" s="28">
        <v>71.578947368420998</v>
      </c>
      <c r="I86" s="28">
        <v>59.459459459459403</v>
      </c>
      <c r="J86" s="28">
        <v>82.539682539682502</v>
      </c>
      <c r="K86" s="28">
        <v>53.061224489795897</v>
      </c>
      <c r="L86" s="28">
        <v>74.0876865684574</v>
      </c>
      <c r="M86" s="28">
        <v>12.042523455409</v>
      </c>
      <c r="P86" s="28">
        <f t="shared" si="3"/>
        <v>1.1560685220484365E-2</v>
      </c>
      <c r="Q86" s="28">
        <f t="shared" si="4"/>
        <v>0.95726419919322892</v>
      </c>
      <c r="R86" s="28">
        <f t="shared" si="5"/>
        <v>1.7676252232934619E-2</v>
      </c>
      <c r="U86" s="28" t="s">
        <v>583</v>
      </c>
      <c r="V86" s="28">
        <v>84.403669724770594</v>
      </c>
      <c r="W86" s="28">
        <v>80</v>
      </c>
      <c r="X86" s="28">
        <v>67.961165048543606</v>
      </c>
      <c r="Y86" s="28">
        <v>74.107142857142804</v>
      </c>
      <c r="Z86" s="28">
        <v>85.869565217391298</v>
      </c>
      <c r="AA86" s="28">
        <v>75.177304964539005</v>
      </c>
      <c r="AB86" s="28">
        <v>72.477064220183394</v>
      </c>
      <c r="AC86" s="28">
        <v>85.5263157894736</v>
      </c>
      <c r="AD86" s="28">
        <v>66.6666666666666</v>
      </c>
      <c r="AE86" s="28">
        <v>51.515151515151501</v>
      </c>
      <c r="AF86" s="28">
        <v>74.370404600386195</v>
      </c>
      <c r="AG86" s="28">
        <v>10.625637020835301</v>
      </c>
    </row>
    <row r="87" spans="1:33" x14ac:dyDescent="0.25">
      <c r="B87" s="28" t="s">
        <v>584</v>
      </c>
      <c r="C87" s="28">
        <v>21.675833333333301</v>
      </c>
      <c r="D87" s="28">
        <v>22.2213888888888</v>
      </c>
      <c r="E87" s="28">
        <v>20.8061111111111</v>
      </c>
      <c r="F87" s="28">
        <v>22.3738888888888</v>
      </c>
      <c r="G87" s="28">
        <v>20.789166666666599</v>
      </c>
      <c r="H87" s="28">
        <v>22.622499999999999</v>
      </c>
      <c r="I87" s="28">
        <v>22.2844444444444</v>
      </c>
      <c r="J87" s="28">
        <v>22.511666666666599</v>
      </c>
      <c r="K87" s="28">
        <v>22.129444444444399</v>
      </c>
      <c r="L87" s="28">
        <v>21.934938271604899</v>
      </c>
      <c r="M87" s="28">
        <v>0.69769748877057203</v>
      </c>
      <c r="P87" s="28">
        <f t="shared" si="3"/>
        <v>0.97598463443064154</v>
      </c>
      <c r="Q87" s="28">
        <f t="shared" si="4"/>
        <v>4.4728280635810351E-2</v>
      </c>
      <c r="R87" s="28">
        <f t="shared" si="5"/>
        <v>0.99389209316241267</v>
      </c>
      <c r="U87" s="28" t="s">
        <v>584</v>
      </c>
      <c r="V87" s="28">
        <v>22.183611111111102</v>
      </c>
      <c r="W87" s="28">
        <v>22.121111111111102</v>
      </c>
      <c r="X87" s="28">
        <v>22.327777777777701</v>
      </c>
      <c r="Y87" s="28">
        <v>22.489166666666598</v>
      </c>
      <c r="Z87" s="28">
        <v>22.7219444444444</v>
      </c>
      <c r="AA87" s="28">
        <v>22.442222222222199</v>
      </c>
      <c r="AB87" s="28">
        <v>22.614166666666598</v>
      </c>
      <c r="AC87" s="28">
        <v>22.445</v>
      </c>
      <c r="AD87" s="28">
        <v>22.709444444444401</v>
      </c>
      <c r="AE87" s="28">
        <v>22.2913888888888</v>
      </c>
      <c r="AF87" s="28">
        <v>22.4345833333333</v>
      </c>
      <c r="AG87" s="28">
        <v>0.20728010519488299</v>
      </c>
    </row>
    <row r="88" spans="1:33" x14ac:dyDescent="0.25">
      <c r="B88" s="28" t="s">
        <v>585</v>
      </c>
      <c r="C88" s="28">
        <v>0.50999999999999901</v>
      </c>
      <c r="D88" s="28">
        <v>-6.0000000000000497E-2</v>
      </c>
      <c r="E88" s="28">
        <v>-5.9999999999999602E-2</v>
      </c>
      <c r="F88" s="28">
        <v>-6.0000000000000497E-2</v>
      </c>
      <c r="G88" s="28">
        <v>-4.9999999999999802E-2</v>
      </c>
      <c r="H88" s="28">
        <v>-5.0000000000000697E-2</v>
      </c>
      <c r="I88" s="28">
        <v>-4.9999999999999802E-2</v>
      </c>
      <c r="J88" s="28">
        <v>-7.0000000000000201E-2</v>
      </c>
      <c r="K88" s="28">
        <v>-4.9999999999999802E-2</v>
      </c>
      <c r="L88" s="28">
        <v>6.6666666666665196E-3</v>
      </c>
      <c r="M88" s="28">
        <v>0.18887826767524099</v>
      </c>
      <c r="P88" s="28">
        <f t="shared" si="3"/>
        <v>0.42199383898610321</v>
      </c>
      <c r="Q88" s="28">
        <f t="shared" si="4"/>
        <v>0.27379479775379373</v>
      </c>
      <c r="R88" s="28">
        <f t="shared" si="5"/>
        <v>1.0762383486381696E-2</v>
      </c>
      <c r="U88" s="28" t="s">
        <v>585</v>
      </c>
      <c r="V88" s="28">
        <v>-0.08</v>
      </c>
      <c r="W88" s="28">
        <v>-4.9999999999999802E-2</v>
      </c>
      <c r="X88" s="28">
        <v>-5.9999999999999602E-2</v>
      </c>
      <c r="Y88" s="28">
        <v>-4.9999999999999802E-2</v>
      </c>
      <c r="Z88" s="28">
        <v>-8.9999999999999802E-2</v>
      </c>
      <c r="AA88" s="28">
        <v>-0.04</v>
      </c>
      <c r="AB88" s="28">
        <v>-0.08</v>
      </c>
      <c r="AC88" s="28">
        <v>-0.04</v>
      </c>
      <c r="AD88" s="28">
        <v>-6.9999999999999396E-2</v>
      </c>
      <c r="AE88" s="28">
        <v>-5.0000000000000697E-2</v>
      </c>
      <c r="AF88" s="28">
        <v>-6.0999999999999902E-2</v>
      </c>
      <c r="AG88" s="28">
        <v>1.7919573407620699E-2</v>
      </c>
    </row>
    <row r="89" spans="1:33" x14ac:dyDescent="0.25">
      <c r="B89" s="28" t="s">
        <v>586</v>
      </c>
      <c r="C89" s="28">
        <v>2.35285071700434E-2</v>
      </c>
      <c r="D89" s="28">
        <v>-2.7001012537970302E-3</v>
      </c>
      <c r="E89" s="28">
        <v>-2.8837681236815898E-3</v>
      </c>
      <c r="F89" s="28">
        <v>-2.68169741514168E-3</v>
      </c>
      <c r="G89" s="28">
        <v>-2.40509880947608E-3</v>
      </c>
      <c r="H89" s="28">
        <v>-2.2101889711570598E-3</v>
      </c>
      <c r="I89" s="28">
        <v>-2.2437175907458998E-3</v>
      </c>
      <c r="J89" s="28">
        <v>-3.1094987784112001E-3</v>
      </c>
      <c r="K89" s="28">
        <v>-2.2594331333316499E-3</v>
      </c>
      <c r="L89" s="28">
        <v>3.3722256603346801E-4</v>
      </c>
      <c r="M89" s="28">
        <v>8.7023205917533004E-3</v>
      </c>
      <c r="P89" s="28">
        <f t="shared" si="3"/>
        <v>0.42464846583711346</v>
      </c>
      <c r="Q89" s="28">
        <f t="shared" si="4"/>
        <v>0.28318669815696013</v>
      </c>
      <c r="R89" s="28">
        <f t="shared" si="5"/>
        <v>1.0813520414262182E-2</v>
      </c>
      <c r="U89" s="28" t="s">
        <v>586</v>
      </c>
      <c r="V89" s="28">
        <v>-3.6062658869786199E-3</v>
      </c>
      <c r="W89" s="28">
        <v>-2.26028429353557E-3</v>
      </c>
      <c r="X89" s="28">
        <v>-2.6872356307539001E-3</v>
      </c>
      <c r="Y89" s="28">
        <v>-2.2232926964834798E-3</v>
      </c>
      <c r="Z89" s="28">
        <v>-3.9609286177092499E-3</v>
      </c>
      <c r="AA89" s="28">
        <v>-1.7823546885830199E-3</v>
      </c>
      <c r="AB89" s="28">
        <v>-3.5376054832885E-3</v>
      </c>
      <c r="AC89" s="28">
        <v>-1.78213410559144E-3</v>
      </c>
      <c r="AD89" s="28">
        <v>-3.0824179856642799E-3</v>
      </c>
      <c r="AE89" s="28">
        <v>-2.2430186045932299E-3</v>
      </c>
      <c r="AF89" s="28">
        <v>-2.7165537993181299E-3</v>
      </c>
      <c r="AG89" s="28">
        <v>7.8672954648601303E-4</v>
      </c>
    </row>
    <row r="90" spans="1:33" x14ac:dyDescent="0.25">
      <c r="B90" s="28" t="s">
        <v>587</v>
      </c>
      <c r="C90" s="28">
        <v>1.4761904761904701</v>
      </c>
      <c r="D90" s="28">
        <v>1.49606299212598</v>
      </c>
      <c r="E90" s="28">
        <v>1.36904761904761</v>
      </c>
      <c r="F90" s="28">
        <v>1.5833333333333299</v>
      </c>
      <c r="G90" s="28">
        <v>1.4869565217391301</v>
      </c>
      <c r="H90" s="28">
        <v>1.38043478260869</v>
      </c>
      <c r="I90" s="28">
        <v>1.35227272727272</v>
      </c>
      <c r="J90" s="28">
        <v>1.7380952380952299</v>
      </c>
      <c r="K90" s="28">
        <v>1.5128205128205101</v>
      </c>
      <c r="L90" s="28">
        <v>1.48835713369263</v>
      </c>
      <c r="M90" s="28">
        <v>0.12072612887696201</v>
      </c>
      <c r="P90" s="28">
        <f t="shared" si="3"/>
        <v>0.55080001938745971</v>
      </c>
      <c r="Q90" s="28">
        <f t="shared" si="4"/>
        <v>5.1030807430804008E-2</v>
      </c>
      <c r="R90" s="28">
        <f t="shared" si="5"/>
        <v>0.17295885265119576</v>
      </c>
      <c r="U90" s="28" t="s">
        <v>587</v>
      </c>
      <c r="V90" s="28">
        <v>1.47727272727272</v>
      </c>
      <c r="W90" s="28">
        <v>1.5371900826446201</v>
      </c>
      <c r="X90" s="28">
        <v>1.7792207792207699</v>
      </c>
      <c r="Y90" s="28">
        <v>1.95934959349593</v>
      </c>
      <c r="Z90" s="28">
        <v>1.7307692307692299</v>
      </c>
      <c r="AA90" s="28">
        <v>1.5947712418300599</v>
      </c>
      <c r="AB90" s="28">
        <v>1.5281690140844999</v>
      </c>
      <c r="AC90" s="28">
        <v>1.425</v>
      </c>
      <c r="AD90" s="28">
        <v>1.6</v>
      </c>
      <c r="AE90" s="28">
        <v>1.6235294117646999</v>
      </c>
      <c r="AF90" s="28">
        <v>1.6255272081082499</v>
      </c>
      <c r="AG90" s="28">
        <v>0.158888206360809</v>
      </c>
    </row>
    <row r="91" spans="1:33" x14ac:dyDescent="0.25">
      <c r="B91" s="28" t="s">
        <v>588</v>
      </c>
      <c r="C91" s="28">
        <v>1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2</v>
      </c>
      <c r="K91" s="28">
        <v>1</v>
      </c>
      <c r="L91" s="28">
        <v>1.1111111111111101</v>
      </c>
      <c r="M91" s="28">
        <v>0.33333333333333298</v>
      </c>
      <c r="P91" s="28">
        <f t="shared" si="3"/>
        <v>0.94144472042585281</v>
      </c>
      <c r="Q91" s="28">
        <f t="shared" si="4"/>
        <v>0.1709890308343929</v>
      </c>
      <c r="R91" s="28">
        <f t="shared" si="5"/>
        <v>0.21626854908054893</v>
      </c>
      <c r="U91" s="28" t="s">
        <v>588</v>
      </c>
      <c r="V91" s="28">
        <v>1</v>
      </c>
      <c r="W91" s="28">
        <v>1</v>
      </c>
      <c r="X91" s="28">
        <v>2</v>
      </c>
      <c r="Y91" s="28">
        <v>2</v>
      </c>
      <c r="Z91" s="28">
        <v>2</v>
      </c>
      <c r="AA91" s="28">
        <v>1</v>
      </c>
      <c r="AB91" s="28">
        <v>1</v>
      </c>
      <c r="AC91" s="28">
        <v>1</v>
      </c>
      <c r="AD91" s="28">
        <v>2</v>
      </c>
      <c r="AE91" s="28">
        <v>1</v>
      </c>
      <c r="AF91" s="28">
        <v>1.4</v>
      </c>
      <c r="AG91" s="28">
        <v>0.51639777949432197</v>
      </c>
    </row>
    <row r="92" spans="1:33" x14ac:dyDescent="0.25">
      <c r="B92" s="28" t="s">
        <v>589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P92" s="28" t="e">
        <f t="shared" si="3"/>
        <v>#DIV/0!</v>
      </c>
      <c r="Q92" s="28" t="e">
        <f t="shared" si="4"/>
        <v>#DIV/0!</v>
      </c>
      <c r="R92" s="28" t="e">
        <f t="shared" si="5"/>
        <v>#DIV/0!</v>
      </c>
      <c r="U92" s="28" t="s">
        <v>589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</row>
    <row r="93" spans="1:33" x14ac:dyDescent="0.25">
      <c r="Q93" s="28" t="e">
        <f t="shared" si="4"/>
        <v>#DIV/0!</v>
      </c>
    </row>
    <row r="94" spans="1:33" x14ac:dyDescent="0.25">
      <c r="Q94" s="28" t="e">
        <f t="shared" si="4"/>
        <v>#DIV/0!</v>
      </c>
    </row>
    <row r="95" spans="1:33" x14ac:dyDescent="0.25">
      <c r="A95" s="49" t="s">
        <v>604</v>
      </c>
      <c r="Q95" s="28" t="e">
        <f t="shared" si="4"/>
        <v>#DIV/0!</v>
      </c>
      <c r="T95" s="56" t="s">
        <v>605</v>
      </c>
    </row>
    <row r="96" spans="1:33" x14ac:dyDescent="0.25">
      <c r="B96" s="28" t="s">
        <v>558</v>
      </c>
      <c r="C96" s="28" t="s">
        <v>347</v>
      </c>
      <c r="D96" s="28" t="s">
        <v>397</v>
      </c>
      <c r="E96" s="28" t="s">
        <v>357</v>
      </c>
      <c r="F96" s="28" t="s">
        <v>407</v>
      </c>
      <c r="G96" s="28" t="s">
        <v>367</v>
      </c>
      <c r="H96" s="28" t="s">
        <v>417</v>
      </c>
      <c r="I96" s="28" t="s">
        <v>377</v>
      </c>
      <c r="J96" s="28" t="s">
        <v>427</v>
      </c>
      <c r="K96" s="28" t="s">
        <v>387</v>
      </c>
      <c r="L96" s="28" t="s">
        <v>437</v>
      </c>
      <c r="M96" s="28" t="s">
        <v>559</v>
      </c>
      <c r="N96" s="28" t="s">
        <v>560</v>
      </c>
      <c r="Q96" s="28" t="e">
        <f t="shared" si="4"/>
        <v>#DIV/0!</v>
      </c>
      <c r="U96" s="28" t="s">
        <v>558</v>
      </c>
      <c r="V96" s="28" t="s">
        <v>245</v>
      </c>
      <c r="W96" s="28" t="s">
        <v>296</v>
      </c>
      <c r="X96" s="28" t="s">
        <v>255</v>
      </c>
      <c r="Y96" s="28" t="s">
        <v>307</v>
      </c>
      <c r="Z96" s="28" t="s">
        <v>265</v>
      </c>
      <c r="AA96" s="28" t="s">
        <v>317</v>
      </c>
      <c r="AB96" s="28" t="s">
        <v>275</v>
      </c>
      <c r="AC96" s="28" t="s">
        <v>327</v>
      </c>
      <c r="AD96" s="28" t="s">
        <v>286</v>
      </c>
      <c r="AE96" s="28" t="s">
        <v>337</v>
      </c>
      <c r="AF96" s="28" t="s">
        <v>559</v>
      </c>
      <c r="AG96" s="28" t="s">
        <v>560</v>
      </c>
    </row>
    <row r="97" spans="2:33" x14ac:dyDescent="0.25">
      <c r="B97" s="28" t="s">
        <v>563</v>
      </c>
      <c r="C97" s="28">
        <v>75</v>
      </c>
      <c r="D97" s="28">
        <v>58</v>
      </c>
      <c r="E97" s="28">
        <v>68</v>
      </c>
      <c r="F97" s="28">
        <v>58</v>
      </c>
      <c r="G97" s="28">
        <v>55</v>
      </c>
      <c r="H97" s="28">
        <v>63</v>
      </c>
      <c r="I97" s="28">
        <v>84</v>
      </c>
      <c r="J97" s="28">
        <v>88</v>
      </c>
      <c r="K97" s="28">
        <v>80</v>
      </c>
      <c r="L97" s="28">
        <v>77</v>
      </c>
      <c r="M97" s="28">
        <v>70.599999999999994</v>
      </c>
      <c r="N97" s="28">
        <v>11.8152443901935</v>
      </c>
      <c r="Q97" s="28">
        <f t="shared" si="4"/>
        <v>0.77849029305035589</v>
      </c>
      <c r="U97" s="28" t="s">
        <v>563</v>
      </c>
      <c r="V97" s="28">
        <v>86</v>
      </c>
      <c r="W97" s="28">
        <v>109</v>
      </c>
      <c r="X97" s="28">
        <v>43</v>
      </c>
      <c r="Y97" s="28">
        <v>75</v>
      </c>
      <c r="Z97" s="28">
        <v>40</v>
      </c>
      <c r="AA97" s="28">
        <v>48</v>
      </c>
      <c r="AB97" s="28">
        <v>51</v>
      </c>
      <c r="AC97" s="28">
        <v>70</v>
      </c>
      <c r="AD97" s="28">
        <v>114</v>
      </c>
      <c r="AE97" s="28">
        <v>91</v>
      </c>
      <c r="AF97" s="28">
        <v>72.7</v>
      </c>
      <c r="AG97" s="28">
        <v>27.039271850814</v>
      </c>
    </row>
    <row r="98" spans="2:33" x14ac:dyDescent="0.25">
      <c r="B98" s="28" t="s">
        <v>564</v>
      </c>
      <c r="C98" s="28">
        <v>51</v>
      </c>
      <c r="D98" s="28">
        <v>36</v>
      </c>
      <c r="E98" s="28">
        <v>42</v>
      </c>
      <c r="F98" s="28">
        <v>20</v>
      </c>
      <c r="G98" s="28">
        <v>38</v>
      </c>
      <c r="H98" s="28">
        <v>35</v>
      </c>
      <c r="I98" s="28">
        <v>57</v>
      </c>
      <c r="J98" s="28">
        <v>54</v>
      </c>
      <c r="K98" s="28">
        <v>54</v>
      </c>
      <c r="L98" s="28">
        <v>50</v>
      </c>
      <c r="M98" s="28">
        <v>43.7</v>
      </c>
      <c r="N98" s="28">
        <v>11.614645926587601</v>
      </c>
      <c r="Q98" s="28">
        <f t="shared" si="4"/>
        <v>0.60547670296025569</v>
      </c>
      <c r="U98" s="28" t="s">
        <v>564</v>
      </c>
      <c r="V98" s="28">
        <v>53</v>
      </c>
      <c r="W98" s="28">
        <v>76</v>
      </c>
      <c r="X98" s="28">
        <v>19</v>
      </c>
      <c r="Y98" s="28">
        <v>38</v>
      </c>
      <c r="Z98" s="28">
        <v>19</v>
      </c>
      <c r="AA98" s="28">
        <v>20</v>
      </c>
      <c r="AB98" s="28">
        <v>26</v>
      </c>
      <c r="AC98" s="28">
        <v>25</v>
      </c>
      <c r="AD98" s="28">
        <v>54</v>
      </c>
      <c r="AE98" s="28">
        <v>59</v>
      </c>
      <c r="AF98" s="28">
        <v>38.9</v>
      </c>
      <c r="AG98" s="28">
        <v>20.3221280600455</v>
      </c>
    </row>
    <row r="99" spans="2:33" x14ac:dyDescent="0.25">
      <c r="B99" s="28" t="s">
        <v>565</v>
      </c>
      <c r="C99" s="28">
        <v>24</v>
      </c>
      <c r="D99" s="28">
        <v>22</v>
      </c>
      <c r="E99" s="28">
        <v>26</v>
      </c>
      <c r="F99" s="28">
        <v>38</v>
      </c>
      <c r="G99" s="28">
        <v>17</v>
      </c>
      <c r="H99" s="28">
        <v>28</v>
      </c>
      <c r="I99" s="28">
        <v>27</v>
      </c>
      <c r="J99" s="28">
        <v>34</v>
      </c>
      <c r="K99" s="28">
        <v>26</v>
      </c>
      <c r="L99" s="28">
        <v>27</v>
      </c>
      <c r="M99" s="28">
        <v>26.9</v>
      </c>
      <c r="N99" s="28">
        <v>5.83952052826257</v>
      </c>
      <c r="Q99" s="28">
        <f t="shared" si="4"/>
        <v>0.12826106035692192</v>
      </c>
      <c r="U99" s="28" t="s">
        <v>565</v>
      </c>
      <c r="V99" s="28">
        <v>33</v>
      </c>
      <c r="W99" s="28">
        <v>33</v>
      </c>
      <c r="X99" s="28">
        <v>24</v>
      </c>
      <c r="Y99" s="28">
        <v>37</v>
      </c>
      <c r="Z99" s="28">
        <v>21</v>
      </c>
      <c r="AA99" s="28">
        <v>28</v>
      </c>
      <c r="AB99" s="28">
        <v>25</v>
      </c>
      <c r="AC99" s="28">
        <v>45</v>
      </c>
      <c r="AD99" s="28">
        <v>60</v>
      </c>
      <c r="AE99" s="28">
        <v>32</v>
      </c>
      <c r="AF99" s="28">
        <v>33.799999999999997</v>
      </c>
      <c r="AG99" s="28">
        <v>11.5354525991253</v>
      </c>
    </row>
    <row r="100" spans="2:33" x14ac:dyDescent="0.25">
      <c r="B100" s="28" t="s">
        <v>566</v>
      </c>
      <c r="C100" s="28">
        <v>3.5992321638050502</v>
      </c>
      <c r="D100" s="28">
        <v>2.6246323252130601</v>
      </c>
      <c r="E100" s="28">
        <v>3.1416837782340798</v>
      </c>
      <c r="F100" s="28">
        <v>2.6265472476602598</v>
      </c>
      <c r="G100" s="28">
        <v>2.4498583288996598</v>
      </c>
      <c r="H100" s="28">
        <v>2.8337248238292698</v>
      </c>
      <c r="I100" s="28">
        <v>3.71070262841436</v>
      </c>
      <c r="J100" s="28">
        <v>3.9772513276336099</v>
      </c>
      <c r="K100" s="28">
        <v>3.7702750468011499</v>
      </c>
      <c r="L100" s="28">
        <v>3.4825433119338598</v>
      </c>
      <c r="M100" s="28">
        <v>3.2216450982424401</v>
      </c>
      <c r="N100" s="28">
        <v>0.55626224874546704</v>
      </c>
      <c r="Q100" s="28">
        <f t="shared" si="4"/>
        <v>0.92093579358110622</v>
      </c>
      <c r="U100" s="28" t="s">
        <v>566</v>
      </c>
      <c r="V100" s="28">
        <v>3.8181683644525499</v>
      </c>
      <c r="W100" s="28">
        <v>4.8750792014013902</v>
      </c>
      <c r="X100" s="28">
        <v>1.8919579564898501</v>
      </c>
      <c r="Y100" s="28">
        <v>3.32803313241874</v>
      </c>
      <c r="Z100" s="28">
        <v>1.84329437667208</v>
      </c>
      <c r="AA100" s="28">
        <v>2.14783786807204</v>
      </c>
      <c r="AB100" s="28">
        <v>2.2473835608054298</v>
      </c>
      <c r="AC100" s="28">
        <v>3.1197385361988701</v>
      </c>
      <c r="AD100" s="28">
        <v>5.0255932992089303</v>
      </c>
      <c r="AE100" s="28">
        <v>4.0723981900452397</v>
      </c>
      <c r="AF100" s="28">
        <v>3.2369484485765101</v>
      </c>
      <c r="AG100" s="28">
        <v>1.19523228002767</v>
      </c>
    </row>
    <row r="101" spans="2:33" x14ac:dyDescent="0.25">
      <c r="B101" s="28" t="s">
        <v>567</v>
      </c>
      <c r="C101" s="28">
        <v>4.57524483540581</v>
      </c>
      <c r="D101" s="28">
        <v>2.8587184294695001</v>
      </c>
      <c r="E101" s="28">
        <v>3.5899140509995702</v>
      </c>
      <c r="F101" s="28">
        <v>1.73039486649522</v>
      </c>
      <c r="G101" s="28">
        <v>3.0950226244343799</v>
      </c>
      <c r="H101" s="28">
        <v>2.93473703824474</v>
      </c>
      <c r="I101" s="28">
        <v>4.5503936134826404</v>
      </c>
      <c r="J101" s="28">
        <v>4.6902142443543697</v>
      </c>
      <c r="K101" s="28">
        <v>4.7765301358755696</v>
      </c>
      <c r="L101" s="28">
        <v>4.2846941204475097</v>
      </c>
      <c r="M101" s="28">
        <v>3.7085863959209302</v>
      </c>
      <c r="N101" s="28">
        <v>1.02851765825356</v>
      </c>
      <c r="Q101" s="28">
        <f t="shared" si="4"/>
        <v>0.6592990562489689</v>
      </c>
      <c r="U101" s="28" t="s">
        <v>567</v>
      </c>
      <c r="V101" s="28">
        <v>4.4285581654442403</v>
      </c>
      <c r="W101" s="28">
        <v>6.6865438193460003</v>
      </c>
      <c r="X101" s="28">
        <v>1.68050710038818</v>
      </c>
      <c r="Y101" s="28">
        <v>3.3530233584156401</v>
      </c>
      <c r="Z101" s="28">
        <v>1.6607988345271301</v>
      </c>
      <c r="AA101" s="28">
        <v>1.7263703064307201</v>
      </c>
      <c r="AB101" s="28">
        <v>2.3039999999999998</v>
      </c>
      <c r="AC101" s="28">
        <v>2.1441334127456799</v>
      </c>
      <c r="AD101" s="28">
        <v>4.3814374901395103</v>
      </c>
      <c r="AE101" s="28">
        <v>5.0681237920255704</v>
      </c>
      <c r="AF101" s="28">
        <v>3.34334962794627</v>
      </c>
      <c r="AG101" s="28">
        <v>1.73641401326121</v>
      </c>
    </row>
    <row r="102" spans="2:33" x14ac:dyDescent="0.25">
      <c r="B102" s="28" t="s">
        <v>568</v>
      </c>
      <c r="C102" s="28">
        <v>2.4765672026829399</v>
      </c>
      <c r="D102" s="28">
        <v>2.3145036383295801</v>
      </c>
      <c r="E102" s="28">
        <v>2.6143790849673199</v>
      </c>
      <c r="F102" s="28">
        <v>3.6107371921767299</v>
      </c>
      <c r="G102" s="28">
        <v>1.6711722782010301</v>
      </c>
      <c r="H102" s="28">
        <v>2.71683467198533</v>
      </c>
      <c r="I102" s="28">
        <v>2.6704030330503499</v>
      </c>
      <c r="J102" s="28">
        <v>3.2037691401648898</v>
      </c>
      <c r="K102" s="28">
        <v>2.6227303295225202</v>
      </c>
      <c r="L102" s="28">
        <v>2.5860004788889701</v>
      </c>
      <c r="M102" s="28">
        <v>2.6487097049969699</v>
      </c>
      <c r="N102" s="28">
        <v>0.51005354812730896</v>
      </c>
      <c r="Q102" s="28">
        <f t="shared" si="4"/>
        <v>0.26787422172736253</v>
      </c>
      <c r="U102" s="28" t="s">
        <v>568</v>
      </c>
      <c r="V102" s="28">
        <v>3.1261512551970898</v>
      </c>
      <c r="W102" s="28">
        <v>3.0020468501250801</v>
      </c>
      <c r="X102" s="28">
        <v>2.1012695169998499</v>
      </c>
      <c r="Y102" s="28">
        <v>3.3027522935779801</v>
      </c>
      <c r="Z102" s="28">
        <v>2.0467836257309902</v>
      </c>
      <c r="AA102" s="28">
        <v>2.6014917283918702</v>
      </c>
      <c r="AB102" s="28">
        <v>2.1913805697589401</v>
      </c>
      <c r="AC102" s="28">
        <v>4.1751501249967697</v>
      </c>
      <c r="AD102" s="28">
        <v>5.7919716836939896</v>
      </c>
      <c r="AE102" s="28">
        <v>2.9894900739587298</v>
      </c>
      <c r="AF102" s="28">
        <v>3.13284877224313</v>
      </c>
      <c r="AG102" s="28">
        <v>1.13706716489352</v>
      </c>
    </row>
    <row r="103" spans="2:33" x14ac:dyDescent="0.25">
      <c r="B103" s="28" t="s">
        <v>569</v>
      </c>
      <c r="C103" s="28">
        <v>41</v>
      </c>
      <c r="D103" s="28">
        <v>38</v>
      </c>
      <c r="E103" s="28">
        <v>45</v>
      </c>
      <c r="F103" s="28">
        <v>33</v>
      </c>
      <c r="G103" s="28">
        <v>36</v>
      </c>
      <c r="H103" s="28">
        <v>46</v>
      </c>
      <c r="I103" s="28">
        <v>42</v>
      </c>
      <c r="J103" s="28">
        <v>66</v>
      </c>
      <c r="K103" s="28">
        <v>55</v>
      </c>
      <c r="L103" s="28">
        <v>50</v>
      </c>
      <c r="M103" s="28">
        <v>45.2</v>
      </c>
      <c r="N103" s="28">
        <v>9.8070269591644195</v>
      </c>
      <c r="Q103" s="28">
        <f t="shared" si="4"/>
        <v>0.81101409361063492</v>
      </c>
      <c r="U103" s="28" t="s">
        <v>569</v>
      </c>
      <c r="V103" s="28">
        <v>57</v>
      </c>
      <c r="W103" s="28">
        <v>61</v>
      </c>
      <c r="X103" s="28">
        <v>24</v>
      </c>
      <c r="Y103" s="28">
        <v>51</v>
      </c>
      <c r="Z103" s="28">
        <v>34</v>
      </c>
      <c r="AA103" s="28">
        <v>33</v>
      </c>
      <c r="AB103" s="28">
        <v>35</v>
      </c>
      <c r="AC103" s="28">
        <v>38</v>
      </c>
      <c r="AD103" s="28">
        <v>54</v>
      </c>
      <c r="AE103" s="28">
        <v>47</v>
      </c>
      <c r="AF103" s="28">
        <v>43.4</v>
      </c>
      <c r="AG103" s="28">
        <v>12.2492630163795</v>
      </c>
    </row>
    <row r="104" spans="2:33" x14ac:dyDescent="0.25">
      <c r="B104" s="28" t="s">
        <v>570</v>
      </c>
      <c r="C104" s="28">
        <v>23</v>
      </c>
      <c r="D104" s="28">
        <v>23</v>
      </c>
      <c r="E104" s="28">
        <v>27</v>
      </c>
      <c r="F104" s="28">
        <v>17</v>
      </c>
      <c r="G104" s="28">
        <v>24</v>
      </c>
      <c r="H104" s="28">
        <v>24</v>
      </c>
      <c r="I104" s="28">
        <v>26</v>
      </c>
      <c r="J104" s="28">
        <v>42</v>
      </c>
      <c r="K104" s="28">
        <v>38</v>
      </c>
      <c r="L104" s="28">
        <v>32</v>
      </c>
      <c r="M104" s="28">
        <v>27.6</v>
      </c>
      <c r="N104" s="28">
        <v>7.5894663844041101</v>
      </c>
      <c r="Q104" s="28">
        <f t="shared" si="4"/>
        <v>0.28523211044919805</v>
      </c>
      <c r="U104" s="28" t="s">
        <v>570</v>
      </c>
      <c r="V104" s="28">
        <v>31</v>
      </c>
      <c r="W104" s="28">
        <v>40</v>
      </c>
      <c r="X104" s="28">
        <v>9</v>
      </c>
      <c r="Y104" s="28">
        <v>26</v>
      </c>
      <c r="Z104" s="28">
        <v>17</v>
      </c>
      <c r="AA104" s="28">
        <v>19</v>
      </c>
      <c r="AB104" s="28">
        <v>17</v>
      </c>
      <c r="AC104" s="28">
        <v>14</v>
      </c>
      <c r="AD104" s="28">
        <v>23</v>
      </c>
      <c r="AE104" s="28">
        <v>31</v>
      </c>
      <c r="AF104" s="28">
        <v>22.7</v>
      </c>
      <c r="AG104" s="28">
        <v>9.3695725029954708</v>
      </c>
    </row>
    <row r="105" spans="2:33" x14ac:dyDescent="0.25">
      <c r="B105" s="28" t="s">
        <v>571</v>
      </c>
      <c r="C105" s="28">
        <v>18</v>
      </c>
      <c r="D105" s="28">
        <v>15</v>
      </c>
      <c r="E105" s="28">
        <v>18</v>
      </c>
      <c r="F105" s="28">
        <v>16</v>
      </c>
      <c r="G105" s="28">
        <v>12</v>
      </c>
      <c r="H105" s="28">
        <v>22</v>
      </c>
      <c r="I105" s="28">
        <v>16</v>
      </c>
      <c r="J105" s="28">
        <v>24</v>
      </c>
      <c r="K105" s="28">
        <v>17</v>
      </c>
      <c r="L105" s="28">
        <v>18</v>
      </c>
      <c r="M105" s="28">
        <v>17.600000000000001</v>
      </c>
      <c r="N105" s="28">
        <v>3.40587727318528</v>
      </c>
      <c r="Q105" s="28">
        <f t="shared" si="4"/>
        <v>0.12468155055270617</v>
      </c>
      <c r="U105" s="28" t="s">
        <v>571</v>
      </c>
      <c r="V105" s="28">
        <v>26</v>
      </c>
      <c r="W105" s="28">
        <v>22</v>
      </c>
      <c r="X105" s="28">
        <v>15</v>
      </c>
      <c r="Y105" s="28">
        <v>25</v>
      </c>
      <c r="Z105" s="28">
        <v>17</v>
      </c>
      <c r="AA105" s="28">
        <v>16</v>
      </c>
      <c r="AB105" s="28">
        <v>18</v>
      </c>
      <c r="AC105" s="28">
        <v>24</v>
      </c>
      <c r="AD105" s="28">
        <v>31</v>
      </c>
      <c r="AE105" s="28">
        <v>16</v>
      </c>
      <c r="AF105" s="28">
        <v>21</v>
      </c>
      <c r="AG105" s="28">
        <v>5.3954713520795403</v>
      </c>
    </row>
    <row r="106" spans="2:33" x14ac:dyDescent="0.25">
      <c r="B106" s="28" t="s">
        <v>572</v>
      </c>
      <c r="C106" s="28">
        <v>1.8048780487804801</v>
      </c>
      <c r="D106" s="28">
        <v>1.5</v>
      </c>
      <c r="E106" s="28">
        <v>1.48888888888888</v>
      </c>
      <c r="F106" s="28">
        <v>1.72727272727272</v>
      </c>
      <c r="G106" s="28">
        <v>1.5</v>
      </c>
      <c r="H106" s="28">
        <v>1.34782608695652</v>
      </c>
      <c r="I106" s="28">
        <v>1.9761904761904701</v>
      </c>
      <c r="J106" s="28">
        <v>1.3181818181818099</v>
      </c>
      <c r="K106" s="28">
        <v>1.4363636363636301</v>
      </c>
      <c r="L106" s="28">
        <v>1.52</v>
      </c>
      <c r="M106" s="28">
        <v>1.5619601682634501</v>
      </c>
      <c r="N106" s="28">
        <v>0.20916714658907801</v>
      </c>
      <c r="Q106" s="28">
        <f t="shared" si="4"/>
        <v>0.60657643353749346</v>
      </c>
      <c r="U106" s="28" t="s">
        <v>572</v>
      </c>
      <c r="V106" s="28">
        <v>1.4912280701754299</v>
      </c>
      <c r="W106" s="28">
        <v>1.7704918032786801</v>
      </c>
      <c r="X106" s="28">
        <v>1.75</v>
      </c>
      <c r="Y106" s="28">
        <v>1.45098039215686</v>
      </c>
      <c r="Z106" s="28">
        <v>1.1470588235294099</v>
      </c>
      <c r="AA106" s="28">
        <v>1.4242424242424201</v>
      </c>
      <c r="AB106" s="28">
        <v>1.4285714285714199</v>
      </c>
      <c r="AC106" s="28">
        <v>1.81578947368421</v>
      </c>
      <c r="AD106" s="28">
        <v>2.0925925925925899</v>
      </c>
      <c r="AE106" s="28">
        <v>1.91489361702127</v>
      </c>
      <c r="AF106" s="28">
        <v>1.6285848625252299</v>
      </c>
      <c r="AG106" s="28">
        <v>0.285041795516291</v>
      </c>
    </row>
    <row r="107" spans="2:33" x14ac:dyDescent="0.25">
      <c r="B107" s="28" t="s">
        <v>573</v>
      </c>
      <c r="C107" s="28">
        <v>2.2173913043478199</v>
      </c>
      <c r="D107" s="28">
        <v>1.5652173913043399</v>
      </c>
      <c r="E107" s="28">
        <v>1.55555555555555</v>
      </c>
      <c r="F107" s="28">
        <v>1.1764705882352899</v>
      </c>
      <c r="G107" s="28">
        <v>1.5833333333333299</v>
      </c>
      <c r="H107" s="28">
        <v>1.4583333333333299</v>
      </c>
      <c r="I107" s="28">
        <v>2.1923076923076898</v>
      </c>
      <c r="J107" s="28">
        <v>1.28571428571428</v>
      </c>
      <c r="K107" s="28">
        <v>1.42105263157894</v>
      </c>
      <c r="L107" s="28">
        <v>1.5625</v>
      </c>
      <c r="M107" s="28">
        <v>1.6017876115710601</v>
      </c>
      <c r="N107" s="28">
        <v>0.34433219001591597</v>
      </c>
      <c r="Q107" s="28">
        <f t="shared" si="4"/>
        <v>0.61373821894760683</v>
      </c>
      <c r="U107" s="28" t="s">
        <v>573</v>
      </c>
      <c r="V107" s="28">
        <v>1.7096774193548301</v>
      </c>
      <c r="W107" s="28">
        <v>1.9</v>
      </c>
      <c r="X107" s="28">
        <v>2.1111111111111098</v>
      </c>
      <c r="Y107" s="28">
        <v>1.4615384615384599</v>
      </c>
      <c r="Z107" s="28">
        <v>1.1176470588235199</v>
      </c>
      <c r="AA107" s="28">
        <v>1.1052631578947301</v>
      </c>
      <c r="AB107" s="28">
        <v>1.52941176470588</v>
      </c>
      <c r="AC107" s="28">
        <v>1.78571428571428</v>
      </c>
      <c r="AD107" s="28">
        <v>2.3478260869565202</v>
      </c>
      <c r="AE107" s="28">
        <v>1.9032258064516101</v>
      </c>
      <c r="AF107" s="28">
        <v>1.6971415152550899</v>
      </c>
      <c r="AG107" s="28">
        <v>0.40223841820206002</v>
      </c>
    </row>
    <row r="108" spans="2:33" x14ac:dyDescent="0.25">
      <c r="B108" s="28" t="s">
        <v>574</v>
      </c>
      <c r="C108" s="28">
        <v>1.2777777777777699</v>
      </c>
      <c r="D108" s="28">
        <v>1.4</v>
      </c>
      <c r="E108" s="28">
        <v>1.38888888888888</v>
      </c>
      <c r="F108" s="28">
        <v>2.3125</v>
      </c>
      <c r="G108" s="28">
        <v>1.3333333333333299</v>
      </c>
      <c r="H108" s="28">
        <v>1.22727272727272</v>
      </c>
      <c r="I108" s="28">
        <v>1.625</v>
      </c>
      <c r="J108" s="28">
        <v>1.375</v>
      </c>
      <c r="K108" s="28">
        <v>1.47058823529411</v>
      </c>
      <c r="L108" s="28">
        <v>1.44444444444444</v>
      </c>
      <c r="M108" s="28">
        <v>1.48548054070112</v>
      </c>
      <c r="N108" s="28">
        <v>0.31040044258302601</v>
      </c>
      <c r="Q108" s="28">
        <f t="shared" si="4"/>
        <v>0.60323288470180114</v>
      </c>
      <c r="U108" s="28" t="s">
        <v>574</v>
      </c>
      <c r="V108" s="28">
        <v>1.2307692307692299</v>
      </c>
      <c r="W108" s="28">
        <v>1.5</v>
      </c>
      <c r="X108" s="28">
        <v>1.5333333333333301</v>
      </c>
      <c r="Y108" s="28">
        <v>1.44</v>
      </c>
      <c r="Z108" s="28">
        <v>1.1764705882352899</v>
      </c>
      <c r="AA108" s="28">
        <v>1.75</v>
      </c>
      <c r="AB108" s="28">
        <v>1.3333333333333299</v>
      </c>
      <c r="AC108" s="28">
        <v>1.8333333333333299</v>
      </c>
      <c r="AD108" s="28">
        <v>1.9032258064516101</v>
      </c>
      <c r="AE108" s="28">
        <v>1.9375</v>
      </c>
      <c r="AF108" s="28">
        <v>1.5637965625456101</v>
      </c>
      <c r="AG108" s="28">
        <v>0.278199323914746</v>
      </c>
    </row>
    <row r="109" spans="2:33" x14ac:dyDescent="0.25">
      <c r="B109" s="28" t="s">
        <v>575</v>
      </c>
      <c r="C109" s="28">
        <v>100</v>
      </c>
      <c r="D109" s="28">
        <v>100</v>
      </c>
      <c r="E109" s="28">
        <v>100</v>
      </c>
      <c r="F109" s="28">
        <v>100</v>
      </c>
      <c r="G109" s="28">
        <v>100</v>
      </c>
      <c r="H109" s="28">
        <v>100</v>
      </c>
      <c r="I109" s="28">
        <v>100</v>
      </c>
      <c r="J109" s="28">
        <v>100</v>
      </c>
      <c r="K109" s="28">
        <v>100</v>
      </c>
      <c r="L109" s="28">
        <v>100</v>
      </c>
      <c r="M109" s="28">
        <v>100</v>
      </c>
      <c r="N109" s="28">
        <v>0</v>
      </c>
      <c r="Q109" s="28" t="e">
        <f t="shared" si="4"/>
        <v>#DIV/0!</v>
      </c>
      <c r="U109" s="28" t="s">
        <v>575</v>
      </c>
      <c r="V109" s="28">
        <v>100</v>
      </c>
      <c r="W109" s="28">
        <v>100</v>
      </c>
      <c r="X109" s="28">
        <v>100</v>
      </c>
      <c r="Y109" s="28">
        <v>100</v>
      </c>
      <c r="Z109" s="28">
        <v>100</v>
      </c>
      <c r="AA109" s="28">
        <v>100</v>
      </c>
      <c r="AB109" s="28">
        <v>100</v>
      </c>
      <c r="AC109" s="28">
        <v>100</v>
      </c>
      <c r="AD109" s="28">
        <v>100</v>
      </c>
      <c r="AE109" s="28">
        <v>100</v>
      </c>
      <c r="AF109" s="28">
        <v>100</v>
      </c>
      <c r="AG109" s="28">
        <v>0</v>
      </c>
    </row>
    <row r="110" spans="2:33" x14ac:dyDescent="0.25">
      <c r="B110" s="28" t="s">
        <v>576</v>
      </c>
      <c r="C110" s="28">
        <v>100</v>
      </c>
      <c r="D110" s="28">
        <v>100</v>
      </c>
      <c r="E110" s="28">
        <v>100</v>
      </c>
      <c r="F110" s="28">
        <v>100</v>
      </c>
      <c r="G110" s="28">
        <v>100</v>
      </c>
      <c r="H110" s="28">
        <v>100</v>
      </c>
      <c r="I110" s="28">
        <v>100</v>
      </c>
      <c r="J110" s="28">
        <v>100</v>
      </c>
      <c r="K110" s="28">
        <v>100</v>
      </c>
      <c r="L110" s="28">
        <v>100</v>
      </c>
      <c r="M110" s="28">
        <v>100</v>
      </c>
      <c r="N110" s="28">
        <v>0</v>
      </c>
      <c r="Q110" s="28" t="e">
        <f t="shared" si="4"/>
        <v>#DIV/0!</v>
      </c>
      <c r="U110" s="28" t="s">
        <v>576</v>
      </c>
      <c r="V110" s="28">
        <v>100</v>
      </c>
      <c r="W110" s="28">
        <v>100</v>
      </c>
      <c r="X110" s="28">
        <v>100</v>
      </c>
      <c r="Y110" s="28">
        <v>100</v>
      </c>
      <c r="Z110" s="28">
        <v>100</v>
      </c>
      <c r="AA110" s="28">
        <v>100</v>
      </c>
      <c r="AB110" s="28">
        <v>100</v>
      </c>
      <c r="AC110" s="28">
        <v>100</v>
      </c>
      <c r="AD110" s="28">
        <v>100</v>
      </c>
      <c r="AE110" s="28">
        <v>100</v>
      </c>
      <c r="AF110" s="28">
        <v>100</v>
      </c>
      <c r="AG110" s="28">
        <v>0</v>
      </c>
    </row>
    <row r="111" spans="2:33" x14ac:dyDescent="0.25">
      <c r="B111" s="28" t="s">
        <v>577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100</v>
      </c>
      <c r="N111" s="28">
        <v>0</v>
      </c>
      <c r="Q111" s="28" t="e">
        <f t="shared" si="4"/>
        <v>#DIV/0!</v>
      </c>
      <c r="U111" s="28" t="s">
        <v>577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100</v>
      </c>
      <c r="AF111" s="28">
        <v>100</v>
      </c>
      <c r="AG111" s="28">
        <v>0</v>
      </c>
    </row>
    <row r="112" spans="2:33" x14ac:dyDescent="0.25">
      <c r="B112" s="28" t="s">
        <v>578</v>
      </c>
      <c r="C112" s="28">
        <v>205</v>
      </c>
      <c r="D112" s="28">
        <v>111</v>
      </c>
      <c r="E112" s="28">
        <v>154</v>
      </c>
      <c r="F112" s="28">
        <v>159</v>
      </c>
      <c r="G112" s="28">
        <v>114</v>
      </c>
      <c r="H112" s="28">
        <v>123</v>
      </c>
      <c r="I112" s="28">
        <v>172</v>
      </c>
      <c r="J112" s="28">
        <v>195</v>
      </c>
      <c r="K112" s="28">
        <v>155</v>
      </c>
      <c r="L112" s="28">
        <v>138</v>
      </c>
      <c r="M112" s="28">
        <v>152.6</v>
      </c>
      <c r="N112" s="28">
        <v>32.1081505747891</v>
      </c>
      <c r="Q112" s="28">
        <f t="shared" si="4"/>
        <v>0.40946138073223015</v>
      </c>
      <c r="U112" s="28" t="s">
        <v>578</v>
      </c>
      <c r="V112" s="28">
        <v>195</v>
      </c>
      <c r="W112" s="28">
        <v>195</v>
      </c>
      <c r="X112" s="28">
        <v>74</v>
      </c>
      <c r="Y112" s="28">
        <v>138</v>
      </c>
      <c r="Z112" s="28">
        <v>120</v>
      </c>
      <c r="AA112" s="28">
        <v>120</v>
      </c>
      <c r="AB112" s="28">
        <v>101</v>
      </c>
      <c r="AC112" s="28">
        <v>136</v>
      </c>
      <c r="AD112" s="28">
        <v>152</v>
      </c>
      <c r="AE112" s="28">
        <v>169</v>
      </c>
      <c r="AF112" s="28">
        <v>140</v>
      </c>
      <c r="AG112" s="28">
        <v>39.061205534107302</v>
      </c>
    </row>
    <row r="113" spans="2:33" x14ac:dyDescent="0.25">
      <c r="B113" s="28" t="s">
        <v>579</v>
      </c>
      <c r="C113" s="28">
        <v>102</v>
      </c>
      <c r="D113" s="28">
        <v>64</v>
      </c>
      <c r="E113" s="28">
        <v>59</v>
      </c>
      <c r="F113" s="28">
        <v>46</v>
      </c>
      <c r="G113" s="28">
        <v>77</v>
      </c>
      <c r="H113" s="28">
        <v>62</v>
      </c>
      <c r="I113" s="28">
        <v>84</v>
      </c>
      <c r="J113" s="28">
        <v>95</v>
      </c>
      <c r="K113" s="28">
        <v>91</v>
      </c>
      <c r="L113" s="28">
        <v>67</v>
      </c>
      <c r="M113" s="28">
        <v>74.7</v>
      </c>
      <c r="N113" s="28">
        <v>18.012649876005302</v>
      </c>
      <c r="Q113" s="28">
        <f t="shared" si="4"/>
        <v>0.44539800309441202</v>
      </c>
      <c r="U113" s="28" t="s">
        <v>579</v>
      </c>
      <c r="V113" s="28">
        <v>101</v>
      </c>
      <c r="W113" s="28">
        <v>112</v>
      </c>
      <c r="X113" s="28">
        <v>22</v>
      </c>
      <c r="Y113" s="28">
        <v>56</v>
      </c>
      <c r="Z113" s="28">
        <v>65</v>
      </c>
      <c r="AA113" s="28">
        <v>52</v>
      </c>
      <c r="AB113" s="28">
        <v>49</v>
      </c>
      <c r="AC113" s="28">
        <v>46</v>
      </c>
      <c r="AD113" s="28">
        <v>63</v>
      </c>
      <c r="AE113" s="28">
        <v>101</v>
      </c>
      <c r="AF113" s="28">
        <v>66.7</v>
      </c>
      <c r="AG113" s="28">
        <v>28.852305896679301</v>
      </c>
    </row>
    <row r="114" spans="2:33" x14ac:dyDescent="0.25">
      <c r="B114" s="28" t="s">
        <v>580</v>
      </c>
      <c r="C114" s="28">
        <v>102</v>
      </c>
      <c r="D114" s="28">
        <v>46</v>
      </c>
      <c r="E114" s="28">
        <v>94</v>
      </c>
      <c r="F114" s="28">
        <v>112</v>
      </c>
      <c r="G114" s="28">
        <v>36</v>
      </c>
      <c r="H114" s="28">
        <v>60</v>
      </c>
      <c r="I114" s="28">
        <v>87</v>
      </c>
      <c r="J114" s="28">
        <v>99</v>
      </c>
      <c r="K114" s="28">
        <v>63</v>
      </c>
      <c r="L114" s="28">
        <v>70</v>
      </c>
      <c r="M114" s="28">
        <v>76.900000000000006</v>
      </c>
      <c r="N114" s="28">
        <v>25.601432251601299</v>
      </c>
      <c r="Q114" s="28">
        <f t="shared" si="4"/>
        <v>0.60321880002770856</v>
      </c>
      <c r="U114" s="28" t="s">
        <v>580</v>
      </c>
      <c r="V114" s="28">
        <v>93</v>
      </c>
      <c r="W114" s="28">
        <v>82</v>
      </c>
      <c r="X114" s="28">
        <v>51</v>
      </c>
      <c r="Y114" s="28">
        <v>81</v>
      </c>
      <c r="Z114" s="28">
        <v>54</v>
      </c>
      <c r="AA114" s="28">
        <v>67</v>
      </c>
      <c r="AB114" s="28">
        <v>51</v>
      </c>
      <c r="AC114" s="28">
        <v>89</v>
      </c>
      <c r="AD114" s="28">
        <v>88</v>
      </c>
      <c r="AE114" s="28">
        <v>67</v>
      </c>
      <c r="AF114" s="28">
        <v>72.3</v>
      </c>
      <c r="AG114" s="28">
        <v>16.404945053922599</v>
      </c>
    </row>
    <row r="115" spans="2:33" x14ac:dyDescent="0.25">
      <c r="B115" s="28" t="s">
        <v>581</v>
      </c>
      <c r="C115" s="28">
        <v>5.1219512195121901E-3</v>
      </c>
      <c r="D115" s="28">
        <v>6.4864864864864801E-3</v>
      </c>
      <c r="E115" s="28">
        <v>5.7142857142857099E-3</v>
      </c>
      <c r="F115" s="28">
        <v>5.7861635220125699E-3</v>
      </c>
      <c r="G115" s="28">
        <v>5.4385964912280699E-3</v>
      </c>
      <c r="H115" s="28">
        <v>6.26016260162601E-3</v>
      </c>
      <c r="I115" s="28">
        <v>7.8488372093023194E-3</v>
      </c>
      <c r="J115" s="28">
        <v>5.5897435897435798E-3</v>
      </c>
      <c r="K115" s="28">
        <v>6.25806451612903E-3</v>
      </c>
      <c r="L115" s="28">
        <v>6.88405797101449E-3</v>
      </c>
      <c r="M115" s="28">
        <v>6.1388349321340498E-3</v>
      </c>
      <c r="N115" s="28">
        <v>7.9998400603632997E-4</v>
      </c>
      <c r="Q115" s="28">
        <f t="shared" si="4"/>
        <v>0.37352129261384948</v>
      </c>
      <c r="U115" s="28" t="s">
        <v>581</v>
      </c>
      <c r="V115" s="28">
        <v>5.8974358974358898E-3</v>
      </c>
      <c r="W115" s="28">
        <v>6.8205128205128199E-3</v>
      </c>
      <c r="X115" s="28">
        <v>6.89189189189189E-3</v>
      </c>
      <c r="Y115" s="28">
        <v>6.7391304347826E-3</v>
      </c>
      <c r="Z115" s="28">
        <v>5.4166666666666599E-3</v>
      </c>
      <c r="AA115" s="28">
        <v>5.4999999999999997E-3</v>
      </c>
      <c r="AB115" s="28">
        <v>6.3366336633663301E-3</v>
      </c>
      <c r="AC115" s="28">
        <v>6.1764705882352902E-3</v>
      </c>
      <c r="AD115" s="28">
        <v>8.2236842105263101E-3</v>
      </c>
      <c r="AE115" s="28">
        <v>5.97633136094674E-3</v>
      </c>
      <c r="AF115" s="28">
        <v>6.3978757534364503E-3</v>
      </c>
      <c r="AG115" s="28">
        <v>8.2479411711844895E-4</v>
      </c>
    </row>
    <row r="116" spans="2:33" x14ac:dyDescent="0.25">
      <c r="B116" s="28" t="s">
        <v>582</v>
      </c>
      <c r="C116" s="28">
        <v>56.862745098039198</v>
      </c>
      <c r="D116" s="28">
        <v>68.75</v>
      </c>
      <c r="E116" s="28">
        <v>74.576271186440593</v>
      </c>
      <c r="F116" s="28">
        <v>54.347826086956502</v>
      </c>
      <c r="G116" s="28">
        <v>57.142857142857103</v>
      </c>
      <c r="H116" s="28">
        <v>61.290322580645103</v>
      </c>
      <c r="I116" s="28">
        <v>77.380952380952294</v>
      </c>
      <c r="J116" s="28">
        <v>57.894736842105203</v>
      </c>
      <c r="K116" s="28">
        <v>69.230769230769198</v>
      </c>
      <c r="L116" s="28">
        <v>83.582089552238799</v>
      </c>
      <c r="M116" s="28">
        <v>66.105857010100394</v>
      </c>
      <c r="N116" s="28">
        <v>10.0867603334965</v>
      </c>
      <c r="Q116" s="28">
        <f t="shared" si="4"/>
        <v>0.49920439613832557</v>
      </c>
      <c r="U116" s="28" t="s">
        <v>582</v>
      </c>
      <c r="V116" s="28">
        <v>59.405940594059402</v>
      </c>
      <c r="W116" s="28">
        <v>75</v>
      </c>
      <c r="X116" s="28">
        <v>86.363636363636303</v>
      </c>
      <c r="Y116" s="28">
        <v>71.428571428571402</v>
      </c>
      <c r="Z116" s="28">
        <v>58.461538461538403</v>
      </c>
      <c r="AA116" s="28">
        <v>51.923076923076898</v>
      </c>
      <c r="AB116" s="28">
        <v>57.142857142857103</v>
      </c>
      <c r="AC116" s="28">
        <v>63.043478260869499</v>
      </c>
      <c r="AD116" s="28">
        <v>90.476190476190396</v>
      </c>
      <c r="AE116" s="28">
        <v>63.366336633663302</v>
      </c>
      <c r="AF116" s="28">
        <v>67.661162628446306</v>
      </c>
      <c r="AG116" s="28">
        <v>12.8635243546036</v>
      </c>
    </row>
    <row r="117" spans="2:33" x14ac:dyDescent="0.25">
      <c r="B117" s="28" t="s">
        <v>583</v>
      </c>
      <c r="C117" s="28">
        <v>47.058823529411697</v>
      </c>
      <c r="D117" s="28">
        <v>63.043478260869499</v>
      </c>
      <c r="E117" s="28">
        <v>47.872340425531902</v>
      </c>
      <c r="F117" s="28">
        <v>59.821428571428498</v>
      </c>
      <c r="G117" s="28">
        <v>55.5555555555555</v>
      </c>
      <c r="H117" s="28">
        <v>68.3333333333333</v>
      </c>
      <c r="I117" s="28">
        <v>82.758620689655103</v>
      </c>
      <c r="J117" s="28">
        <v>55.5555555555555</v>
      </c>
      <c r="K117" s="28">
        <v>57.142857142857103</v>
      </c>
      <c r="L117" s="28">
        <v>58.571428571428498</v>
      </c>
      <c r="M117" s="28">
        <v>59.571342163562697</v>
      </c>
      <c r="N117" s="28">
        <v>10.3232254976683</v>
      </c>
      <c r="Q117" s="28">
        <f t="shared" si="4"/>
        <v>0.41706530931846142</v>
      </c>
      <c r="U117" s="28" t="s">
        <v>583</v>
      </c>
      <c r="V117" s="28">
        <v>59.139784946236503</v>
      </c>
      <c r="W117" s="28">
        <v>60.975609756097498</v>
      </c>
      <c r="X117" s="28">
        <v>64.705882352941103</v>
      </c>
      <c r="Y117" s="28">
        <v>67.901234567901199</v>
      </c>
      <c r="Z117" s="28">
        <v>50</v>
      </c>
      <c r="AA117" s="28">
        <v>58.208955223880601</v>
      </c>
      <c r="AB117" s="28">
        <v>70.588235294117595</v>
      </c>
      <c r="AC117" s="28">
        <v>64.044943820224702</v>
      </c>
      <c r="AD117" s="28">
        <v>79.545454545454504</v>
      </c>
      <c r="AE117" s="28">
        <v>58.208955223880601</v>
      </c>
      <c r="AF117" s="28">
        <v>63.331905573073399</v>
      </c>
      <c r="AG117" s="28">
        <v>8.1114695654006308</v>
      </c>
    </row>
    <row r="118" spans="2:33" x14ac:dyDescent="0.25">
      <c r="B118" s="28" t="s">
        <v>584</v>
      </c>
      <c r="C118" s="28">
        <v>20.837777777777699</v>
      </c>
      <c r="D118" s="28">
        <v>22.098333333333301</v>
      </c>
      <c r="E118" s="28">
        <v>21.6444444444444</v>
      </c>
      <c r="F118" s="28">
        <v>22.0822222222222</v>
      </c>
      <c r="G118" s="28">
        <v>22.4502777777777</v>
      </c>
      <c r="H118" s="28">
        <v>22.232222222222202</v>
      </c>
      <c r="I118" s="28">
        <v>22.637222222222199</v>
      </c>
      <c r="J118" s="28">
        <v>22.125833333333301</v>
      </c>
      <c r="K118" s="28">
        <v>21.218611111111102</v>
      </c>
      <c r="L118" s="28">
        <v>22.1102777777777</v>
      </c>
      <c r="M118" s="28">
        <v>21.943722222222199</v>
      </c>
      <c r="N118" s="28">
        <v>0.55409901966522501</v>
      </c>
      <c r="Q118" s="28">
        <f t="shared" si="4"/>
        <v>2.6015588652612075E-2</v>
      </c>
      <c r="U118" s="28" t="s">
        <v>584</v>
      </c>
      <c r="V118" s="28">
        <v>22.523888888888798</v>
      </c>
      <c r="W118" s="28">
        <v>22.358611111111099</v>
      </c>
      <c r="X118" s="28">
        <v>22.7277777777777</v>
      </c>
      <c r="Y118" s="28">
        <v>22.535833333333301</v>
      </c>
      <c r="Z118" s="28">
        <v>21.7002777777777</v>
      </c>
      <c r="AA118" s="28">
        <v>22.348055555555501</v>
      </c>
      <c r="AB118" s="28">
        <v>22.6930555555555</v>
      </c>
      <c r="AC118" s="28">
        <v>22.437777777777701</v>
      </c>
      <c r="AD118" s="28">
        <v>22.683888888888799</v>
      </c>
      <c r="AE118" s="28">
        <v>22.345555555555499</v>
      </c>
      <c r="AF118" s="28">
        <v>22.435472222222199</v>
      </c>
      <c r="AG118" s="28">
        <v>0.29693675139303</v>
      </c>
    </row>
    <row r="119" spans="2:33" x14ac:dyDescent="0.25">
      <c r="B119" s="28" t="s">
        <v>585</v>
      </c>
      <c r="C119" s="28">
        <v>0.46</v>
      </c>
      <c r="D119" s="28">
        <v>-5.0000000000000697E-2</v>
      </c>
      <c r="E119" s="28">
        <v>0.15</v>
      </c>
      <c r="F119" s="28">
        <v>-9.0000000000000704E-2</v>
      </c>
      <c r="G119" s="28">
        <v>0.12999999999999901</v>
      </c>
      <c r="H119" s="28">
        <v>-5.9999999999999602E-2</v>
      </c>
      <c r="I119" s="28">
        <v>0.44999999999999901</v>
      </c>
      <c r="J119" s="28">
        <v>-5.9999999999999602E-2</v>
      </c>
      <c r="K119" s="28">
        <v>-0.04</v>
      </c>
      <c r="L119" s="28">
        <v>-5.9999999999999602E-2</v>
      </c>
      <c r="M119" s="28">
        <v>8.3000000000000004E-2</v>
      </c>
      <c r="N119" s="28">
        <v>0.21281447319202701</v>
      </c>
      <c r="Q119" s="28">
        <f t="shared" si="4"/>
        <v>0.41403243216425756</v>
      </c>
      <c r="U119" s="28" t="s">
        <v>585</v>
      </c>
      <c r="V119" s="28">
        <v>0.42999999999999899</v>
      </c>
      <c r="W119" s="28">
        <v>-4.9999999999999802E-2</v>
      </c>
      <c r="X119" s="28">
        <v>0.47999999999999898</v>
      </c>
      <c r="Y119" s="28">
        <v>-0.08</v>
      </c>
      <c r="Z119" s="28">
        <v>0.48</v>
      </c>
      <c r="AA119" s="28">
        <v>-6.9999999999999396E-2</v>
      </c>
      <c r="AB119" s="28">
        <v>0.48999999999999899</v>
      </c>
      <c r="AC119" s="28">
        <v>-9.9999999999999603E-2</v>
      </c>
      <c r="AD119" s="28">
        <v>0.46999999999999897</v>
      </c>
      <c r="AE119" s="28">
        <v>-7.0000000000000201E-2</v>
      </c>
      <c r="AF119" s="28">
        <v>0.19800000000000001</v>
      </c>
      <c r="AG119" s="28">
        <v>0.28739442505997798</v>
      </c>
    </row>
    <row r="120" spans="2:33" x14ac:dyDescent="0.25">
      <c r="B120" s="28" t="s">
        <v>586</v>
      </c>
      <c r="C120" s="28">
        <v>2.2075290604671002E-2</v>
      </c>
      <c r="D120" s="28">
        <v>-2.2626140734595601E-3</v>
      </c>
      <c r="E120" s="28">
        <v>6.9301848049281396E-3</v>
      </c>
      <c r="F120" s="28">
        <v>-4.0756767636107799E-3</v>
      </c>
      <c r="G120" s="28">
        <v>5.7905742319446602E-3</v>
      </c>
      <c r="H120" s="28">
        <v>-2.6987855465040499E-3</v>
      </c>
      <c r="I120" s="28">
        <v>1.98787640807912E-2</v>
      </c>
      <c r="J120" s="28">
        <v>-2.71176226884108E-3</v>
      </c>
      <c r="K120" s="28">
        <v>-1.8851375234005801E-3</v>
      </c>
      <c r="L120" s="28">
        <v>-2.7136701131951998E-3</v>
      </c>
      <c r="M120" s="28">
        <v>3.8327167433323699E-3</v>
      </c>
      <c r="N120" s="28">
        <v>9.8003977368342401E-3</v>
      </c>
      <c r="Q120" s="28">
        <f t="shared" si="4"/>
        <v>0.43634896051694194</v>
      </c>
      <c r="U120" s="28" t="s">
        <v>586</v>
      </c>
      <c r="V120" s="28">
        <v>1.90908418222627E-2</v>
      </c>
      <c r="W120" s="28">
        <v>-2.2362748630281501E-3</v>
      </c>
      <c r="X120" s="28">
        <v>2.1119530677095998E-2</v>
      </c>
      <c r="Y120" s="28">
        <v>-3.5499020079133199E-3</v>
      </c>
      <c r="Z120" s="28">
        <v>2.2119532520064999E-2</v>
      </c>
      <c r="AA120" s="28">
        <v>-3.13226355760503E-3</v>
      </c>
      <c r="AB120" s="28">
        <v>2.1592508721463899E-2</v>
      </c>
      <c r="AC120" s="28">
        <v>-4.4567693374269399E-3</v>
      </c>
      <c r="AD120" s="28">
        <v>2.0719551321299899E-2</v>
      </c>
      <c r="AE120" s="28">
        <v>-3.1326139923425101E-3</v>
      </c>
      <c r="AF120" s="28">
        <v>8.8134141303871805E-3</v>
      </c>
      <c r="AG120" s="28">
        <v>1.2804651749311001E-2</v>
      </c>
    </row>
    <row r="121" spans="2:33" x14ac:dyDescent="0.25">
      <c r="B121" s="28" t="s">
        <v>587</v>
      </c>
      <c r="C121" s="28">
        <v>1.5333333333333301</v>
      </c>
      <c r="D121" s="28">
        <v>1.67241379310344</v>
      </c>
      <c r="E121" s="28">
        <v>1.6470588235294099</v>
      </c>
      <c r="F121" s="28">
        <v>1.55172413793103</v>
      </c>
      <c r="G121" s="28">
        <v>1.5454545454545401</v>
      </c>
      <c r="H121" s="28">
        <v>1.36507936507936</v>
      </c>
      <c r="I121" s="28">
        <v>1.3333333333333299</v>
      </c>
      <c r="J121" s="28">
        <v>1.51136363636363</v>
      </c>
      <c r="K121" s="28">
        <v>1.45</v>
      </c>
      <c r="L121" s="28">
        <v>1.5974025974025901</v>
      </c>
      <c r="M121" s="28">
        <v>1.5207163565530699</v>
      </c>
      <c r="N121" s="28">
        <v>0.111061297548033</v>
      </c>
      <c r="Q121" s="28">
        <f t="shared" si="4"/>
        <v>0.63149357984897048</v>
      </c>
      <c r="U121" s="28" t="s">
        <v>587</v>
      </c>
      <c r="V121" s="28">
        <v>1.37209302325581</v>
      </c>
      <c r="W121" s="28">
        <v>1.54128440366972</v>
      </c>
      <c r="X121" s="28">
        <v>1.37209302325581</v>
      </c>
      <c r="Y121" s="28">
        <v>1.61333333333333</v>
      </c>
      <c r="Z121" s="28">
        <v>1.7250000000000001</v>
      </c>
      <c r="AA121" s="28">
        <v>1.625</v>
      </c>
      <c r="AB121" s="28">
        <v>1.5686274509803899</v>
      </c>
      <c r="AC121" s="28">
        <v>1.5</v>
      </c>
      <c r="AD121" s="28">
        <v>1.45614035087719</v>
      </c>
      <c r="AE121" s="28">
        <v>1.6043956043956</v>
      </c>
      <c r="AF121" s="28">
        <v>1.5377967189767801</v>
      </c>
      <c r="AG121" s="28">
        <v>0.11390305538909801</v>
      </c>
    </row>
    <row r="122" spans="2:33" x14ac:dyDescent="0.25">
      <c r="B122" s="28" t="s">
        <v>588</v>
      </c>
      <c r="C122" s="28">
        <v>1</v>
      </c>
      <c r="D122" s="28">
        <v>2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1.1000000000000001</v>
      </c>
      <c r="N122" s="28">
        <v>0.316227766016837</v>
      </c>
      <c r="Q122" s="28">
        <f t="shared" si="4"/>
        <v>0.80387016718068549</v>
      </c>
      <c r="U122" s="28" t="s">
        <v>588</v>
      </c>
      <c r="V122" s="28">
        <v>1</v>
      </c>
      <c r="W122" s="28">
        <v>1</v>
      </c>
      <c r="X122" s="28">
        <v>1</v>
      </c>
      <c r="Y122" s="28">
        <v>1</v>
      </c>
      <c r="Z122" s="28">
        <v>1.5</v>
      </c>
      <c r="AA122" s="28">
        <v>1</v>
      </c>
      <c r="AB122" s="28">
        <v>1</v>
      </c>
      <c r="AC122" s="28">
        <v>1</v>
      </c>
      <c r="AD122" s="28">
        <v>1</v>
      </c>
      <c r="AE122" s="28">
        <v>2</v>
      </c>
      <c r="AF122" s="28">
        <v>1.1499999999999999</v>
      </c>
      <c r="AG122" s="28">
        <v>0.33747427885527598</v>
      </c>
    </row>
    <row r="123" spans="2:33" x14ac:dyDescent="0.25">
      <c r="B123" s="28" t="s">
        <v>589</v>
      </c>
      <c r="C123" s="28">
        <v>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Q123" s="28" t="e">
        <f t="shared" si="4"/>
        <v>#DIV/0!</v>
      </c>
      <c r="U123" s="28" t="s">
        <v>589</v>
      </c>
      <c r="V123" s="28">
        <v>0</v>
      </c>
      <c r="W123" s="28">
        <v>0</v>
      </c>
      <c r="X123" s="28">
        <v>0</v>
      </c>
      <c r="Y123" s="28">
        <v>0</v>
      </c>
      <c r="Z123" s="28">
        <v>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</row>
    <row r="127" spans="2:33" x14ac:dyDescent="0.25">
      <c r="B127" s="49" t="s">
        <v>606</v>
      </c>
      <c r="U127" s="56" t="s">
        <v>607</v>
      </c>
    </row>
    <row r="128" spans="2:33" x14ac:dyDescent="0.25">
      <c r="B128" s="28" t="s">
        <v>563</v>
      </c>
      <c r="C128" s="28">
        <f>_xlfn.T.TEST(C3:L3,C66:K66,2,2)</f>
        <v>6.4330615684470974E-2</v>
      </c>
      <c r="U128" s="58" t="s">
        <v>563</v>
      </c>
      <c r="V128" s="28">
        <f>_xlfn.T.TEST(V3:AE3,V66:AE66,2,2)</f>
        <v>9.220430050411893E-2</v>
      </c>
    </row>
    <row r="129" spans="2:22" x14ac:dyDescent="0.25">
      <c r="B129" s="28" t="s">
        <v>564</v>
      </c>
      <c r="C129" s="28">
        <f t="shared" ref="C129:C189" si="6">_xlfn.T.TEST(C4:L4,C67:K67,2,2)</f>
        <v>0.14460994224538032</v>
      </c>
      <c r="U129" s="58" t="s">
        <v>564</v>
      </c>
      <c r="V129" s="28">
        <f t="shared" ref="V129:V190" si="7">_xlfn.T.TEST(V4:AE4,V67:AE67,2,2)</f>
        <v>0.87835350897127373</v>
      </c>
    </row>
    <row r="130" spans="2:22" x14ac:dyDescent="0.25">
      <c r="B130" s="28" t="s">
        <v>565</v>
      </c>
      <c r="C130" s="28">
        <f t="shared" si="6"/>
        <v>0.15644857791363642</v>
      </c>
      <c r="U130" s="58" t="s">
        <v>565</v>
      </c>
      <c r="V130" s="28">
        <f t="shared" si="7"/>
        <v>3.2443085134291496E-4</v>
      </c>
    </row>
    <row r="131" spans="2:22" x14ac:dyDescent="0.25">
      <c r="B131" s="28" t="s">
        <v>566</v>
      </c>
      <c r="C131" s="28">
        <f t="shared" si="6"/>
        <v>0.21717232385205346</v>
      </c>
      <c r="U131" s="58" t="s">
        <v>566</v>
      </c>
      <c r="V131" s="28">
        <f t="shared" si="7"/>
        <v>6.5118481194203146E-2</v>
      </c>
    </row>
    <row r="132" spans="2:22" x14ac:dyDescent="0.25">
      <c r="B132" s="28" t="s">
        <v>567</v>
      </c>
      <c r="C132" s="28">
        <f t="shared" si="6"/>
        <v>0.14426469140587886</v>
      </c>
      <c r="U132" s="58" t="s">
        <v>567</v>
      </c>
      <c r="V132" s="28">
        <f t="shared" si="7"/>
        <v>0.7292028099879162</v>
      </c>
    </row>
    <row r="133" spans="2:22" x14ac:dyDescent="0.25">
      <c r="B133" s="28" t="s">
        <v>568</v>
      </c>
      <c r="C133" s="28">
        <f t="shared" si="6"/>
        <v>0.65853620974208193</v>
      </c>
      <c r="U133" s="58" t="s">
        <v>568</v>
      </c>
      <c r="V133" s="28">
        <f t="shared" si="7"/>
        <v>1.2885626900106798E-4</v>
      </c>
    </row>
    <row r="134" spans="2:22" x14ac:dyDescent="0.25">
      <c r="B134" s="28" t="s">
        <v>569</v>
      </c>
      <c r="C134" s="57">
        <f t="shared" si="6"/>
        <v>4.7498531894432865E-2</v>
      </c>
      <c r="U134" s="58" t="s">
        <v>569</v>
      </c>
      <c r="V134" s="28">
        <f t="shared" si="7"/>
        <v>0.63839148510844435</v>
      </c>
    </row>
    <row r="135" spans="2:22" x14ac:dyDescent="0.25">
      <c r="B135" s="28" t="s">
        <v>570</v>
      </c>
      <c r="C135" s="28">
        <f t="shared" si="6"/>
        <v>0.11913913629893519</v>
      </c>
      <c r="U135" s="58" t="s">
        <v>570</v>
      </c>
      <c r="V135" s="28">
        <f t="shared" si="7"/>
        <v>0.44496942601029332</v>
      </c>
    </row>
    <row r="136" spans="2:22" x14ac:dyDescent="0.25">
      <c r="B136" s="28" t="s">
        <v>571</v>
      </c>
      <c r="C136" s="28">
        <f t="shared" si="6"/>
        <v>8.4227966193102743E-2</v>
      </c>
      <c r="U136" s="58" t="s">
        <v>571</v>
      </c>
      <c r="V136" s="28">
        <f t="shared" si="7"/>
        <v>2.5105041056259884E-2</v>
      </c>
    </row>
    <row r="137" spans="2:22" x14ac:dyDescent="0.25">
      <c r="B137" s="28" t="s">
        <v>572</v>
      </c>
      <c r="C137" s="28">
        <f t="shared" si="6"/>
        <v>0.57190277780990528</v>
      </c>
      <c r="U137" s="58" t="s">
        <v>572</v>
      </c>
      <c r="V137" s="28">
        <f t="shared" si="7"/>
        <v>0.19105079993995744</v>
      </c>
    </row>
    <row r="138" spans="2:22" x14ac:dyDescent="0.25">
      <c r="B138" s="28" t="s">
        <v>573</v>
      </c>
      <c r="C138" s="28">
        <f t="shared" si="6"/>
        <v>0.70123950902967647</v>
      </c>
      <c r="U138" s="58" t="s">
        <v>573</v>
      </c>
      <c r="V138" s="28">
        <f t="shared" si="7"/>
        <v>0.23895638730572666</v>
      </c>
    </row>
    <row r="139" spans="2:22" x14ac:dyDescent="0.25">
      <c r="B139" s="28" t="s">
        <v>574</v>
      </c>
      <c r="C139" s="28">
        <f t="shared" si="6"/>
        <v>0.33655264460168888</v>
      </c>
      <c r="U139" s="58" t="s">
        <v>574</v>
      </c>
      <c r="V139" s="28">
        <f t="shared" si="7"/>
        <v>1.0332734888577846E-2</v>
      </c>
    </row>
    <row r="140" spans="2:22" x14ac:dyDescent="0.25">
      <c r="B140" s="28" t="s">
        <v>575</v>
      </c>
      <c r="C140" s="28" t="e">
        <f t="shared" si="6"/>
        <v>#DIV/0!</v>
      </c>
      <c r="U140" s="58" t="s">
        <v>575</v>
      </c>
      <c r="V140" s="28" t="e">
        <f t="shared" si="7"/>
        <v>#DIV/0!</v>
      </c>
    </row>
    <row r="141" spans="2:22" x14ac:dyDescent="0.25">
      <c r="B141" s="28" t="s">
        <v>576</v>
      </c>
      <c r="C141" s="28" t="e">
        <f t="shared" si="6"/>
        <v>#DIV/0!</v>
      </c>
      <c r="U141" s="58" t="s">
        <v>576</v>
      </c>
      <c r="V141" s="28" t="e">
        <f t="shared" si="7"/>
        <v>#DIV/0!</v>
      </c>
    </row>
    <row r="142" spans="2:22" x14ac:dyDescent="0.25">
      <c r="B142" s="28" t="s">
        <v>577</v>
      </c>
      <c r="C142" s="28" t="e">
        <f t="shared" si="6"/>
        <v>#DIV/0!</v>
      </c>
      <c r="U142" s="58" t="s">
        <v>577</v>
      </c>
      <c r="V142" s="28" t="e">
        <f t="shared" si="7"/>
        <v>#DIV/0!</v>
      </c>
    </row>
    <row r="143" spans="2:22" x14ac:dyDescent="0.25">
      <c r="B143" s="28" t="s">
        <v>578</v>
      </c>
      <c r="C143" s="28">
        <f t="shared" si="6"/>
        <v>6.3390615520949739E-2</v>
      </c>
      <c r="U143" s="58" t="s">
        <v>578</v>
      </c>
      <c r="V143" s="28">
        <f t="shared" si="7"/>
        <v>0.35128583465964258</v>
      </c>
    </row>
    <row r="144" spans="2:22" x14ac:dyDescent="0.25">
      <c r="B144" s="28" t="s">
        <v>579</v>
      </c>
      <c r="C144" s="28">
        <f t="shared" si="6"/>
        <v>3.3747574809948569E-2</v>
      </c>
      <c r="U144" s="58" t="s">
        <v>579</v>
      </c>
      <c r="V144" s="28">
        <f t="shared" si="7"/>
        <v>0.61000907800678883</v>
      </c>
    </row>
    <row r="145" spans="2:22" x14ac:dyDescent="0.25">
      <c r="B145" s="28" t="s">
        <v>580</v>
      </c>
      <c r="C145" s="28">
        <f t="shared" si="6"/>
        <v>0.26745195055557708</v>
      </c>
      <c r="U145" s="58" t="s">
        <v>580</v>
      </c>
      <c r="V145" s="28">
        <f t="shared" si="7"/>
        <v>2.4545359193670166E-2</v>
      </c>
    </row>
    <row r="146" spans="2:22" x14ac:dyDescent="0.25">
      <c r="B146" s="28" t="s">
        <v>581</v>
      </c>
      <c r="C146" s="28">
        <f t="shared" si="6"/>
        <v>0.75312064477393403</v>
      </c>
      <c r="U146" s="58" t="s">
        <v>581</v>
      </c>
      <c r="V146" s="28">
        <f t="shared" si="7"/>
        <v>0.42379721315396657</v>
      </c>
    </row>
    <row r="147" spans="2:22" x14ac:dyDescent="0.25">
      <c r="B147" s="28" t="s">
        <v>582</v>
      </c>
      <c r="C147" s="28">
        <f t="shared" si="6"/>
        <v>0.85390673929353722</v>
      </c>
      <c r="U147" s="58" t="s">
        <v>582</v>
      </c>
      <c r="V147" s="28">
        <f t="shared" si="7"/>
        <v>0.71937825757320217</v>
      </c>
    </row>
    <row r="148" spans="2:22" x14ac:dyDescent="0.25">
      <c r="B148" s="28" t="s">
        <v>583</v>
      </c>
      <c r="C148" s="28">
        <f t="shared" si="6"/>
        <v>0.43539267446414809</v>
      </c>
      <c r="U148" s="58" t="s">
        <v>583</v>
      </c>
      <c r="V148" s="28">
        <f t="shared" si="7"/>
        <v>0.81244685143496742</v>
      </c>
    </row>
    <row r="149" spans="2:22" x14ac:dyDescent="0.25">
      <c r="B149" s="28" t="s">
        <v>584</v>
      </c>
      <c r="C149" s="28">
        <f t="shared" si="6"/>
        <v>8.8536304819260693E-4</v>
      </c>
      <c r="U149" s="58" t="s">
        <v>584</v>
      </c>
      <c r="V149" s="28">
        <f t="shared" si="7"/>
        <v>7.0707666299526128E-2</v>
      </c>
    </row>
    <row r="150" spans="2:22" x14ac:dyDescent="0.25">
      <c r="B150" s="28" t="s">
        <v>585</v>
      </c>
      <c r="C150" s="28">
        <f t="shared" si="6"/>
        <v>0.20384430616703819</v>
      </c>
      <c r="U150" s="58" t="s">
        <v>585</v>
      </c>
      <c r="V150" s="28">
        <f t="shared" si="7"/>
        <v>1.0446863744011886E-2</v>
      </c>
    </row>
    <row r="151" spans="2:22" x14ac:dyDescent="0.25">
      <c r="B151" s="28" t="s">
        <v>586</v>
      </c>
      <c r="C151" s="28">
        <f t="shared" si="6"/>
        <v>0.22105545066148838</v>
      </c>
      <c r="U151" s="58" t="s">
        <v>586</v>
      </c>
      <c r="V151" s="28">
        <f t="shared" si="7"/>
        <v>1.0040946102791789E-2</v>
      </c>
    </row>
    <row r="152" spans="2:22" x14ac:dyDescent="0.25">
      <c r="B152" s="28" t="s">
        <v>587</v>
      </c>
      <c r="C152" s="28">
        <f t="shared" si="6"/>
        <v>0.4180109043083623</v>
      </c>
      <c r="U152" s="58" t="s">
        <v>587</v>
      </c>
      <c r="V152" s="28">
        <f t="shared" si="7"/>
        <v>0.84138441813706422</v>
      </c>
    </row>
    <row r="153" spans="2:22" x14ac:dyDescent="0.25">
      <c r="B153" s="28" t="s">
        <v>588</v>
      </c>
      <c r="C153" s="28">
        <f t="shared" si="6"/>
        <v>0.94144472042585281</v>
      </c>
      <c r="U153" s="58" t="s">
        <v>588</v>
      </c>
      <c r="V153" s="28">
        <f t="shared" si="7"/>
        <v>0.67331993816642388</v>
      </c>
    </row>
    <row r="158" spans="2:22" x14ac:dyDescent="0.25">
      <c r="B158" s="28" t="s">
        <v>608</v>
      </c>
      <c r="U158" s="56" t="s">
        <v>609</v>
      </c>
    </row>
    <row r="159" spans="2:22" x14ac:dyDescent="0.25">
      <c r="B159" s="28" t="s">
        <v>563</v>
      </c>
      <c r="C159" s="28">
        <f t="shared" si="6"/>
        <v>0.781340907954998</v>
      </c>
      <c r="U159" s="58" t="s">
        <v>563</v>
      </c>
      <c r="V159" s="28">
        <f t="shared" si="7"/>
        <v>0.34436713080884407</v>
      </c>
    </row>
    <row r="160" spans="2:22" x14ac:dyDescent="0.25">
      <c r="B160" s="28" t="s">
        <v>564</v>
      </c>
      <c r="C160" s="28">
        <f t="shared" si="6"/>
        <v>0.92577345678610568</v>
      </c>
      <c r="U160" s="58" t="s">
        <v>564</v>
      </c>
      <c r="V160" s="28">
        <f t="shared" si="7"/>
        <v>0.98037732289963786</v>
      </c>
    </row>
    <row r="161" spans="2:22" x14ac:dyDescent="0.25">
      <c r="B161" s="28" t="s">
        <v>565</v>
      </c>
      <c r="C161" s="28">
        <f t="shared" si="6"/>
        <v>0.49380396657380143</v>
      </c>
      <c r="U161" s="58" t="s">
        <v>565</v>
      </c>
      <c r="V161" s="28">
        <f t="shared" si="7"/>
        <v>3.0893616994219768E-2</v>
      </c>
    </row>
    <row r="162" spans="2:22" x14ac:dyDescent="0.25">
      <c r="B162" s="28" t="s">
        <v>566</v>
      </c>
      <c r="C162" s="28">
        <f t="shared" si="6"/>
        <v>0.81216282207839019</v>
      </c>
      <c r="U162" s="58" t="s">
        <v>566</v>
      </c>
      <c r="V162" s="28">
        <f t="shared" si="7"/>
        <v>0.29702357884063069</v>
      </c>
    </row>
    <row r="163" spans="2:22" x14ac:dyDescent="0.25">
      <c r="B163" s="28" t="s">
        <v>567</v>
      </c>
      <c r="C163" s="28">
        <f t="shared" si="6"/>
        <v>0.91872018513487141</v>
      </c>
      <c r="U163" s="58" t="s">
        <v>567</v>
      </c>
      <c r="V163" s="28">
        <f t="shared" si="7"/>
        <v>0.76748307087339762</v>
      </c>
    </row>
    <row r="164" spans="2:22" x14ac:dyDescent="0.25">
      <c r="B164" s="28" t="s">
        <v>568</v>
      </c>
      <c r="C164" s="28">
        <f t="shared" si="6"/>
        <v>0.89265971093271601</v>
      </c>
      <c r="U164" s="58" t="s">
        <v>568</v>
      </c>
      <c r="V164" s="28">
        <f t="shared" si="7"/>
        <v>7.7652718125298253E-2</v>
      </c>
    </row>
    <row r="165" spans="2:22" x14ac:dyDescent="0.25">
      <c r="B165" s="28" t="s">
        <v>569</v>
      </c>
      <c r="C165" s="28">
        <f t="shared" si="6"/>
        <v>0.19322791946061108</v>
      </c>
      <c r="U165" s="58" t="s">
        <v>569</v>
      </c>
      <c r="V165" s="28">
        <f t="shared" si="7"/>
        <v>0.8135010200517756</v>
      </c>
    </row>
    <row r="166" spans="2:22" x14ac:dyDescent="0.25">
      <c r="B166" s="28" t="s">
        <v>570</v>
      </c>
      <c r="C166" s="28">
        <f t="shared" si="6"/>
        <v>0.32770843847049969</v>
      </c>
      <c r="U166" s="58" t="s">
        <v>570</v>
      </c>
      <c r="V166" s="28">
        <f t="shared" si="7"/>
        <v>0.46151678498799209</v>
      </c>
    </row>
    <row r="167" spans="2:22" x14ac:dyDescent="0.25">
      <c r="B167" s="28" t="s">
        <v>571</v>
      </c>
      <c r="C167" s="28">
        <f t="shared" si="6"/>
        <v>0.13139299588102063</v>
      </c>
      <c r="U167" s="58" t="s">
        <v>571</v>
      </c>
      <c r="V167" s="28">
        <f t="shared" si="7"/>
        <v>0.4142370774046561</v>
      </c>
    </row>
    <row r="168" spans="2:22" x14ac:dyDescent="0.25">
      <c r="B168" s="28" t="s">
        <v>572</v>
      </c>
      <c r="C168" s="57">
        <f t="shared" si="6"/>
        <v>1.6246600023052664E-2</v>
      </c>
      <c r="U168" s="58" t="s">
        <v>572</v>
      </c>
      <c r="V168" s="28">
        <f t="shared" si="7"/>
        <v>4.4260339751445894E-2</v>
      </c>
    </row>
    <row r="169" spans="2:22" x14ac:dyDescent="0.25">
      <c r="B169" s="28" t="s">
        <v>573</v>
      </c>
      <c r="C169" s="28">
        <f t="shared" si="6"/>
        <v>7.6145674033748556E-2</v>
      </c>
      <c r="U169" s="58" t="s">
        <v>573</v>
      </c>
      <c r="V169" s="28">
        <f t="shared" si="7"/>
        <v>0.32993972756991974</v>
      </c>
    </row>
    <row r="170" spans="2:22" x14ac:dyDescent="0.25">
      <c r="B170" s="28" t="s">
        <v>574</v>
      </c>
      <c r="C170" s="28">
        <f t="shared" si="6"/>
        <v>8.889759138849658E-2</v>
      </c>
      <c r="U170" s="58" t="s">
        <v>574</v>
      </c>
      <c r="V170" s="28">
        <f t="shared" si="7"/>
        <v>4.6766122870128424E-3</v>
      </c>
    </row>
    <row r="171" spans="2:22" x14ac:dyDescent="0.25">
      <c r="B171" s="28" t="s">
        <v>575</v>
      </c>
      <c r="C171" s="28" t="e">
        <f t="shared" si="6"/>
        <v>#DIV/0!</v>
      </c>
      <c r="U171" s="58" t="s">
        <v>575</v>
      </c>
      <c r="V171" s="28" t="e">
        <f t="shared" si="7"/>
        <v>#DIV/0!</v>
      </c>
    </row>
    <row r="172" spans="2:22" x14ac:dyDescent="0.25">
      <c r="B172" s="28" t="s">
        <v>576</v>
      </c>
      <c r="C172" s="28" t="e">
        <f t="shared" si="6"/>
        <v>#DIV/0!</v>
      </c>
      <c r="U172" s="58" t="s">
        <v>576</v>
      </c>
      <c r="V172" s="28" t="e">
        <f t="shared" si="7"/>
        <v>#DIV/0!</v>
      </c>
    </row>
    <row r="173" spans="2:22" x14ac:dyDescent="0.25">
      <c r="B173" s="28" t="s">
        <v>577</v>
      </c>
      <c r="C173" s="28" t="e">
        <f t="shared" si="6"/>
        <v>#DIV/0!</v>
      </c>
      <c r="U173" s="58" t="s">
        <v>577</v>
      </c>
      <c r="V173" s="28" t="e">
        <f t="shared" si="7"/>
        <v>#DIV/0!</v>
      </c>
    </row>
    <row r="174" spans="2:22" x14ac:dyDescent="0.25">
      <c r="B174" s="28" t="s">
        <v>578</v>
      </c>
      <c r="C174" s="28">
        <f t="shared" si="6"/>
        <v>0.48020435514808724</v>
      </c>
      <c r="U174" s="58" t="s">
        <v>578</v>
      </c>
      <c r="V174" s="28">
        <f t="shared" si="7"/>
        <v>0.97990472897388781</v>
      </c>
    </row>
    <row r="175" spans="2:22" x14ac:dyDescent="0.25">
      <c r="B175" s="28" t="s">
        <v>579</v>
      </c>
      <c r="C175" s="28">
        <f t="shared" si="6"/>
        <v>0.37491148900972593</v>
      </c>
      <c r="U175" s="58" t="s">
        <v>579</v>
      </c>
      <c r="V175" s="28">
        <f t="shared" si="7"/>
        <v>0.89286192026335054</v>
      </c>
    </row>
    <row r="176" spans="2:22" x14ac:dyDescent="0.25">
      <c r="B176" s="28" t="s">
        <v>580</v>
      </c>
      <c r="C176" s="28">
        <f t="shared" si="6"/>
        <v>0.80456552967670825</v>
      </c>
      <c r="U176" s="58" t="s">
        <v>580</v>
      </c>
      <c r="V176" s="28">
        <f t="shared" si="7"/>
        <v>0.85121650371940327</v>
      </c>
    </row>
    <row r="177" spans="2:22" x14ac:dyDescent="0.25">
      <c r="B177" s="28" t="s">
        <v>581</v>
      </c>
      <c r="C177" s="28">
        <f t="shared" si="6"/>
        <v>0.90260566826012967</v>
      </c>
      <c r="U177" s="58" t="s">
        <v>581</v>
      </c>
      <c r="V177" s="28">
        <f t="shared" si="7"/>
        <v>0.5999487506315655</v>
      </c>
    </row>
    <row r="178" spans="2:22" x14ac:dyDescent="0.25">
      <c r="B178" s="28" t="s">
        <v>582</v>
      </c>
      <c r="C178" s="28">
        <f t="shared" si="6"/>
        <v>0.85380616989833058</v>
      </c>
      <c r="U178" s="58" t="s">
        <v>582</v>
      </c>
      <c r="V178" s="28">
        <f t="shared" si="7"/>
        <v>8.447107700065036E-2</v>
      </c>
    </row>
    <row r="179" spans="2:22" x14ac:dyDescent="0.25">
      <c r="B179" s="28" t="s">
        <v>583</v>
      </c>
      <c r="C179" s="28">
        <f t="shared" si="6"/>
        <v>0.99498209642071356</v>
      </c>
      <c r="U179" s="58" t="s">
        <v>583</v>
      </c>
      <c r="V179" s="28">
        <f t="shared" si="7"/>
        <v>0.42397972225612601</v>
      </c>
    </row>
    <row r="180" spans="2:22" x14ac:dyDescent="0.25">
      <c r="B180" s="28" t="s">
        <v>584</v>
      </c>
      <c r="C180" s="28">
        <f t="shared" si="6"/>
        <v>3.7517088530176308E-6</v>
      </c>
      <c r="U180" s="58" t="s">
        <v>584</v>
      </c>
      <c r="V180" s="28">
        <f t="shared" si="7"/>
        <v>0.3356162937705196</v>
      </c>
    </row>
    <row r="181" spans="2:22" x14ac:dyDescent="0.25">
      <c r="B181" s="28" t="s">
        <v>585</v>
      </c>
      <c r="C181" s="28">
        <f t="shared" si="6"/>
        <v>0.2139169709247023</v>
      </c>
      <c r="U181" s="58" t="s">
        <v>585</v>
      </c>
      <c r="V181" s="28">
        <f t="shared" si="7"/>
        <v>1.1480212810324138E-2</v>
      </c>
    </row>
    <row r="182" spans="2:22" x14ac:dyDescent="0.25">
      <c r="B182" s="28" t="s">
        <v>586</v>
      </c>
      <c r="C182" s="28">
        <f t="shared" si="6"/>
        <v>0.20592979500871039</v>
      </c>
      <c r="U182" s="58" t="s">
        <v>586</v>
      </c>
      <c r="V182" s="28">
        <f t="shared" si="7"/>
        <v>1.1803850920044935E-2</v>
      </c>
    </row>
    <row r="183" spans="2:22" x14ac:dyDescent="0.25">
      <c r="B183" s="28" t="s">
        <v>587</v>
      </c>
      <c r="C183" s="28">
        <f t="shared" si="6"/>
        <v>0.34538624571184828</v>
      </c>
      <c r="U183" s="58" t="s">
        <v>587</v>
      </c>
      <c r="V183" s="28">
        <f t="shared" si="7"/>
        <v>0.29040190945684458</v>
      </c>
    </row>
    <row r="184" spans="2:22" x14ac:dyDescent="0.25">
      <c r="B184" s="28" t="s">
        <v>588</v>
      </c>
      <c r="C184" s="28">
        <f t="shared" si="6"/>
        <v>0.61962474677651769</v>
      </c>
      <c r="U184" s="58" t="s">
        <v>588</v>
      </c>
      <c r="V184" s="28">
        <f t="shared" si="7"/>
        <v>9.3917700386630346E-2</v>
      </c>
    </row>
    <row r="185" spans="2:22" x14ac:dyDescent="0.25">
      <c r="C185" s="28" t="e">
        <f t="shared" si="6"/>
        <v>#DIV/0!</v>
      </c>
      <c r="V185" s="28" t="e">
        <f t="shared" si="7"/>
        <v>#DIV/0!</v>
      </c>
    </row>
    <row r="186" spans="2:22" x14ac:dyDescent="0.25">
      <c r="C186" s="28" t="e">
        <f t="shared" si="6"/>
        <v>#DIV/0!</v>
      </c>
      <c r="V186" s="28" t="e">
        <f t="shared" si="7"/>
        <v>#DIV/0!</v>
      </c>
    </row>
    <row r="187" spans="2:22" x14ac:dyDescent="0.25">
      <c r="C187" s="28" t="e">
        <f t="shared" si="6"/>
        <v>#DIV/0!</v>
      </c>
      <c r="V187" s="28" t="e">
        <f t="shared" si="7"/>
        <v>#DIV/0!</v>
      </c>
    </row>
    <row r="188" spans="2:22" x14ac:dyDescent="0.25">
      <c r="C188" s="28" t="e">
        <f t="shared" si="6"/>
        <v>#DIV/0!</v>
      </c>
      <c r="V188" s="28" t="e">
        <f t="shared" si="7"/>
        <v>#DIV/0!</v>
      </c>
    </row>
    <row r="189" spans="2:22" x14ac:dyDescent="0.25">
      <c r="C189" s="28" t="e">
        <f t="shared" si="6"/>
        <v>#DIV/0!</v>
      </c>
      <c r="V189" s="28" t="e">
        <f t="shared" si="7"/>
        <v>#DIV/0!</v>
      </c>
    </row>
    <row r="190" spans="2:22" x14ac:dyDescent="0.25">
      <c r="V190" s="28" t="e">
        <f t="shared" si="7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A1D0-F909-4AD8-9858-190C100C7B4B}">
  <dimension ref="A1:AF125"/>
  <sheetViews>
    <sheetView topLeftCell="A4" workbookViewId="0">
      <selection sqref="A1:XFD1048576"/>
    </sheetView>
  </sheetViews>
  <sheetFormatPr defaultRowHeight="15" x14ac:dyDescent="0.25"/>
  <cols>
    <col min="1" max="1" width="12.7109375" style="28" bestFit="1" customWidth="1"/>
    <col min="2" max="2" width="30.5703125" style="28" bestFit="1" customWidth="1"/>
    <col min="3" max="12" width="21.7109375" style="28" bestFit="1" customWidth="1"/>
    <col min="13" max="13" width="12.7109375" style="28" bestFit="1" customWidth="1"/>
    <col min="14" max="14" width="12" style="28" bestFit="1" customWidth="1"/>
    <col min="15" max="15" width="9.140625" style="28"/>
    <col min="16" max="18" width="12" style="28" bestFit="1" customWidth="1"/>
    <col min="19" max="19" width="12.42578125" style="28" bestFit="1" customWidth="1"/>
    <col min="20" max="20" width="30.5703125" style="28" bestFit="1" customWidth="1"/>
    <col min="21" max="30" width="21.7109375" style="28" bestFit="1" customWidth="1"/>
    <col min="31" max="31" width="12.7109375" style="28" bestFit="1" customWidth="1"/>
    <col min="32" max="32" width="12" style="28" bestFit="1" customWidth="1"/>
    <col min="33" max="16384" width="9.140625" style="28"/>
  </cols>
  <sheetData>
    <row r="1" spans="1:32" x14ac:dyDescent="0.25">
      <c r="A1" s="49" t="s">
        <v>610</v>
      </c>
      <c r="S1" s="56" t="s">
        <v>598</v>
      </c>
    </row>
    <row r="2" spans="1:32" x14ac:dyDescent="0.25">
      <c r="B2" s="28" t="s">
        <v>558</v>
      </c>
      <c r="C2" s="28" t="s">
        <v>144</v>
      </c>
      <c r="D2" s="28" t="s">
        <v>202</v>
      </c>
      <c r="E2" s="28" t="s">
        <v>133</v>
      </c>
      <c r="F2" s="28" t="s">
        <v>190</v>
      </c>
      <c r="G2" s="28" t="s">
        <v>155</v>
      </c>
      <c r="H2" s="28" t="s">
        <v>213</v>
      </c>
      <c r="I2" s="28" t="s">
        <v>167</v>
      </c>
      <c r="J2" s="28" t="s">
        <v>224</v>
      </c>
      <c r="K2" s="28" t="s">
        <v>179</v>
      </c>
      <c r="L2" s="28" t="s">
        <v>235</v>
      </c>
      <c r="M2" s="28" t="s">
        <v>559</v>
      </c>
      <c r="N2" s="28" t="s">
        <v>560</v>
      </c>
      <c r="P2" s="28" t="s">
        <v>129</v>
      </c>
      <c r="Q2" s="28" t="s">
        <v>594</v>
      </c>
      <c r="R2" s="28" t="s">
        <v>13</v>
      </c>
      <c r="T2" s="28" t="s">
        <v>558</v>
      </c>
      <c r="U2" s="28" t="s">
        <v>20</v>
      </c>
      <c r="V2" s="28" t="s">
        <v>77</v>
      </c>
      <c r="W2" s="28" t="s">
        <v>33</v>
      </c>
      <c r="X2" s="28" t="s">
        <v>88</v>
      </c>
      <c r="Y2" s="28" t="s">
        <v>44</v>
      </c>
      <c r="Z2" s="28" t="s">
        <v>99</v>
      </c>
      <c r="AA2" s="28" t="s">
        <v>55</v>
      </c>
      <c r="AB2" s="28" t="s">
        <v>110</v>
      </c>
      <c r="AC2" s="28" t="s">
        <v>66</v>
      </c>
      <c r="AD2" s="28" t="s">
        <v>121</v>
      </c>
      <c r="AE2" s="28" t="s">
        <v>559</v>
      </c>
      <c r="AF2" s="28" t="s">
        <v>560</v>
      </c>
    </row>
    <row r="3" spans="1:32" x14ac:dyDescent="0.25">
      <c r="B3" s="28" t="s">
        <v>563</v>
      </c>
      <c r="C3" s="28">
        <v>160</v>
      </c>
      <c r="D3" s="28">
        <v>150</v>
      </c>
      <c r="E3" s="28">
        <v>137</v>
      </c>
      <c r="F3" s="28">
        <v>146</v>
      </c>
      <c r="G3" s="28">
        <v>113</v>
      </c>
      <c r="H3" s="28">
        <v>108</v>
      </c>
      <c r="I3" s="28">
        <v>145</v>
      </c>
      <c r="J3" s="28">
        <v>128</v>
      </c>
      <c r="K3" s="28">
        <v>164</v>
      </c>
      <c r="L3" s="28">
        <v>142</v>
      </c>
      <c r="M3" s="28">
        <v>139.30000000000001</v>
      </c>
      <c r="N3" s="28">
        <v>18.385078490751901</v>
      </c>
      <c r="P3" s="28">
        <f>_xlfn.T.TEST(C3:L3,C35:L35,2,2)</f>
        <v>6.4202210029306541E-10</v>
      </c>
      <c r="Q3" s="28">
        <f>_xlfn.T.TEST(C3:L3,U3:AD3,2,2)</f>
        <v>0.59701566313352339</v>
      </c>
      <c r="R3" s="28">
        <f>_xlfn.T.TEST(U3:AD3,U35:AD35,2,2)</f>
        <v>2.6981403293885375E-6</v>
      </c>
      <c r="T3" s="28" t="s">
        <v>563</v>
      </c>
      <c r="U3" s="28">
        <v>188</v>
      </c>
      <c r="V3" s="28">
        <v>216</v>
      </c>
      <c r="W3" s="28">
        <v>112</v>
      </c>
      <c r="X3" s="28">
        <v>191</v>
      </c>
      <c r="Y3" s="28">
        <v>129</v>
      </c>
      <c r="Z3" s="28">
        <v>126</v>
      </c>
      <c r="AA3" s="28">
        <v>128</v>
      </c>
      <c r="AB3" s="28">
        <v>169</v>
      </c>
      <c r="AC3" s="28">
        <v>114</v>
      </c>
      <c r="AD3" s="28">
        <v>96</v>
      </c>
      <c r="AE3" s="28">
        <v>146.9</v>
      </c>
      <c r="AF3" s="28">
        <v>40.6924781474141</v>
      </c>
    </row>
    <row r="4" spans="1:32" x14ac:dyDescent="0.25">
      <c r="B4" s="28" t="s">
        <v>564</v>
      </c>
      <c r="C4" s="28">
        <v>105</v>
      </c>
      <c r="D4" s="28">
        <v>125</v>
      </c>
      <c r="E4" s="28">
        <v>78</v>
      </c>
      <c r="F4" s="28">
        <v>91</v>
      </c>
      <c r="G4" s="28">
        <v>83</v>
      </c>
      <c r="H4" s="28">
        <v>64</v>
      </c>
      <c r="I4" s="28">
        <v>85</v>
      </c>
      <c r="J4" s="28">
        <v>80</v>
      </c>
      <c r="K4" s="28">
        <v>99</v>
      </c>
      <c r="L4" s="28">
        <v>77</v>
      </c>
      <c r="M4" s="28">
        <v>88.7</v>
      </c>
      <c r="N4" s="28">
        <v>17.250120772523999</v>
      </c>
      <c r="P4" s="28">
        <f t="shared" ref="P4:P29" si="0">_xlfn.T.TEST(C4:L4,C36:L36,2,2)</f>
        <v>4.1039782183402471E-8</v>
      </c>
      <c r="Q4" s="28">
        <f t="shared" ref="Q4:Q61" si="1">_xlfn.T.TEST(C4:L4,U4:AD4,2,2)</f>
        <v>0.5701727439068307</v>
      </c>
      <c r="R4" s="28">
        <f t="shared" ref="R4:R29" si="2">_xlfn.T.TEST(U4:AD4,U36:AD36,2,2)</f>
        <v>4.0883934490391076E-5</v>
      </c>
      <c r="T4" s="28" t="s">
        <v>564</v>
      </c>
      <c r="U4" s="28">
        <v>129</v>
      </c>
      <c r="V4" s="28">
        <v>151</v>
      </c>
      <c r="W4" s="28">
        <v>79</v>
      </c>
      <c r="X4" s="28">
        <v>114</v>
      </c>
      <c r="Y4" s="28">
        <v>86</v>
      </c>
      <c r="Z4" s="28">
        <v>83</v>
      </c>
      <c r="AA4" s="28">
        <v>88</v>
      </c>
      <c r="AB4" s="28">
        <v>99</v>
      </c>
      <c r="AC4" s="28">
        <v>75</v>
      </c>
      <c r="AD4" s="28">
        <v>46</v>
      </c>
      <c r="AE4" s="28">
        <v>95</v>
      </c>
      <c r="AF4" s="28">
        <v>29.814239699997099</v>
      </c>
    </row>
    <row r="5" spans="1:32" x14ac:dyDescent="0.25">
      <c r="B5" s="28" t="s">
        <v>565</v>
      </c>
      <c r="C5" s="28">
        <v>55</v>
      </c>
      <c r="D5" s="28">
        <v>25</v>
      </c>
      <c r="E5" s="28">
        <v>59</v>
      </c>
      <c r="F5" s="28">
        <v>55</v>
      </c>
      <c r="G5" s="28">
        <v>30</v>
      </c>
      <c r="H5" s="28">
        <v>44</v>
      </c>
      <c r="I5" s="28">
        <v>60</v>
      </c>
      <c r="J5" s="28">
        <v>48</v>
      </c>
      <c r="K5" s="28">
        <v>65</v>
      </c>
      <c r="L5" s="28">
        <v>65</v>
      </c>
      <c r="M5" s="28">
        <v>50.6</v>
      </c>
      <c r="N5" s="28">
        <v>13.914021704740801</v>
      </c>
      <c r="P5" s="28">
        <f t="shared" si="0"/>
        <v>1.2431145459688409E-6</v>
      </c>
      <c r="Q5" s="28">
        <f t="shared" si="1"/>
        <v>0.84263353182634793</v>
      </c>
      <c r="R5" s="28">
        <f t="shared" si="2"/>
        <v>6.6356193492744609E-7</v>
      </c>
      <c r="T5" s="28" t="s">
        <v>565</v>
      </c>
      <c r="U5" s="28">
        <v>59</v>
      </c>
      <c r="V5" s="28">
        <v>65</v>
      </c>
      <c r="W5" s="28">
        <v>33</v>
      </c>
      <c r="X5" s="28">
        <v>77</v>
      </c>
      <c r="Y5" s="28">
        <v>43</v>
      </c>
      <c r="Z5" s="28">
        <v>43</v>
      </c>
      <c r="AA5" s="28">
        <v>40</v>
      </c>
      <c r="AB5" s="28">
        <v>70</v>
      </c>
      <c r="AC5" s="28">
        <v>39</v>
      </c>
      <c r="AD5" s="28">
        <v>50</v>
      </c>
      <c r="AE5" s="28">
        <v>51.9</v>
      </c>
      <c r="AF5" s="28">
        <v>14.932812490917</v>
      </c>
    </row>
    <row r="6" spans="1:32" x14ac:dyDescent="0.25">
      <c r="B6" s="28" t="s">
        <v>566</v>
      </c>
      <c r="C6" s="28">
        <v>7.1971211515393803</v>
      </c>
      <c r="D6" s="28">
        <v>6.3337164840835998</v>
      </c>
      <c r="E6" s="28">
        <v>6.0601592450604498</v>
      </c>
      <c r="F6" s="28">
        <v>6.1601931506528196</v>
      </c>
      <c r="G6" s="28">
        <v>5.00572187972978</v>
      </c>
      <c r="H6" s="28">
        <v>4.8439544010465303</v>
      </c>
      <c r="I6" s="28">
        <v>6.43919769077048</v>
      </c>
      <c r="J6" s="28">
        <v>5.4199649490113897</v>
      </c>
      <c r="K6" s="28">
        <v>7.2627966195519704</v>
      </c>
      <c r="L6" s="28">
        <v>6.0361317747077496</v>
      </c>
      <c r="M6" s="28">
        <v>6.0758957346154103</v>
      </c>
      <c r="N6" s="28">
        <v>0.81421206525920597</v>
      </c>
      <c r="P6" s="28">
        <f t="shared" si="0"/>
        <v>5.5478052656251521E-10</v>
      </c>
      <c r="Q6" s="28">
        <f t="shared" si="1"/>
        <v>0.51213361417550385</v>
      </c>
      <c r="R6" s="28">
        <f t="shared" si="2"/>
        <v>7.7909740145287472E-7</v>
      </c>
      <c r="T6" s="28" t="s">
        <v>566</v>
      </c>
      <c r="U6" s="28">
        <v>8.4236729105731492</v>
      </c>
      <c r="V6" s="28">
        <v>8.9338235294117592</v>
      </c>
      <c r="W6" s="28">
        <v>5.2475402155239701</v>
      </c>
      <c r="X6" s="28">
        <v>8.0190329578056101</v>
      </c>
      <c r="Y6" s="28">
        <v>5.6733083303810297</v>
      </c>
      <c r="Z6" s="28">
        <v>5.46617981996312</v>
      </c>
      <c r="AA6" s="28">
        <v>5.6442228782106998</v>
      </c>
      <c r="AB6" s="28">
        <v>7.0542401966468002</v>
      </c>
      <c r="AC6" s="28">
        <v>6.0149494357320803</v>
      </c>
      <c r="AD6" s="28">
        <v>4.0451331991197996</v>
      </c>
      <c r="AE6" s="28">
        <v>6.4522103473368002</v>
      </c>
      <c r="AF6" s="28">
        <v>1.58221636348054</v>
      </c>
    </row>
    <row r="7" spans="1:32" x14ac:dyDescent="0.25">
      <c r="B7" s="28" t="s">
        <v>567</v>
      </c>
      <c r="C7" s="28">
        <v>8.6372360844529705</v>
      </c>
      <c r="D7" s="28">
        <v>10.635532131124201</v>
      </c>
      <c r="E7" s="28">
        <v>6.4406624157071404</v>
      </c>
      <c r="F7" s="28">
        <v>7.6367196605902299</v>
      </c>
      <c r="G7" s="28">
        <v>7.10396804640878</v>
      </c>
      <c r="H7" s="28">
        <v>5.5906046782490497</v>
      </c>
      <c r="I7" s="28">
        <v>7.01867058121932</v>
      </c>
      <c r="J7" s="28">
        <v>6.8610634648370397</v>
      </c>
      <c r="K7" s="28">
        <v>8.3516895533580104</v>
      </c>
      <c r="L7" s="28">
        <v>6.7325674592572797</v>
      </c>
      <c r="M7" s="28">
        <v>7.5008714075204104</v>
      </c>
      <c r="N7" s="28">
        <v>1.4151021146860701</v>
      </c>
      <c r="P7" s="28">
        <f t="shared" si="0"/>
        <v>3.8472522005088441E-8</v>
      </c>
      <c r="Q7" s="28">
        <f t="shared" si="1"/>
        <v>0.5706463500930985</v>
      </c>
      <c r="R7" s="28">
        <f t="shared" si="2"/>
        <v>2.3032257317305503E-5</v>
      </c>
      <c r="T7" s="28" t="s">
        <v>567</v>
      </c>
      <c r="U7" s="28">
        <v>11.10978206263</v>
      </c>
      <c r="V7" s="28">
        <v>12.5438434557873</v>
      </c>
      <c r="W7" s="28">
        <v>6.92813641900121</v>
      </c>
      <c r="X7" s="28">
        <v>8.9962515618492294</v>
      </c>
      <c r="Y7" s="28">
        <v>7.10450227178851</v>
      </c>
      <c r="Z7" s="28">
        <v>6.8979846249740202</v>
      </c>
      <c r="AA7" s="28">
        <v>7.2088472215901298</v>
      </c>
      <c r="AB7" s="28">
        <v>8.0032336297493902</v>
      </c>
      <c r="AC7" s="28">
        <v>7.4852374483657202</v>
      </c>
      <c r="AD7" s="28">
        <v>3.84812009109076</v>
      </c>
      <c r="AE7" s="28">
        <v>8.0125938786826403</v>
      </c>
      <c r="AF7" s="28">
        <v>2.4175849976199801</v>
      </c>
    </row>
    <row r="8" spans="1:32" x14ac:dyDescent="0.25">
      <c r="B8" s="28" t="s">
        <v>568</v>
      </c>
      <c r="C8" s="28">
        <v>5.4593581118341197</v>
      </c>
      <c r="D8" s="28">
        <v>2.0956062123081902</v>
      </c>
      <c r="E8" s="28">
        <v>5.6211295188694201</v>
      </c>
      <c r="F8" s="28">
        <v>4.6671695266830104</v>
      </c>
      <c r="G8" s="28">
        <v>2.7546804060602899</v>
      </c>
      <c r="H8" s="28">
        <v>4.05602642562671</v>
      </c>
      <c r="I8" s="28">
        <v>5.7649193978861897</v>
      </c>
      <c r="J8" s="28">
        <v>4.0145900611016803</v>
      </c>
      <c r="K8" s="28">
        <v>6.0595074708030099</v>
      </c>
      <c r="L8" s="28">
        <v>5.3772089068639799</v>
      </c>
      <c r="M8" s="28">
        <v>4.5870196038036601</v>
      </c>
      <c r="N8" s="28">
        <v>1.3412716328062499</v>
      </c>
      <c r="P8" s="28">
        <f t="shared" si="0"/>
        <v>1.7921237183446723E-6</v>
      </c>
      <c r="Q8" s="28">
        <f t="shared" si="1"/>
        <v>0.77190254483289622</v>
      </c>
      <c r="R8" s="28">
        <f t="shared" si="2"/>
        <v>7.6501742429035856E-8</v>
      </c>
      <c r="T8" s="28" t="s">
        <v>568</v>
      </c>
      <c r="U8" s="28">
        <v>5.5105853051058498</v>
      </c>
      <c r="V8" s="28">
        <v>5.3542009884678698</v>
      </c>
      <c r="W8" s="28">
        <v>3.3197339741798402</v>
      </c>
      <c r="X8" s="28">
        <v>6.9080668876317599</v>
      </c>
      <c r="Y8" s="28">
        <v>4.0439927897802903</v>
      </c>
      <c r="Z8" s="28">
        <v>3.9025865980940799</v>
      </c>
      <c r="AA8" s="28">
        <v>3.8201352964584099</v>
      </c>
      <c r="AB8" s="28">
        <v>6.0411372680634701</v>
      </c>
      <c r="AC8" s="28">
        <v>4.3658073945085301</v>
      </c>
      <c r="AD8" s="28">
        <v>4.2450827791141901</v>
      </c>
      <c r="AE8" s="28">
        <v>4.7511329281404304</v>
      </c>
      <c r="AF8" s="28">
        <v>1.1449034130151201</v>
      </c>
    </row>
    <row r="9" spans="1:32" x14ac:dyDescent="0.25">
      <c r="B9" s="28" t="s">
        <v>569</v>
      </c>
      <c r="C9" s="28">
        <v>94</v>
      </c>
      <c r="D9" s="28">
        <v>69</v>
      </c>
      <c r="E9" s="28">
        <v>59</v>
      </c>
      <c r="F9" s="28">
        <v>80</v>
      </c>
      <c r="G9" s="28">
        <v>73</v>
      </c>
      <c r="H9" s="28">
        <v>79</v>
      </c>
      <c r="I9" s="28">
        <v>79</v>
      </c>
      <c r="J9" s="28">
        <v>57</v>
      </c>
      <c r="K9" s="28">
        <v>84</v>
      </c>
      <c r="L9" s="28">
        <v>77</v>
      </c>
      <c r="M9" s="28">
        <v>75.099999999999994</v>
      </c>
      <c r="N9" s="28">
        <v>11.1699000293944</v>
      </c>
      <c r="P9" s="28">
        <f t="shared" si="0"/>
        <v>2.54107758465274E-5</v>
      </c>
      <c r="Q9" s="28">
        <f t="shared" si="1"/>
        <v>0.32373931388883637</v>
      </c>
      <c r="R9" s="28">
        <f t="shared" si="2"/>
        <v>2.3341173245519021E-4</v>
      </c>
      <c r="T9" s="28" t="s">
        <v>569</v>
      </c>
      <c r="U9" s="28">
        <v>121</v>
      </c>
      <c r="V9" s="28">
        <v>96</v>
      </c>
      <c r="W9" s="28">
        <v>83</v>
      </c>
      <c r="X9" s="28">
        <v>132</v>
      </c>
      <c r="Y9" s="28">
        <v>65</v>
      </c>
      <c r="Z9" s="28">
        <v>68</v>
      </c>
      <c r="AA9" s="28">
        <v>62</v>
      </c>
      <c r="AB9" s="28">
        <v>117</v>
      </c>
      <c r="AC9" s="28">
        <v>53</v>
      </c>
      <c r="AD9" s="28">
        <v>55</v>
      </c>
      <c r="AE9" s="28">
        <v>85.2</v>
      </c>
      <c r="AF9" s="28">
        <v>29.430898351524601</v>
      </c>
    </row>
    <row r="10" spans="1:32" x14ac:dyDescent="0.25">
      <c r="B10" s="28" t="s">
        <v>570</v>
      </c>
      <c r="C10" s="28">
        <v>56</v>
      </c>
      <c r="D10" s="28">
        <v>49</v>
      </c>
      <c r="E10" s="28">
        <v>29</v>
      </c>
      <c r="F10" s="28">
        <v>49</v>
      </c>
      <c r="G10" s="28">
        <v>51</v>
      </c>
      <c r="H10" s="28">
        <v>46</v>
      </c>
      <c r="I10" s="28">
        <v>40</v>
      </c>
      <c r="J10" s="28">
        <v>35</v>
      </c>
      <c r="K10" s="28">
        <v>50</v>
      </c>
      <c r="L10" s="28">
        <v>41</v>
      </c>
      <c r="M10" s="28">
        <v>44.6</v>
      </c>
      <c r="N10" s="28">
        <v>8.2354248355638706</v>
      </c>
      <c r="P10" s="28">
        <f t="shared" si="0"/>
        <v>3.2815314004259338E-4</v>
      </c>
      <c r="Q10" s="28">
        <f t="shared" si="1"/>
        <v>0.40012155883842382</v>
      </c>
      <c r="R10" s="28">
        <f t="shared" si="2"/>
        <v>7.516773486975427E-3</v>
      </c>
      <c r="T10" s="28" t="s">
        <v>570</v>
      </c>
      <c r="U10" s="28">
        <v>81</v>
      </c>
      <c r="V10" s="28">
        <v>59</v>
      </c>
      <c r="W10" s="28">
        <v>56</v>
      </c>
      <c r="X10" s="28">
        <v>68</v>
      </c>
      <c r="Y10" s="28">
        <v>34</v>
      </c>
      <c r="Z10" s="28">
        <v>43</v>
      </c>
      <c r="AA10" s="28">
        <v>39</v>
      </c>
      <c r="AB10" s="28">
        <v>67</v>
      </c>
      <c r="AC10" s="28">
        <v>33</v>
      </c>
      <c r="AD10" s="28">
        <v>22</v>
      </c>
      <c r="AE10" s="28">
        <v>50.2</v>
      </c>
      <c r="AF10" s="28">
        <v>18.825514601200101</v>
      </c>
    </row>
    <row r="11" spans="1:32" x14ac:dyDescent="0.25">
      <c r="B11" s="28" t="s">
        <v>571</v>
      </c>
      <c r="C11" s="28">
        <v>38</v>
      </c>
      <c r="D11" s="28">
        <v>20</v>
      </c>
      <c r="E11" s="28">
        <v>30</v>
      </c>
      <c r="F11" s="28">
        <v>31</v>
      </c>
      <c r="G11" s="28">
        <v>22</v>
      </c>
      <c r="H11" s="28">
        <v>33</v>
      </c>
      <c r="I11" s="28">
        <v>40</v>
      </c>
      <c r="J11" s="28">
        <v>22</v>
      </c>
      <c r="K11" s="28">
        <v>34</v>
      </c>
      <c r="L11" s="28">
        <v>36</v>
      </c>
      <c r="M11" s="28">
        <v>30.6</v>
      </c>
      <c r="N11" s="28">
        <v>7.0742098106038904</v>
      </c>
      <c r="P11" s="28">
        <f t="shared" si="0"/>
        <v>3.0114567682723552E-5</v>
      </c>
      <c r="Q11" s="28">
        <f t="shared" si="1"/>
        <v>0.34991289943372916</v>
      </c>
      <c r="R11" s="28">
        <f t="shared" si="2"/>
        <v>9.8373830144754968E-5</v>
      </c>
      <c r="T11" s="28" t="s">
        <v>571</v>
      </c>
      <c r="U11" s="28">
        <v>40</v>
      </c>
      <c r="V11" s="28">
        <v>38</v>
      </c>
      <c r="W11" s="28">
        <v>27</v>
      </c>
      <c r="X11" s="28">
        <v>65</v>
      </c>
      <c r="Y11" s="28">
        <v>31</v>
      </c>
      <c r="Z11" s="28">
        <v>25</v>
      </c>
      <c r="AA11" s="28">
        <v>23</v>
      </c>
      <c r="AB11" s="28">
        <v>50</v>
      </c>
      <c r="AC11" s="28">
        <v>20</v>
      </c>
      <c r="AD11" s="28">
        <v>34</v>
      </c>
      <c r="AE11" s="28">
        <v>35.299999999999997</v>
      </c>
      <c r="AF11" s="28">
        <v>13.776388818877299</v>
      </c>
    </row>
    <row r="12" spans="1:32" x14ac:dyDescent="0.25">
      <c r="B12" s="28" t="s">
        <v>572</v>
      </c>
      <c r="C12" s="28">
        <v>1.6914893617021201</v>
      </c>
      <c r="D12" s="28">
        <v>2.1594202898550701</v>
      </c>
      <c r="E12" s="28">
        <v>2.3050847457627102</v>
      </c>
      <c r="F12" s="28">
        <v>1.8125</v>
      </c>
      <c r="G12" s="28">
        <v>1.5342465753424599</v>
      </c>
      <c r="H12" s="28">
        <v>1.35443037974683</v>
      </c>
      <c r="I12" s="28">
        <v>1.82278481012658</v>
      </c>
      <c r="J12" s="28">
        <v>2.2280701754385901</v>
      </c>
      <c r="K12" s="28">
        <v>1.94047619047619</v>
      </c>
      <c r="L12" s="28">
        <v>1.8311688311688299</v>
      </c>
      <c r="M12" s="28">
        <v>1.8679671359619401</v>
      </c>
      <c r="N12" s="28">
        <v>0.30251804098382701</v>
      </c>
      <c r="P12" s="28">
        <f t="shared" si="0"/>
        <v>9.924471221036182E-6</v>
      </c>
      <c r="Q12" s="28">
        <f t="shared" si="1"/>
        <v>0.49785904304643913</v>
      </c>
      <c r="R12" s="28">
        <f t="shared" si="2"/>
        <v>8.1241510041028567E-5</v>
      </c>
      <c r="T12" s="28" t="s">
        <v>572</v>
      </c>
      <c r="U12" s="28">
        <v>1.5454545454545401</v>
      </c>
      <c r="V12" s="28">
        <v>2.2395833333333299</v>
      </c>
      <c r="W12" s="28">
        <v>1.3373493975903601</v>
      </c>
      <c r="X12" s="28">
        <v>1.4393939393939299</v>
      </c>
      <c r="Y12" s="28">
        <v>1.96923076923076</v>
      </c>
      <c r="Z12" s="28">
        <v>1.8382352941176401</v>
      </c>
      <c r="AA12" s="28">
        <v>2.04838709677419</v>
      </c>
      <c r="AB12" s="28">
        <v>1.4358974358974299</v>
      </c>
      <c r="AC12" s="28">
        <v>2.1320754716981098</v>
      </c>
      <c r="AD12" s="28">
        <v>1.72727272727272</v>
      </c>
      <c r="AE12" s="28">
        <v>1.7712880010762999</v>
      </c>
      <c r="AF12" s="28">
        <v>0.32211050735054397</v>
      </c>
    </row>
    <row r="13" spans="1:32" x14ac:dyDescent="0.25">
      <c r="B13" s="28" t="s">
        <v>573</v>
      </c>
      <c r="C13" s="28">
        <v>1.875</v>
      </c>
      <c r="D13" s="28">
        <v>2.5510204081632599</v>
      </c>
      <c r="E13" s="28">
        <v>2.68965517241379</v>
      </c>
      <c r="F13" s="28">
        <v>1.8571428571428501</v>
      </c>
      <c r="G13" s="28">
        <v>1.62745098039215</v>
      </c>
      <c r="H13" s="28">
        <v>1.39130434782608</v>
      </c>
      <c r="I13" s="28">
        <v>2.15</v>
      </c>
      <c r="J13" s="28">
        <v>2.2857142857142798</v>
      </c>
      <c r="K13" s="28">
        <v>1.98</v>
      </c>
      <c r="L13" s="28">
        <v>1.8780487804878001</v>
      </c>
      <c r="M13" s="28">
        <v>2.0285336832140199</v>
      </c>
      <c r="N13" s="28">
        <v>0.39942279486573001</v>
      </c>
      <c r="P13" s="28">
        <f t="shared" si="0"/>
        <v>3.5987321571068398E-5</v>
      </c>
      <c r="Q13" s="28">
        <f t="shared" si="1"/>
        <v>0.7941885768356467</v>
      </c>
      <c r="R13" s="28">
        <f t="shared" si="2"/>
        <v>3.3481298303640784E-4</v>
      </c>
      <c r="T13" s="28" t="s">
        <v>573</v>
      </c>
      <c r="U13" s="28">
        <v>1.5925925925925899</v>
      </c>
      <c r="V13" s="28">
        <v>2.5593220338983</v>
      </c>
      <c r="W13" s="28">
        <v>1.41071428571428</v>
      </c>
      <c r="X13" s="28">
        <v>1.6764705882352899</v>
      </c>
      <c r="Y13" s="28">
        <v>2.52941176470588</v>
      </c>
      <c r="Z13" s="28">
        <v>1.9302325581395301</v>
      </c>
      <c r="AA13" s="28">
        <v>2.2564102564102502</v>
      </c>
      <c r="AB13" s="28">
        <v>1.4776119402985</v>
      </c>
      <c r="AC13" s="28">
        <v>2.2727272727272698</v>
      </c>
      <c r="AD13" s="28">
        <v>2.0909090909090899</v>
      </c>
      <c r="AE13" s="28">
        <v>1.9796402383631</v>
      </c>
      <c r="AF13" s="28">
        <v>0.42596688874664501</v>
      </c>
    </row>
    <row r="14" spans="1:32" x14ac:dyDescent="0.25">
      <c r="B14" s="28" t="s">
        <v>574</v>
      </c>
      <c r="C14" s="28">
        <v>1.42105263157894</v>
      </c>
      <c r="D14" s="28">
        <v>1.2</v>
      </c>
      <c r="E14" s="28">
        <v>1.93333333333333</v>
      </c>
      <c r="F14" s="28">
        <v>1.74193548387096</v>
      </c>
      <c r="G14" s="28">
        <v>1.3181818181818099</v>
      </c>
      <c r="H14" s="28">
        <v>1.3030303030303001</v>
      </c>
      <c r="I14" s="28">
        <v>1.4750000000000001</v>
      </c>
      <c r="J14" s="28">
        <v>2.13636363636363</v>
      </c>
      <c r="K14" s="28">
        <v>1.8823529411764699</v>
      </c>
      <c r="L14" s="28">
        <v>1.7777777777777699</v>
      </c>
      <c r="M14" s="28">
        <v>1.61890279253132</v>
      </c>
      <c r="N14" s="28">
        <v>0.316571452054</v>
      </c>
      <c r="P14" s="28">
        <f t="shared" si="0"/>
        <v>1.0787356659391012E-4</v>
      </c>
      <c r="Q14" s="28">
        <f t="shared" si="1"/>
        <v>0.35996485446496662</v>
      </c>
      <c r="R14" s="28">
        <f t="shared" si="2"/>
        <v>1.1620595376712648E-4</v>
      </c>
      <c r="T14" s="28" t="s">
        <v>574</v>
      </c>
      <c r="U14" s="28">
        <v>1.45</v>
      </c>
      <c r="V14" s="28">
        <v>1.7105263157894699</v>
      </c>
      <c r="W14" s="28">
        <v>1.18518518518518</v>
      </c>
      <c r="X14" s="28">
        <v>1.18461538461538</v>
      </c>
      <c r="Y14" s="28">
        <v>1.3548387096774099</v>
      </c>
      <c r="Z14" s="28">
        <v>1.68</v>
      </c>
      <c r="AA14" s="28">
        <v>1.6956521739130399</v>
      </c>
      <c r="AB14" s="28">
        <v>1.38</v>
      </c>
      <c r="AC14" s="28">
        <v>1.9</v>
      </c>
      <c r="AD14" s="28">
        <v>1.47058823529411</v>
      </c>
      <c r="AE14" s="28">
        <v>1.5011406004474599</v>
      </c>
      <c r="AF14" s="28">
        <v>0.23860724783217299</v>
      </c>
    </row>
    <row r="15" spans="1:32" x14ac:dyDescent="0.25"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P15" s="28" t="e">
        <f t="shared" si="0"/>
        <v>#DIV/0!</v>
      </c>
      <c r="Q15" s="28" t="e">
        <f t="shared" si="1"/>
        <v>#DIV/0!</v>
      </c>
      <c r="R15" s="28" t="e">
        <f t="shared" si="2"/>
        <v>#DIV/0!</v>
      </c>
      <c r="T15" s="28" t="s">
        <v>575</v>
      </c>
      <c r="U15" s="28">
        <v>100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100</v>
      </c>
      <c r="AE15" s="28">
        <v>100</v>
      </c>
      <c r="AF15" s="28">
        <v>0</v>
      </c>
    </row>
    <row r="16" spans="1:32" x14ac:dyDescent="0.25"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P16" s="28" t="e">
        <f t="shared" si="0"/>
        <v>#DIV/0!</v>
      </c>
      <c r="Q16" s="28" t="e">
        <f t="shared" si="1"/>
        <v>#DIV/0!</v>
      </c>
      <c r="R16" s="28">
        <f t="shared" si="2"/>
        <v>0.33056493127818387</v>
      </c>
      <c r="T16" s="28" t="s">
        <v>576</v>
      </c>
      <c r="U16" s="28">
        <v>100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100</v>
      </c>
      <c r="AE16" s="28">
        <v>100</v>
      </c>
      <c r="AF16" s="28">
        <v>0</v>
      </c>
    </row>
    <row r="17" spans="2:32" x14ac:dyDescent="0.25"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P17" s="28" t="e">
        <f t="shared" si="0"/>
        <v>#DIV/0!</v>
      </c>
      <c r="Q17" s="28" t="e">
        <f t="shared" si="1"/>
        <v>#DIV/0!</v>
      </c>
      <c r="R17" s="28" t="e">
        <f t="shared" si="2"/>
        <v>#DIV/0!</v>
      </c>
      <c r="T17" s="28" t="s">
        <v>577</v>
      </c>
      <c r="U17" s="28">
        <v>100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100</v>
      </c>
      <c r="AE17" s="28">
        <v>100</v>
      </c>
      <c r="AF17" s="28">
        <v>0</v>
      </c>
    </row>
    <row r="18" spans="2:32" x14ac:dyDescent="0.25">
      <c r="B18" s="28" t="s">
        <v>578</v>
      </c>
      <c r="C18" s="28">
        <v>221</v>
      </c>
      <c r="D18" s="28">
        <v>211</v>
      </c>
      <c r="E18" s="28">
        <v>175</v>
      </c>
      <c r="F18" s="28">
        <v>182</v>
      </c>
      <c r="G18" s="28">
        <v>173</v>
      </c>
      <c r="H18" s="28">
        <v>151</v>
      </c>
      <c r="I18" s="28">
        <v>212</v>
      </c>
      <c r="J18" s="28">
        <v>160</v>
      </c>
      <c r="K18" s="28">
        <v>234</v>
      </c>
      <c r="L18" s="28">
        <v>185</v>
      </c>
      <c r="M18" s="28">
        <v>190.4</v>
      </c>
      <c r="N18" s="28">
        <v>27.576963010616101</v>
      </c>
      <c r="P18" s="28">
        <f t="shared" si="0"/>
        <v>1.406780150049677E-5</v>
      </c>
      <c r="Q18" s="28">
        <f t="shared" si="1"/>
        <v>0.263204510770216</v>
      </c>
      <c r="R18" s="28">
        <f t="shared" si="2"/>
        <v>1.1188027811887805E-4</v>
      </c>
      <c r="T18" s="28" t="s">
        <v>578</v>
      </c>
      <c r="U18" s="28">
        <v>288</v>
      </c>
      <c r="V18" s="28">
        <v>260</v>
      </c>
      <c r="W18" s="28">
        <v>198</v>
      </c>
      <c r="X18" s="28">
        <v>292</v>
      </c>
      <c r="Y18" s="28">
        <v>241</v>
      </c>
      <c r="Z18" s="28">
        <v>156</v>
      </c>
      <c r="AA18" s="28">
        <v>172</v>
      </c>
      <c r="AB18" s="28">
        <v>251</v>
      </c>
      <c r="AC18" s="28">
        <v>155</v>
      </c>
      <c r="AD18" s="28">
        <v>130</v>
      </c>
      <c r="AE18" s="28">
        <v>214.3</v>
      </c>
      <c r="AF18" s="28">
        <v>59.3427895086392</v>
      </c>
    </row>
    <row r="19" spans="2:32" x14ac:dyDescent="0.25">
      <c r="B19" s="28" t="s">
        <v>579</v>
      </c>
      <c r="C19" s="28">
        <v>128</v>
      </c>
      <c r="D19" s="28">
        <v>162</v>
      </c>
      <c r="E19" s="28">
        <v>93</v>
      </c>
      <c r="F19" s="28">
        <v>99</v>
      </c>
      <c r="G19" s="28">
        <v>96</v>
      </c>
      <c r="H19" s="28">
        <v>79</v>
      </c>
      <c r="I19" s="28">
        <v>112</v>
      </c>
      <c r="J19" s="28">
        <v>92</v>
      </c>
      <c r="K19" s="28">
        <v>136</v>
      </c>
      <c r="L19" s="28">
        <v>99</v>
      </c>
      <c r="M19" s="28">
        <v>109.6</v>
      </c>
      <c r="N19" s="28">
        <v>25.206701049081701</v>
      </c>
      <c r="P19" s="28">
        <f t="shared" si="0"/>
        <v>2.7054115365485735E-4</v>
      </c>
      <c r="Q19" s="28">
        <f t="shared" si="1"/>
        <v>0.31969705551808825</v>
      </c>
      <c r="R19" s="28">
        <f t="shared" si="2"/>
        <v>9.3470402400249797E-4</v>
      </c>
      <c r="T19" s="28" t="s">
        <v>579</v>
      </c>
      <c r="U19" s="28">
        <v>174</v>
      </c>
      <c r="V19" s="28">
        <v>172</v>
      </c>
      <c r="W19" s="28">
        <v>145</v>
      </c>
      <c r="X19" s="28">
        <v>125</v>
      </c>
      <c r="Y19" s="28">
        <v>150</v>
      </c>
      <c r="Z19" s="28">
        <v>96</v>
      </c>
      <c r="AA19" s="28">
        <v>104</v>
      </c>
      <c r="AB19" s="28">
        <v>129</v>
      </c>
      <c r="AC19" s="28">
        <v>93</v>
      </c>
      <c r="AD19" s="28">
        <v>55</v>
      </c>
      <c r="AE19" s="28">
        <v>124.3</v>
      </c>
      <c r="AF19" s="28">
        <v>37.7890342706864</v>
      </c>
    </row>
    <row r="20" spans="2:32" x14ac:dyDescent="0.25">
      <c r="B20" s="28" t="s">
        <v>580</v>
      </c>
      <c r="C20" s="28">
        <v>92</v>
      </c>
      <c r="D20" s="28">
        <v>48</v>
      </c>
      <c r="E20" s="28">
        <v>81</v>
      </c>
      <c r="F20" s="28">
        <v>82</v>
      </c>
      <c r="G20" s="28">
        <v>76</v>
      </c>
      <c r="H20" s="28">
        <v>71</v>
      </c>
      <c r="I20" s="28">
        <v>99</v>
      </c>
      <c r="J20" s="28">
        <v>67</v>
      </c>
      <c r="K20" s="28">
        <v>97</v>
      </c>
      <c r="L20" s="28">
        <v>85</v>
      </c>
      <c r="M20" s="28">
        <v>79.8</v>
      </c>
      <c r="N20" s="28">
        <v>15.324635214074201</v>
      </c>
      <c r="P20" s="28">
        <f t="shared" si="0"/>
        <v>1.6242784711091092E-3</v>
      </c>
      <c r="Q20" s="28">
        <f t="shared" si="1"/>
        <v>0.46077281877925724</v>
      </c>
      <c r="R20" s="28">
        <f t="shared" si="2"/>
        <v>1.0501728555935997E-3</v>
      </c>
      <c r="T20" s="28" t="s">
        <v>580</v>
      </c>
      <c r="U20" s="28">
        <v>113</v>
      </c>
      <c r="V20" s="28">
        <v>87</v>
      </c>
      <c r="W20" s="28">
        <v>52</v>
      </c>
      <c r="X20" s="28">
        <v>166</v>
      </c>
      <c r="Y20" s="28">
        <v>90</v>
      </c>
      <c r="Z20" s="28">
        <v>59</v>
      </c>
      <c r="AA20" s="28">
        <v>67</v>
      </c>
      <c r="AB20" s="28">
        <v>121</v>
      </c>
      <c r="AC20" s="28">
        <v>61</v>
      </c>
      <c r="AD20" s="28">
        <v>74</v>
      </c>
      <c r="AE20" s="28">
        <v>89</v>
      </c>
      <c r="AF20" s="28">
        <v>35.427547348230398</v>
      </c>
    </row>
    <row r="21" spans="2:32" x14ac:dyDescent="0.25">
      <c r="B21" s="28" t="s">
        <v>581</v>
      </c>
      <c r="C21" s="28">
        <v>8.1900452488687693E-3</v>
      </c>
      <c r="D21" s="28">
        <v>9.3364928909952603E-3</v>
      </c>
      <c r="E21" s="28">
        <v>8.6285714285714195E-3</v>
      </c>
      <c r="F21" s="28">
        <v>9.0109890109890105E-3</v>
      </c>
      <c r="G21" s="28">
        <v>7.91907514450867E-3</v>
      </c>
      <c r="H21" s="28">
        <v>8.8741721854304605E-3</v>
      </c>
      <c r="I21" s="28">
        <v>7.6886792452830104E-3</v>
      </c>
      <c r="J21" s="28">
        <v>9.1249999999999994E-3</v>
      </c>
      <c r="K21" s="28">
        <v>9.0598290598290603E-3</v>
      </c>
      <c r="L21" s="28">
        <v>8.9189189189189198E-3</v>
      </c>
      <c r="M21" s="28">
        <v>8.6751773133394595E-3</v>
      </c>
      <c r="N21" s="28">
        <v>5.5595846076960504E-4</v>
      </c>
      <c r="P21" s="28">
        <f t="shared" si="0"/>
        <v>1.6279102574424541E-5</v>
      </c>
      <c r="Q21" s="28">
        <f t="shared" si="1"/>
        <v>4.6992813833659601E-2</v>
      </c>
      <c r="R21" s="28">
        <f t="shared" si="2"/>
        <v>3.3772796015105579E-4</v>
      </c>
      <c r="T21" s="28" t="s">
        <v>581</v>
      </c>
      <c r="U21" s="28">
        <v>8.0555555555555502E-3</v>
      </c>
      <c r="V21" s="28">
        <v>8.96153846153846E-3</v>
      </c>
      <c r="W21" s="28">
        <v>7.0202020202020203E-3</v>
      </c>
      <c r="X21" s="28">
        <v>8.0479452054794502E-3</v>
      </c>
      <c r="Y21" s="28">
        <v>7.2199170124481304E-3</v>
      </c>
      <c r="Z21" s="28">
        <v>8.8461538461538404E-3</v>
      </c>
      <c r="AA21" s="28">
        <v>7.9069767441860405E-3</v>
      </c>
      <c r="AB21" s="28">
        <v>7.6892430278884399E-3</v>
      </c>
      <c r="AC21" s="28">
        <v>8.7096774193548294E-3</v>
      </c>
      <c r="AD21" s="28">
        <v>8.4615384615384596E-3</v>
      </c>
      <c r="AE21" s="28">
        <v>8.0918747754345193E-3</v>
      </c>
      <c r="AF21" s="28">
        <v>6.62648266410574E-4</v>
      </c>
    </row>
    <row r="22" spans="2:32" x14ac:dyDescent="0.25">
      <c r="B22" s="28" t="s">
        <v>582</v>
      </c>
      <c r="C22" s="28">
        <v>88.28125</v>
      </c>
      <c r="D22" s="28">
        <v>98.765432098765402</v>
      </c>
      <c r="E22" s="28">
        <v>88.172043010752603</v>
      </c>
      <c r="F22" s="28">
        <v>95.959595959595902</v>
      </c>
      <c r="G22" s="28">
        <v>88.5416666666666</v>
      </c>
      <c r="H22" s="28">
        <v>93.670886075949298</v>
      </c>
      <c r="I22" s="28">
        <v>79.464285714285694</v>
      </c>
      <c r="J22" s="28">
        <v>93.478260869565204</v>
      </c>
      <c r="K22" s="28">
        <v>98.529411764705799</v>
      </c>
      <c r="L22" s="28">
        <v>92.929292929292899</v>
      </c>
      <c r="M22" s="28">
        <v>91.779212508957897</v>
      </c>
      <c r="N22" s="28">
        <v>5.8406856301729899</v>
      </c>
      <c r="P22" s="28">
        <f t="shared" si="0"/>
        <v>2.4577344727887371E-5</v>
      </c>
      <c r="Q22" s="28">
        <f t="shared" si="1"/>
        <v>0.17206413874877469</v>
      </c>
      <c r="R22" s="28">
        <f t="shared" si="2"/>
        <v>9.4156770521914377E-3</v>
      </c>
      <c r="T22" s="28" t="s">
        <v>582</v>
      </c>
      <c r="U22" s="28">
        <v>85.632183908045903</v>
      </c>
      <c r="V22" s="28">
        <v>92.441860465116207</v>
      </c>
      <c r="W22" s="28">
        <v>69.655172413793096</v>
      </c>
      <c r="X22" s="28">
        <v>97.6</v>
      </c>
      <c r="Y22" s="28">
        <v>77.3333333333333</v>
      </c>
      <c r="Z22" s="28">
        <v>94.7916666666666</v>
      </c>
      <c r="AA22" s="28">
        <v>86.538461538461505</v>
      </c>
      <c r="AB22" s="28">
        <v>81.395348837209298</v>
      </c>
      <c r="AC22" s="28">
        <v>90.322580645161196</v>
      </c>
      <c r="AD22" s="28">
        <v>94.545454545454504</v>
      </c>
      <c r="AE22" s="28">
        <v>87.025606235324204</v>
      </c>
      <c r="AF22" s="28">
        <v>8.8093026973612893</v>
      </c>
    </row>
    <row r="23" spans="2:32" x14ac:dyDescent="0.25">
      <c r="B23" s="28" t="s">
        <v>583</v>
      </c>
      <c r="C23" s="28">
        <v>76.086956521739097</v>
      </c>
      <c r="D23" s="28">
        <v>81.25</v>
      </c>
      <c r="E23" s="28">
        <v>87.654320987654302</v>
      </c>
      <c r="F23" s="28">
        <v>86.585365853658502</v>
      </c>
      <c r="G23" s="28">
        <v>71.052631578947299</v>
      </c>
      <c r="H23" s="28">
        <v>87.323943661971796</v>
      </c>
      <c r="I23" s="28">
        <v>75.757575757575694</v>
      </c>
      <c r="J23" s="28">
        <v>92.537313432835802</v>
      </c>
      <c r="K23" s="28">
        <v>82.474226804123703</v>
      </c>
      <c r="L23" s="28">
        <v>88.235294117647001</v>
      </c>
      <c r="M23" s="28">
        <v>82.895762871615304</v>
      </c>
      <c r="N23" s="28">
        <v>6.8133485637397797</v>
      </c>
      <c r="P23" s="28">
        <f t="shared" si="0"/>
        <v>6.6231113187540291E-4</v>
      </c>
      <c r="Q23" s="28">
        <f t="shared" si="1"/>
        <v>5.3115644001192085E-2</v>
      </c>
      <c r="R23" s="28">
        <f t="shared" si="2"/>
        <v>2.110834581462058E-3</v>
      </c>
      <c r="T23" s="28" t="s">
        <v>583</v>
      </c>
      <c r="U23" s="28">
        <v>74.336283185840699</v>
      </c>
      <c r="V23" s="28">
        <v>86.2068965517241</v>
      </c>
      <c r="W23" s="28">
        <v>76.923076923076906</v>
      </c>
      <c r="X23" s="28">
        <v>68.674698795180703</v>
      </c>
      <c r="Y23" s="28">
        <v>66.6666666666666</v>
      </c>
      <c r="Z23" s="28">
        <v>83.0508474576271</v>
      </c>
      <c r="AA23" s="28">
        <v>70.149253731343293</v>
      </c>
      <c r="AB23" s="28">
        <v>74.380165289256198</v>
      </c>
      <c r="AC23" s="28">
        <v>85.245901639344197</v>
      </c>
      <c r="AD23" s="28">
        <v>79.729729729729698</v>
      </c>
      <c r="AE23" s="28">
        <v>76.536351996978894</v>
      </c>
      <c r="AF23" s="28">
        <v>6.9254947942716401</v>
      </c>
    </row>
    <row r="24" spans="2:32" x14ac:dyDescent="0.25">
      <c r="B24" s="28" t="s">
        <v>584</v>
      </c>
      <c r="C24" s="28">
        <v>22.231111111111101</v>
      </c>
      <c r="D24" s="28">
        <v>23.682777777777702</v>
      </c>
      <c r="E24" s="28">
        <v>22.606666666666602</v>
      </c>
      <c r="F24" s="28">
        <v>23.7005555555555</v>
      </c>
      <c r="G24" s="28">
        <v>22.574166666666599</v>
      </c>
      <c r="H24" s="28">
        <v>22.295833333333299</v>
      </c>
      <c r="I24" s="28">
        <v>22.518333333333299</v>
      </c>
      <c r="J24" s="28">
        <v>23.6163888888888</v>
      </c>
      <c r="K24" s="28">
        <v>22.580833333333299</v>
      </c>
      <c r="L24" s="28">
        <v>23.524999999999999</v>
      </c>
      <c r="M24" s="28">
        <v>22.933166666666601</v>
      </c>
      <c r="N24" s="28">
        <v>0.61451392960981599</v>
      </c>
      <c r="P24" s="28">
        <f t="shared" si="0"/>
        <v>0.36999174691828884</v>
      </c>
      <c r="Q24" s="28">
        <f t="shared" si="1"/>
        <v>0.63653093487579382</v>
      </c>
      <c r="R24" s="28">
        <f t="shared" si="2"/>
        <v>0.92137082851410002</v>
      </c>
      <c r="T24" s="28" t="s">
        <v>584</v>
      </c>
      <c r="U24" s="28">
        <v>22.3180555555555</v>
      </c>
      <c r="V24" s="28">
        <v>24.177777777777699</v>
      </c>
      <c r="W24" s="28">
        <v>21.343333333333302</v>
      </c>
      <c r="X24" s="28">
        <v>23.8183333333333</v>
      </c>
      <c r="Y24" s="28">
        <v>22.738055555555501</v>
      </c>
      <c r="Z24" s="28">
        <v>23.050833333333301</v>
      </c>
      <c r="AA24" s="28">
        <v>22.678055555555499</v>
      </c>
      <c r="AB24" s="28">
        <v>23.9572222222222</v>
      </c>
      <c r="AC24" s="28">
        <v>18.952777777777701</v>
      </c>
      <c r="AD24" s="28">
        <v>23.732222222222202</v>
      </c>
      <c r="AE24" s="28">
        <v>22.676666666666598</v>
      </c>
      <c r="AF24" s="28">
        <v>1.5715617423485799</v>
      </c>
    </row>
    <row r="25" spans="2:32" x14ac:dyDescent="0.25">
      <c r="B25" s="28" t="s">
        <v>585</v>
      </c>
      <c r="C25" s="28">
        <v>-5.9999999999999602E-2</v>
      </c>
      <c r="D25" s="28">
        <v>-5.9999999999999602E-2</v>
      </c>
      <c r="E25" s="28">
        <v>-4.9999999999999802E-2</v>
      </c>
      <c r="F25" s="28">
        <v>-5.9999999999999602E-2</v>
      </c>
      <c r="G25" s="28">
        <v>-6.0000000000000497E-2</v>
      </c>
      <c r="H25" s="28">
        <v>-0.04</v>
      </c>
      <c r="I25" s="28">
        <v>-5.9999999999999602E-2</v>
      </c>
      <c r="J25" s="28">
        <v>-4.9999999999999802E-2</v>
      </c>
      <c r="K25" s="28">
        <v>-4.9999999999999802E-2</v>
      </c>
      <c r="L25" s="28">
        <v>-4.9999999999999802E-2</v>
      </c>
      <c r="M25" s="28">
        <v>-5.3999999999999798E-2</v>
      </c>
      <c r="N25" s="28">
        <v>6.9920589878009398E-3</v>
      </c>
      <c r="P25" s="28">
        <f t="shared" si="0"/>
        <v>4.8037527740951255E-2</v>
      </c>
      <c r="Q25" s="28">
        <f t="shared" si="1"/>
        <v>8.536810936726329E-3</v>
      </c>
      <c r="R25" s="28">
        <f t="shared" si="2"/>
        <v>0.66852954999324954</v>
      </c>
      <c r="T25" s="28" t="s">
        <v>585</v>
      </c>
      <c r="U25" s="28">
        <v>-3.00000000000002E-2</v>
      </c>
      <c r="V25" s="28">
        <v>-4.9999999999999802E-2</v>
      </c>
      <c r="W25" s="28">
        <v>-0.04</v>
      </c>
      <c r="X25" s="28">
        <v>-5.9999999999999602E-2</v>
      </c>
      <c r="Y25" s="28">
        <v>-0.04</v>
      </c>
      <c r="Z25" s="28">
        <v>-0.04</v>
      </c>
      <c r="AA25" s="28">
        <v>-3.9999999999999501E-2</v>
      </c>
      <c r="AB25" s="28">
        <v>-5.0000000000000197E-2</v>
      </c>
      <c r="AC25" s="28">
        <v>-2.9999999999999302E-2</v>
      </c>
      <c r="AD25" s="28">
        <v>-5.0000000000000697E-2</v>
      </c>
      <c r="AE25" s="28">
        <v>-4.2999999999999899E-2</v>
      </c>
      <c r="AF25" s="28">
        <v>9.4868329805051898E-3</v>
      </c>
    </row>
    <row r="26" spans="2:32" x14ac:dyDescent="0.25">
      <c r="B26" s="28" t="s">
        <v>586</v>
      </c>
      <c r="C26" s="28">
        <v>-2.6989204318272498E-3</v>
      </c>
      <c r="D26" s="28">
        <v>-2.5334865936334199E-3</v>
      </c>
      <c r="E26" s="28">
        <v>-2.2117369507519799E-3</v>
      </c>
      <c r="F26" s="28">
        <v>-2.5315862262956599E-3</v>
      </c>
      <c r="G26" s="28">
        <v>-2.6579054228653902E-3</v>
      </c>
      <c r="H26" s="28">
        <v>-1.7940571855727899E-3</v>
      </c>
      <c r="I26" s="28">
        <v>-2.6644955961808701E-3</v>
      </c>
      <c r="J26" s="28">
        <v>-2.1171738082075699E-3</v>
      </c>
      <c r="K26" s="28">
        <v>-2.2142672620585201E-3</v>
      </c>
      <c r="L26" s="28">
        <v>-2.12539851222103E-3</v>
      </c>
      <c r="M26" s="28">
        <v>-2.3549027989614498E-3</v>
      </c>
      <c r="N26" s="28">
        <v>3.0425236859980202E-4</v>
      </c>
      <c r="P26" s="28">
        <f t="shared" si="0"/>
        <v>5.110374041340645E-2</v>
      </c>
      <c r="Q26" s="28">
        <f t="shared" si="1"/>
        <v>3.6961397859947109E-3</v>
      </c>
      <c r="R26" s="28">
        <f t="shared" si="2"/>
        <v>0.70552738774041379</v>
      </c>
      <c r="T26" s="28" t="s">
        <v>586</v>
      </c>
      <c r="U26" s="28">
        <v>-1.3442031240276399E-3</v>
      </c>
      <c r="V26" s="28">
        <v>-2.06801470588234E-3</v>
      </c>
      <c r="W26" s="28">
        <v>-1.8741215055442699E-3</v>
      </c>
      <c r="X26" s="28">
        <v>-2.5190679448603799E-3</v>
      </c>
      <c r="Y26" s="28">
        <v>-1.7591653737615599E-3</v>
      </c>
      <c r="Z26" s="28">
        <v>-1.73529518094067E-3</v>
      </c>
      <c r="AA26" s="28">
        <v>-1.7638196494408199E-3</v>
      </c>
      <c r="AB26" s="28">
        <v>-2.0870533126174E-3</v>
      </c>
      <c r="AC26" s="28">
        <v>-1.5828814304557699E-3</v>
      </c>
      <c r="AD26" s="28">
        <v>-2.10684020787493E-3</v>
      </c>
      <c r="AE26" s="28">
        <v>-1.88404624354058E-3</v>
      </c>
      <c r="AF26" s="28">
        <v>3.2699844713576602E-4</v>
      </c>
    </row>
    <row r="27" spans="2:32" x14ac:dyDescent="0.25">
      <c r="B27" s="28" t="s">
        <v>587</v>
      </c>
      <c r="C27" s="28">
        <v>1.59375</v>
      </c>
      <c r="D27" s="28">
        <v>1.71333333333333</v>
      </c>
      <c r="E27" s="28">
        <v>1.4452554744525501</v>
      </c>
      <c r="F27" s="28">
        <v>1.5342465753424599</v>
      </c>
      <c r="G27" s="28">
        <v>1.5044247787610601</v>
      </c>
      <c r="H27" s="28">
        <v>1.24074074074074</v>
      </c>
      <c r="I27" s="28">
        <v>1.6</v>
      </c>
      <c r="J27" s="28">
        <v>1.546875</v>
      </c>
      <c r="K27" s="28">
        <v>1.3841463414634101</v>
      </c>
      <c r="L27" s="28">
        <v>1.52112676056338</v>
      </c>
      <c r="M27" s="28">
        <v>1.50838990046569</v>
      </c>
      <c r="N27" s="28">
        <v>0.12955765697382601</v>
      </c>
      <c r="P27" s="28">
        <f t="shared" si="0"/>
        <v>0.80966553691433529</v>
      </c>
      <c r="Q27" s="28">
        <f t="shared" si="1"/>
        <v>0.10754601040748249</v>
      </c>
      <c r="R27" s="28">
        <f t="shared" si="2"/>
        <v>0.84286521103414846</v>
      </c>
      <c r="T27" s="28" t="s">
        <v>587</v>
      </c>
      <c r="U27" s="28">
        <v>1.4361702127659499</v>
      </c>
      <c r="V27" s="28">
        <v>1.5879629629629599</v>
      </c>
      <c r="W27" s="28">
        <v>2.0357142857142798</v>
      </c>
      <c r="X27" s="28">
        <v>1.96335078534031</v>
      </c>
      <c r="Y27" s="28">
        <v>1.5426356589147201</v>
      </c>
      <c r="Z27" s="28">
        <v>1.73015873015873</v>
      </c>
      <c r="AA27" s="28">
        <v>1.359375</v>
      </c>
      <c r="AB27" s="28">
        <v>1.6331360946745499</v>
      </c>
      <c r="AC27" s="28">
        <v>1.4649122807017501</v>
      </c>
      <c r="AD27" s="28">
        <v>1.6979166666666601</v>
      </c>
      <c r="AE27" s="28">
        <v>1.6451332677899899</v>
      </c>
      <c r="AF27" s="28">
        <v>0.219987985124176</v>
      </c>
    </row>
    <row r="28" spans="2:32" x14ac:dyDescent="0.25">
      <c r="B28" s="28" t="s">
        <v>588</v>
      </c>
      <c r="C28" s="28">
        <v>1.5</v>
      </c>
      <c r="D28" s="28">
        <v>2</v>
      </c>
      <c r="E28" s="28">
        <v>1</v>
      </c>
      <c r="F28" s="28">
        <v>1</v>
      </c>
      <c r="G28" s="28">
        <v>1</v>
      </c>
      <c r="H28" s="28">
        <v>1</v>
      </c>
      <c r="I28" s="28">
        <v>2</v>
      </c>
      <c r="J28" s="28">
        <v>1</v>
      </c>
      <c r="K28" s="28">
        <v>1</v>
      </c>
      <c r="L28" s="28">
        <v>1</v>
      </c>
      <c r="M28" s="28">
        <v>1.25</v>
      </c>
      <c r="N28" s="28">
        <v>0.42491829279939802</v>
      </c>
      <c r="P28" s="28">
        <f t="shared" si="0"/>
        <v>0.62550657705397772</v>
      </c>
      <c r="Q28" s="28">
        <f t="shared" si="1"/>
        <v>0.11524887428010927</v>
      </c>
      <c r="R28" s="28">
        <f t="shared" si="2"/>
        <v>0.5165499031961478</v>
      </c>
      <c r="T28" s="28" t="s">
        <v>588</v>
      </c>
      <c r="U28" s="28">
        <v>1</v>
      </c>
      <c r="V28" s="28">
        <v>2</v>
      </c>
      <c r="W28" s="28">
        <v>2</v>
      </c>
      <c r="X28" s="28">
        <v>2</v>
      </c>
      <c r="Y28" s="28">
        <v>1</v>
      </c>
      <c r="Z28" s="28">
        <v>2</v>
      </c>
      <c r="AA28" s="28">
        <v>1</v>
      </c>
      <c r="AB28" s="28">
        <v>2</v>
      </c>
      <c r="AC28" s="28">
        <v>1</v>
      </c>
      <c r="AD28" s="28">
        <v>2</v>
      </c>
      <c r="AE28" s="28">
        <v>1.6</v>
      </c>
      <c r="AF28" s="28">
        <v>0.51639777949432197</v>
      </c>
    </row>
    <row r="29" spans="2:32" x14ac:dyDescent="0.25"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P29" s="28" t="e">
        <f t="shared" si="0"/>
        <v>#DIV/0!</v>
      </c>
      <c r="Q29" s="28" t="e">
        <f t="shared" si="1"/>
        <v>#DIV/0!</v>
      </c>
      <c r="R29" s="28" t="e">
        <f t="shared" si="2"/>
        <v>#DIV/0!</v>
      </c>
      <c r="T29" s="28" t="s">
        <v>589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</row>
    <row r="30" spans="2:32" x14ac:dyDescent="0.25">
      <c r="Q30" s="28" t="e">
        <f t="shared" si="1"/>
        <v>#DIV/0!</v>
      </c>
    </row>
    <row r="31" spans="2:32" x14ac:dyDescent="0.25">
      <c r="Q31" s="28" t="e">
        <f t="shared" si="1"/>
        <v>#DIV/0!</v>
      </c>
    </row>
    <row r="32" spans="2:32" x14ac:dyDescent="0.25">
      <c r="Q32" s="28" t="e">
        <f t="shared" si="1"/>
        <v>#DIV/0!</v>
      </c>
    </row>
    <row r="33" spans="1:32" x14ac:dyDescent="0.25">
      <c r="A33" s="49" t="s">
        <v>590</v>
      </c>
      <c r="Q33" s="28" t="e">
        <f t="shared" si="1"/>
        <v>#DIV/0!</v>
      </c>
      <c r="S33" s="56" t="s">
        <v>591</v>
      </c>
    </row>
    <row r="34" spans="1:32" x14ac:dyDescent="0.25">
      <c r="B34" s="28" t="s">
        <v>558</v>
      </c>
      <c r="C34" s="28" t="s">
        <v>134</v>
      </c>
      <c r="D34" s="28" t="s">
        <v>191</v>
      </c>
      <c r="E34" s="28" t="s">
        <v>145</v>
      </c>
      <c r="F34" s="28" t="s">
        <v>203</v>
      </c>
      <c r="G34" s="28" t="s">
        <v>156</v>
      </c>
      <c r="H34" s="28" t="s">
        <v>214</v>
      </c>
      <c r="I34" s="28" t="s">
        <v>168</v>
      </c>
      <c r="J34" s="28" t="s">
        <v>225</v>
      </c>
      <c r="K34" s="28" t="s">
        <v>180</v>
      </c>
      <c r="L34" s="28" t="s">
        <v>236</v>
      </c>
      <c r="M34" s="28" t="s">
        <v>559</v>
      </c>
      <c r="N34" s="28" t="s">
        <v>560</v>
      </c>
      <c r="Q34" s="28" t="e">
        <f t="shared" si="1"/>
        <v>#DIV/0!</v>
      </c>
      <c r="T34" s="28" t="s">
        <v>558</v>
      </c>
      <c r="U34" s="28" t="s">
        <v>21</v>
      </c>
      <c r="V34" s="28" t="s">
        <v>78</v>
      </c>
      <c r="W34" s="28" t="s">
        <v>34</v>
      </c>
      <c r="X34" s="28" t="s">
        <v>89</v>
      </c>
      <c r="Y34" s="28" t="s">
        <v>45</v>
      </c>
      <c r="Z34" s="28" t="s">
        <v>100</v>
      </c>
      <c r="AA34" s="28" t="s">
        <v>56</v>
      </c>
      <c r="AB34" s="28" t="s">
        <v>111</v>
      </c>
      <c r="AC34" s="28" t="s">
        <v>67</v>
      </c>
      <c r="AD34" s="28" t="s">
        <v>122</v>
      </c>
      <c r="AE34" s="28" t="s">
        <v>559</v>
      </c>
      <c r="AF34" s="28" t="s">
        <v>560</v>
      </c>
    </row>
    <row r="35" spans="1:32" x14ac:dyDescent="0.25">
      <c r="B35" s="28" t="s">
        <v>563</v>
      </c>
      <c r="C35" s="28">
        <v>30</v>
      </c>
      <c r="D35" s="28">
        <v>37</v>
      </c>
      <c r="E35" s="28">
        <v>24</v>
      </c>
      <c r="F35" s="28">
        <v>45</v>
      </c>
      <c r="G35" s="28">
        <v>45</v>
      </c>
      <c r="H35" s="28">
        <v>84</v>
      </c>
      <c r="I35" s="28">
        <v>43</v>
      </c>
      <c r="J35" s="28">
        <v>47</v>
      </c>
      <c r="K35" s="28">
        <v>54</v>
      </c>
      <c r="L35" s="28">
        <v>58</v>
      </c>
      <c r="M35" s="28">
        <v>46.7</v>
      </c>
      <c r="N35" s="28">
        <v>16.600200801998302</v>
      </c>
      <c r="Q35" s="28">
        <f t="shared" si="1"/>
        <v>0.93306841879513813</v>
      </c>
      <c r="T35" s="28" t="s">
        <v>563</v>
      </c>
      <c r="U35" s="28">
        <v>3</v>
      </c>
      <c r="V35" s="28">
        <v>29</v>
      </c>
      <c r="W35" s="28">
        <v>48</v>
      </c>
      <c r="X35" s="28">
        <v>26</v>
      </c>
      <c r="Y35" s="28">
        <v>61</v>
      </c>
      <c r="Z35" s="28">
        <v>57</v>
      </c>
      <c r="AA35" s="28">
        <v>43</v>
      </c>
      <c r="AB35" s="28">
        <v>34</v>
      </c>
      <c r="AC35" s="28">
        <v>68</v>
      </c>
      <c r="AD35" s="28">
        <v>90</v>
      </c>
      <c r="AE35" s="28">
        <v>45.9</v>
      </c>
      <c r="AF35" s="28">
        <v>24.632634180425502</v>
      </c>
    </row>
    <row r="36" spans="1:32" x14ac:dyDescent="0.25">
      <c r="B36" s="28" t="s">
        <v>564</v>
      </c>
      <c r="C36" s="28">
        <v>25</v>
      </c>
      <c r="D36" s="28">
        <v>24</v>
      </c>
      <c r="E36" s="28">
        <v>19</v>
      </c>
      <c r="F36" s="28">
        <v>31</v>
      </c>
      <c r="G36" s="28">
        <v>27</v>
      </c>
      <c r="H36" s="28">
        <v>53</v>
      </c>
      <c r="I36" s="28">
        <v>25</v>
      </c>
      <c r="J36" s="28">
        <v>33</v>
      </c>
      <c r="K36" s="28">
        <v>40</v>
      </c>
      <c r="L36" s="28">
        <v>39</v>
      </c>
      <c r="M36" s="28">
        <v>31.6</v>
      </c>
      <c r="N36" s="28">
        <v>10.0576118216779</v>
      </c>
      <c r="Q36" s="28">
        <f t="shared" si="1"/>
        <v>0.98987618454463666</v>
      </c>
      <c r="T36" s="28" t="s">
        <v>564</v>
      </c>
      <c r="U36" s="28">
        <v>0</v>
      </c>
      <c r="V36" s="28">
        <v>15</v>
      </c>
      <c r="W36" s="28">
        <v>31</v>
      </c>
      <c r="X36" s="28">
        <v>4</v>
      </c>
      <c r="Y36" s="28">
        <v>48</v>
      </c>
      <c r="Z36" s="28">
        <v>43</v>
      </c>
      <c r="AA36" s="28">
        <v>28</v>
      </c>
      <c r="AB36" s="28">
        <v>25</v>
      </c>
      <c r="AC36" s="28">
        <v>47</v>
      </c>
      <c r="AD36" s="28">
        <v>74</v>
      </c>
      <c r="AE36" s="28">
        <v>31.5</v>
      </c>
      <c r="AF36" s="28">
        <v>22.4264229079103</v>
      </c>
    </row>
    <row r="37" spans="1:32" x14ac:dyDescent="0.25">
      <c r="B37" s="28" t="s">
        <v>565</v>
      </c>
      <c r="C37" s="28">
        <v>5</v>
      </c>
      <c r="D37" s="28">
        <v>13</v>
      </c>
      <c r="E37" s="28">
        <v>5</v>
      </c>
      <c r="F37" s="28">
        <v>14</v>
      </c>
      <c r="G37" s="28">
        <v>18</v>
      </c>
      <c r="H37" s="28">
        <v>31</v>
      </c>
      <c r="I37" s="28">
        <v>18</v>
      </c>
      <c r="J37" s="28">
        <v>14</v>
      </c>
      <c r="K37" s="28">
        <v>14</v>
      </c>
      <c r="L37" s="28">
        <v>19</v>
      </c>
      <c r="M37" s="28">
        <v>15.1</v>
      </c>
      <c r="N37" s="28">
        <v>7.4304179634197602</v>
      </c>
      <c r="Q37" s="28">
        <f t="shared" si="1"/>
        <v>0.81348032485047828</v>
      </c>
      <c r="T37" s="28" t="s">
        <v>565</v>
      </c>
      <c r="U37" s="28">
        <v>3</v>
      </c>
      <c r="V37" s="28">
        <v>14</v>
      </c>
      <c r="W37" s="28">
        <v>17</v>
      </c>
      <c r="X37" s="28">
        <v>22</v>
      </c>
      <c r="Y37" s="28">
        <v>13</v>
      </c>
      <c r="Z37" s="28">
        <v>14</v>
      </c>
      <c r="AA37" s="28">
        <v>15</v>
      </c>
      <c r="AB37" s="28">
        <v>9</v>
      </c>
      <c r="AC37" s="28">
        <v>21</v>
      </c>
      <c r="AD37" s="28">
        <v>16</v>
      </c>
      <c r="AE37" s="28">
        <v>14.4</v>
      </c>
      <c r="AF37" s="28">
        <v>5.50151494287406</v>
      </c>
    </row>
    <row r="38" spans="1:32" x14ac:dyDescent="0.25">
      <c r="B38" s="28" t="s">
        <v>566</v>
      </c>
      <c r="C38" s="28">
        <v>1.4311270125223601</v>
      </c>
      <c r="D38" s="28">
        <v>1.55491221516623</v>
      </c>
      <c r="E38" s="28">
        <v>1.0794602698650599</v>
      </c>
      <c r="F38" s="28">
        <v>2.0950262524894598</v>
      </c>
      <c r="G38" s="28">
        <v>1.99438617225587</v>
      </c>
      <c r="H38" s="28">
        <v>3.5488375913907801</v>
      </c>
      <c r="I38" s="28">
        <v>1.9132842240569501</v>
      </c>
      <c r="J38" s="28">
        <v>1.9868249550850701</v>
      </c>
      <c r="K38" s="28">
        <v>2.5205507870238302</v>
      </c>
      <c r="L38" s="28">
        <v>2.4655204987719599</v>
      </c>
      <c r="M38" s="28">
        <v>2.0589929978627599</v>
      </c>
      <c r="N38" s="28">
        <v>0.68618480838795803</v>
      </c>
      <c r="Q38" s="28">
        <f t="shared" si="1"/>
        <v>0.91248429131343156</v>
      </c>
      <c r="T38" s="28" t="s">
        <v>566</v>
      </c>
      <c r="U38" s="28">
        <v>0.14179555182102199</v>
      </c>
      <c r="V38" s="28">
        <v>1.29916997473836</v>
      </c>
      <c r="W38" s="28">
        <v>2.1540494384263398</v>
      </c>
      <c r="X38" s="28">
        <v>1.0979600933735201</v>
      </c>
      <c r="Y38" s="28">
        <v>2.7111111111111099</v>
      </c>
      <c r="Z38" s="28">
        <v>2.4881473487650201</v>
      </c>
      <c r="AA38" s="28">
        <v>1.8965939720656699</v>
      </c>
      <c r="AB38" s="28">
        <v>1.4869527187910001</v>
      </c>
      <c r="AC38" s="28">
        <v>3.0945428343888599</v>
      </c>
      <c r="AD38" s="28">
        <v>3.7740684224626899</v>
      </c>
      <c r="AE38" s="28">
        <v>2.0144391465943601</v>
      </c>
      <c r="AF38" s="28">
        <v>1.0615831352976299</v>
      </c>
    </row>
    <row r="39" spans="1:32" x14ac:dyDescent="0.25">
      <c r="B39" s="28" t="s">
        <v>567</v>
      </c>
      <c r="C39" s="28">
        <v>2.2469665950966098</v>
      </c>
      <c r="D39" s="28">
        <v>1.9107857664152801</v>
      </c>
      <c r="E39" s="28">
        <v>1.73107584845493</v>
      </c>
      <c r="F39" s="28">
        <v>2.65942236202459</v>
      </c>
      <c r="G39" s="28">
        <v>2.3251919718680401</v>
      </c>
      <c r="H39" s="28">
        <v>4.5886342319809499</v>
      </c>
      <c r="I39" s="28">
        <v>2.1046231555316499</v>
      </c>
      <c r="J39" s="28">
        <v>2.8420372718356002</v>
      </c>
      <c r="K39" s="28">
        <v>3.3324847839670402</v>
      </c>
      <c r="L39" s="28">
        <v>3.4959288862329099</v>
      </c>
      <c r="M39" s="28">
        <v>2.7237150873407598</v>
      </c>
      <c r="N39" s="28">
        <v>0.87423256265761295</v>
      </c>
      <c r="Q39" s="28">
        <f t="shared" si="1"/>
        <v>0.85019457909700091</v>
      </c>
      <c r="T39" s="28" t="s">
        <v>567</v>
      </c>
      <c r="U39" s="28">
        <v>0</v>
      </c>
      <c r="V39" s="28">
        <v>1.2717552577659399</v>
      </c>
      <c r="W39" s="28">
        <v>2.7036193614031601</v>
      </c>
      <c r="X39" s="28">
        <v>0.34896401308614999</v>
      </c>
      <c r="Y39" s="28">
        <v>3.6804327916338302</v>
      </c>
      <c r="Z39" s="28">
        <v>3.4760739227089998</v>
      </c>
      <c r="AA39" s="28">
        <v>2.34075656596149</v>
      </c>
      <c r="AB39" s="28">
        <v>2.1473051320592602</v>
      </c>
      <c r="AC39" s="28">
        <v>3.9573393207970802</v>
      </c>
      <c r="AD39" s="28">
        <v>6.0874731502216504</v>
      </c>
      <c r="AE39" s="28">
        <v>2.6013719515637601</v>
      </c>
      <c r="AF39" s="28">
        <v>1.8200712623819999</v>
      </c>
    </row>
    <row r="40" spans="1:32" x14ac:dyDescent="0.25">
      <c r="B40" s="28" t="s">
        <v>568</v>
      </c>
      <c r="C40" s="28">
        <v>0.50831662477761097</v>
      </c>
      <c r="D40" s="28">
        <v>1.1570697455929899</v>
      </c>
      <c r="E40" s="28">
        <v>0.444148345547412</v>
      </c>
      <c r="F40" s="28">
        <v>1.42525875233301</v>
      </c>
      <c r="G40" s="28">
        <v>1.6436271401395</v>
      </c>
      <c r="H40" s="28">
        <v>2.5578730231492002</v>
      </c>
      <c r="I40" s="28">
        <v>1.6987809673613801</v>
      </c>
      <c r="J40" s="28">
        <v>1.16236162361623</v>
      </c>
      <c r="K40" s="28">
        <v>1.4860681114551</v>
      </c>
      <c r="L40" s="28">
        <v>1.53614660767624</v>
      </c>
      <c r="M40" s="28">
        <v>1.36196509416487</v>
      </c>
      <c r="N40" s="28">
        <v>0.607878643183973</v>
      </c>
      <c r="Q40" s="28">
        <f t="shared" si="1"/>
        <v>0.92117821619270124</v>
      </c>
      <c r="T40" s="28" t="s">
        <v>568</v>
      </c>
      <c r="U40" s="28">
        <v>0.31618701876628502</v>
      </c>
      <c r="V40" s="28">
        <v>1.32988548208348</v>
      </c>
      <c r="W40" s="28">
        <v>1.5715276172868</v>
      </c>
      <c r="X40" s="28">
        <v>1.8006547835576501</v>
      </c>
      <c r="Y40" s="28">
        <v>1.3744897060119201</v>
      </c>
      <c r="Z40" s="28">
        <v>1.32848331488217</v>
      </c>
      <c r="AA40" s="28">
        <v>1.4005238996809899</v>
      </c>
      <c r="AB40" s="28">
        <v>0.80192064945672303</v>
      </c>
      <c r="AC40" s="28">
        <v>2.0797227036395101</v>
      </c>
      <c r="AD40" s="28">
        <v>1.3685936274859201</v>
      </c>
      <c r="AE40" s="28">
        <v>1.33719888028514</v>
      </c>
      <c r="AF40" s="28">
        <v>0.48950618042437599</v>
      </c>
    </row>
    <row r="41" spans="1:32" x14ac:dyDescent="0.25">
      <c r="B41" s="28" t="s">
        <v>569</v>
      </c>
      <c r="C41" s="28">
        <v>18</v>
      </c>
      <c r="D41" s="28">
        <v>33</v>
      </c>
      <c r="E41" s="28">
        <v>19</v>
      </c>
      <c r="F41" s="28">
        <v>35</v>
      </c>
      <c r="G41" s="28">
        <v>40</v>
      </c>
      <c r="H41" s="28">
        <v>77</v>
      </c>
      <c r="I41" s="28">
        <v>39</v>
      </c>
      <c r="J41" s="28">
        <v>35</v>
      </c>
      <c r="K41" s="28">
        <v>43</v>
      </c>
      <c r="L41" s="28">
        <v>53</v>
      </c>
      <c r="M41" s="28">
        <v>39.200000000000003</v>
      </c>
      <c r="N41" s="28">
        <v>16.8839173969392</v>
      </c>
      <c r="Q41" s="28">
        <f t="shared" si="1"/>
        <v>0.66959592852523342</v>
      </c>
      <c r="T41" s="28" t="s">
        <v>569</v>
      </c>
      <c r="U41" s="28">
        <v>2</v>
      </c>
      <c r="V41" s="28">
        <v>23</v>
      </c>
      <c r="W41" s="28">
        <v>37</v>
      </c>
      <c r="X41" s="28">
        <v>24</v>
      </c>
      <c r="Y41" s="28">
        <v>50</v>
      </c>
      <c r="Z41" s="28">
        <v>44</v>
      </c>
      <c r="AA41" s="28">
        <v>38</v>
      </c>
      <c r="AB41" s="28">
        <v>31</v>
      </c>
      <c r="AC41" s="28">
        <v>46</v>
      </c>
      <c r="AD41" s="28">
        <v>64</v>
      </c>
      <c r="AE41" s="28">
        <v>35.9</v>
      </c>
      <c r="AF41" s="28">
        <v>17.136381051889401</v>
      </c>
    </row>
    <row r="42" spans="1:32" x14ac:dyDescent="0.25">
      <c r="B42" s="28" t="s">
        <v>570</v>
      </c>
      <c r="C42" s="28">
        <v>14</v>
      </c>
      <c r="D42" s="28">
        <v>23</v>
      </c>
      <c r="E42" s="28">
        <v>15</v>
      </c>
      <c r="F42" s="28">
        <v>23</v>
      </c>
      <c r="G42" s="28">
        <v>23</v>
      </c>
      <c r="H42" s="28">
        <v>49</v>
      </c>
      <c r="I42" s="28">
        <v>24</v>
      </c>
      <c r="J42" s="28">
        <v>26</v>
      </c>
      <c r="K42" s="28">
        <v>31</v>
      </c>
      <c r="L42" s="28">
        <v>35</v>
      </c>
      <c r="M42" s="28">
        <v>26.3</v>
      </c>
      <c r="N42" s="28">
        <v>10.1658469614904</v>
      </c>
      <c r="Q42" s="28">
        <f t="shared" si="1"/>
        <v>0.96489579164527883</v>
      </c>
      <c r="T42" s="28" t="s">
        <v>570</v>
      </c>
      <c r="V42" s="28">
        <v>11</v>
      </c>
      <c r="W42" s="28">
        <v>23</v>
      </c>
      <c r="X42" s="28">
        <v>3</v>
      </c>
      <c r="Y42" s="28">
        <v>40</v>
      </c>
      <c r="Z42" s="28">
        <v>32</v>
      </c>
      <c r="AA42" s="28">
        <v>24</v>
      </c>
      <c r="AB42" s="28">
        <v>23</v>
      </c>
      <c r="AC42" s="28">
        <v>31</v>
      </c>
      <c r="AD42" s="28">
        <v>52</v>
      </c>
      <c r="AE42" s="28">
        <v>26.5555555555555</v>
      </c>
      <c r="AF42" s="28">
        <v>14.6040329285364</v>
      </c>
    </row>
    <row r="43" spans="1:32" x14ac:dyDescent="0.25">
      <c r="B43" s="28" t="s">
        <v>571</v>
      </c>
      <c r="C43" s="28">
        <v>4</v>
      </c>
      <c r="D43" s="28">
        <v>11</v>
      </c>
      <c r="E43" s="28">
        <v>5</v>
      </c>
      <c r="F43" s="28">
        <v>12</v>
      </c>
      <c r="G43" s="28">
        <v>17</v>
      </c>
      <c r="H43" s="28">
        <v>28</v>
      </c>
      <c r="I43" s="28">
        <v>16</v>
      </c>
      <c r="J43" s="28">
        <v>9</v>
      </c>
      <c r="K43" s="28">
        <v>12</v>
      </c>
      <c r="L43" s="28">
        <v>18</v>
      </c>
      <c r="M43" s="28">
        <v>13.2</v>
      </c>
      <c r="N43" s="28">
        <v>7.0047602861672997</v>
      </c>
      <c r="Q43" s="28">
        <f t="shared" si="1"/>
        <v>0.71929559296691536</v>
      </c>
      <c r="T43" s="28" t="s">
        <v>571</v>
      </c>
      <c r="U43" s="28">
        <v>2</v>
      </c>
      <c r="V43" s="28">
        <v>12</v>
      </c>
      <c r="W43" s="28">
        <v>14</v>
      </c>
      <c r="X43" s="28">
        <v>21</v>
      </c>
      <c r="Y43" s="28">
        <v>10</v>
      </c>
      <c r="Z43" s="28">
        <v>12</v>
      </c>
      <c r="AA43" s="28">
        <v>14</v>
      </c>
      <c r="AB43" s="28">
        <v>8</v>
      </c>
      <c r="AC43" s="28">
        <v>17</v>
      </c>
      <c r="AD43" s="28">
        <v>12</v>
      </c>
      <c r="AE43" s="28">
        <v>12.2</v>
      </c>
      <c r="AF43" s="28">
        <v>5.0946595132114103</v>
      </c>
    </row>
    <row r="44" spans="1:32" x14ac:dyDescent="0.25">
      <c r="B44" s="28" t="s">
        <v>572</v>
      </c>
      <c r="C44" s="28">
        <v>1.6111111111111101</v>
      </c>
      <c r="D44" s="28">
        <v>1.0909090909090899</v>
      </c>
      <c r="E44" s="28">
        <v>1.2105263157894699</v>
      </c>
      <c r="F44" s="28">
        <v>1.25714285714285</v>
      </c>
      <c r="G44" s="28">
        <v>1.1000000000000001</v>
      </c>
      <c r="H44" s="28">
        <v>1.07792207792207</v>
      </c>
      <c r="I44" s="28">
        <v>1.07692307692307</v>
      </c>
      <c r="J44" s="28">
        <v>1.3142857142857101</v>
      </c>
      <c r="K44" s="28">
        <v>1.2325581395348799</v>
      </c>
      <c r="L44" s="28">
        <v>1.0754716981132</v>
      </c>
      <c r="M44" s="28">
        <v>1.2046850081731399</v>
      </c>
      <c r="N44" s="28">
        <v>0.167911779587953</v>
      </c>
      <c r="Q44" s="28">
        <f t="shared" si="1"/>
        <v>0.96929380600934945</v>
      </c>
      <c r="T44" s="28" t="s">
        <v>572</v>
      </c>
      <c r="U44" s="28">
        <v>1</v>
      </c>
      <c r="V44" s="28">
        <v>1.2173913043478199</v>
      </c>
      <c r="W44" s="28">
        <v>1.27027027027027</v>
      </c>
      <c r="X44" s="28">
        <v>1.0416666666666601</v>
      </c>
      <c r="Y44" s="28">
        <v>1.2</v>
      </c>
      <c r="Z44" s="28">
        <v>1.27272727272727</v>
      </c>
      <c r="AA44" s="28">
        <v>1.1052631578947301</v>
      </c>
      <c r="AB44" s="28">
        <v>1.06451612903225</v>
      </c>
      <c r="AC44" s="28">
        <v>1.4565217391304299</v>
      </c>
      <c r="AD44" s="28">
        <v>1.390625</v>
      </c>
      <c r="AE44" s="28">
        <v>1.20189815400694</v>
      </c>
      <c r="AF44" s="28">
        <v>0.15093607216419999</v>
      </c>
    </row>
    <row r="45" spans="1:32" x14ac:dyDescent="0.25">
      <c r="B45" s="28" t="s">
        <v>573</v>
      </c>
      <c r="C45" s="28">
        <v>1.78571428571428</v>
      </c>
      <c r="D45" s="28">
        <v>1.0869565217391299</v>
      </c>
      <c r="E45" s="28">
        <v>1.2666666666666599</v>
      </c>
      <c r="F45" s="28">
        <v>1.34782608695652</v>
      </c>
      <c r="G45" s="28">
        <v>1.1739130434782601</v>
      </c>
      <c r="H45" s="28">
        <v>1.0816326530612199</v>
      </c>
      <c r="I45" s="28">
        <v>1.0833333333333299</v>
      </c>
      <c r="J45" s="28">
        <v>1.2692307692307601</v>
      </c>
      <c r="K45" s="28">
        <v>1.2903225806451599</v>
      </c>
      <c r="L45" s="28">
        <v>1.1142857142857101</v>
      </c>
      <c r="M45" s="28">
        <v>1.2499881655111</v>
      </c>
      <c r="N45" s="28">
        <v>0.21232819407071299</v>
      </c>
      <c r="Q45" s="28">
        <f t="shared" si="1"/>
        <v>0.46429368525743031</v>
      </c>
      <c r="T45" s="28" t="s">
        <v>573</v>
      </c>
      <c r="V45" s="28">
        <v>1.36363636363636</v>
      </c>
      <c r="W45" s="28">
        <v>1.34782608695652</v>
      </c>
      <c r="X45" s="28">
        <v>1.3333333333333299</v>
      </c>
      <c r="Y45" s="28">
        <v>1.2</v>
      </c>
      <c r="Z45" s="28">
        <v>1.34375</v>
      </c>
      <c r="AA45" s="28">
        <v>1.1666666666666601</v>
      </c>
      <c r="AB45" s="28">
        <v>1.0869565217391299</v>
      </c>
      <c r="AC45" s="28">
        <v>1.54838709677419</v>
      </c>
      <c r="AD45" s="28">
        <v>1.42307692307692</v>
      </c>
      <c r="AE45" s="28">
        <v>1.3126258880203401</v>
      </c>
      <c r="AF45" s="28">
        <v>0.140506564700766</v>
      </c>
    </row>
    <row r="46" spans="1:32" x14ac:dyDescent="0.25">
      <c r="B46" s="28" t="s">
        <v>574</v>
      </c>
      <c r="C46" s="28">
        <v>1</v>
      </c>
      <c r="D46" s="28">
        <v>1.0909090909090899</v>
      </c>
      <c r="E46" s="28">
        <v>1</v>
      </c>
      <c r="F46" s="28">
        <v>1.0833333333333299</v>
      </c>
      <c r="G46" s="28">
        <v>1</v>
      </c>
      <c r="H46" s="28">
        <v>1.0714285714285701</v>
      </c>
      <c r="I46" s="28">
        <v>1.0625</v>
      </c>
      <c r="J46" s="28">
        <v>1.44444444444444</v>
      </c>
      <c r="K46" s="28">
        <v>1.0833333333333299</v>
      </c>
      <c r="L46" s="28">
        <v>1</v>
      </c>
      <c r="M46" s="28">
        <v>1.08359487734487</v>
      </c>
      <c r="N46" s="28">
        <v>0.13283719004422601</v>
      </c>
      <c r="Q46" s="28">
        <f t="shared" si="1"/>
        <v>0.76744064955000335</v>
      </c>
      <c r="T46" s="28" t="s">
        <v>574</v>
      </c>
      <c r="U46" s="28">
        <v>1</v>
      </c>
      <c r="V46" s="28">
        <v>1.0833333333333299</v>
      </c>
      <c r="W46" s="28">
        <v>1.1428571428571399</v>
      </c>
      <c r="X46" s="28">
        <v>1</v>
      </c>
      <c r="Y46" s="28">
        <v>1.2</v>
      </c>
      <c r="Z46" s="28">
        <v>1.0833333333333299</v>
      </c>
      <c r="AA46" s="28">
        <v>1</v>
      </c>
      <c r="AB46" s="28">
        <v>1</v>
      </c>
      <c r="AC46" s="28">
        <v>1.23529411764705</v>
      </c>
      <c r="AD46" s="28">
        <v>1.25</v>
      </c>
      <c r="AE46" s="28">
        <v>1.0994817927170799</v>
      </c>
      <c r="AF46" s="28">
        <v>0.101759030793039</v>
      </c>
    </row>
    <row r="47" spans="1:32" x14ac:dyDescent="0.25">
      <c r="B47" s="28" t="s">
        <v>575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Q47" s="28" t="e">
        <f t="shared" si="1"/>
        <v>#DIV/0!</v>
      </c>
      <c r="T47" s="28" t="s">
        <v>575</v>
      </c>
      <c r="U47" s="28">
        <v>100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100</v>
      </c>
      <c r="AE47" s="28">
        <v>100</v>
      </c>
      <c r="AF47" s="28">
        <v>0</v>
      </c>
    </row>
    <row r="48" spans="1:32" x14ac:dyDescent="0.25">
      <c r="B48" s="28" t="s">
        <v>576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Q48" s="28">
        <f t="shared" si="1"/>
        <v>0.33056493127818387</v>
      </c>
      <c r="T48" s="28" t="s">
        <v>576</v>
      </c>
      <c r="U48" s="28">
        <v>0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100</v>
      </c>
      <c r="AE48" s="28">
        <v>90</v>
      </c>
      <c r="AF48" s="28">
        <v>31.6227766016837</v>
      </c>
    </row>
    <row r="49" spans="2:32" x14ac:dyDescent="0.25">
      <c r="B49" s="28" t="s">
        <v>577</v>
      </c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  <c r="M49" s="28">
        <v>100</v>
      </c>
      <c r="N49" s="28">
        <v>0</v>
      </c>
      <c r="Q49" s="28" t="e">
        <f t="shared" si="1"/>
        <v>#DIV/0!</v>
      </c>
      <c r="T49" s="28" t="s">
        <v>577</v>
      </c>
      <c r="U49" s="28">
        <v>100</v>
      </c>
      <c r="V49" s="28">
        <v>100</v>
      </c>
      <c r="W49" s="28">
        <v>100</v>
      </c>
      <c r="X49" s="28">
        <v>100</v>
      </c>
      <c r="Y49" s="28">
        <v>100</v>
      </c>
      <c r="Z49" s="28">
        <v>100</v>
      </c>
      <c r="AA49" s="28">
        <v>100</v>
      </c>
      <c r="AB49" s="28">
        <v>100</v>
      </c>
      <c r="AC49" s="28">
        <v>100</v>
      </c>
      <c r="AD49" s="28">
        <v>100</v>
      </c>
      <c r="AE49" s="28">
        <v>100</v>
      </c>
      <c r="AF49" s="28">
        <v>0</v>
      </c>
    </row>
    <row r="50" spans="2:32" x14ac:dyDescent="0.25">
      <c r="B50" s="28" t="s">
        <v>578</v>
      </c>
      <c r="C50" s="28">
        <v>108</v>
      </c>
      <c r="D50" s="28">
        <v>175</v>
      </c>
      <c r="E50" s="28">
        <v>112</v>
      </c>
      <c r="F50" s="28">
        <v>90</v>
      </c>
      <c r="G50" s="28">
        <v>115</v>
      </c>
      <c r="H50" s="28">
        <v>137</v>
      </c>
      <c r="I50" s="28">
        <v>109</v>
      </c>
      <c r="J50" s="28">
        <v>110</v>
      </c>
      <c r="K50" s="28">
        <v>120</v>
      </c>
      <c r="L50" s="28">
        <v>145</v>
      </c>
      <c r="M50" s="28">
        <v>122.1</v>
      </c>
      <c r="N50" s="28">
        <v>24.149764204047798</v>
      </c>
      <c r="Q50" s="28">
        <f t="shared" si="1"/>
        <v>0.26942423158877743</v>
      </c>
      <c r="T50" s="28" t="s">
        <v>578</v>
      </c>
      <c r="U50" s="28">
        <v>129</v>
      </c>
      <c r="V50" s="28">
        <v>51</v>
      </c>
      <c r="W50" s="28">
        <v>76</v>
      </c>
      <c r="X50" s="28">
        <v>88</v>
      </c>
      <c r="Y50" s="28">
        <v>168</v>
      </c>
      <c r="Z50" s="28">
        <v>101</v>
      </c>
      <c r="AA50" s="28">
        <v>81</v>
      </c>
      <c r="AB50" s="28">
        <v>96</v>
      </c>
      <c r="AC50" s="28">
        <v>149</v>
      </c>
      <c r="AD50" s="28">
        <v>126</v>
      </c>
      <c r="AE50" s="28">
        <v>106.5</v>
      </c>
      <c r="AF50" s="28">
        <v>35.9297153404315</v>
      </c>
    </row>
    <row r="51" spans="2:32" x14ac:dyDescent="0.25">
      <c r="B51" s="28" t="s">
        <v>579</v>
      </c>
      <c r="C51" s="28">
        <v>41</v>
      </c>
      <c r="D51" s="28">
        <v>85</v>
      </c>
      <c r="E51" s="28">
        <v>51</v>
      </c>
      <c r="F51" s="28">
        <v>51</v>
      </c>
      <c r="G51" s="28">
        <v>59</v>
      </c>
      <c r="H51" s="28">
        <v>84</v>
      </c>
      <c r="I51" s="28">
        <v>64</v>
      </c>
      <c r="J51" s="28">
        <v>62</v>
      </c>
      <c r="K51" s="28">
        <v>66</v>
      </c>
      <c r="L51" s="28">
        <v>96</v>
      </c>
      <c r="M51" s="28">
        <v>65.900000000000006</v>
      </c>
      <c r="N51" s="28">
        <v>17.412958137867001</v>
      </c>
      <c r="Q51" s="28">
        <f t="shared" si="1"/>
        <v>0.80069773176437697</v>
      </c>
      <c r="T51" s="28" t="s">
        <v>579</v>
      </c>
      <c r="U51" s="28">
        <v>94</v>
      </c>
      <c r="V51" s="28">
        <v>25</v>
      </c>
      <c r="W51" s="28">
        <v>46</v>
      </c>
      <c r="X51" s="28">
        <v>28</v>
      </c>
      <c r="Y51" s="28">
        <v>122</v>
      </c>
      <c r="Z51" s="28">
        <v>55</v>
      </c>
      <c r="AA51" s="28">
        <v>44</v>
      </c>
      <c r="AB51" s="28">
        <v>50</v>
      </c>
      <c r="AC51" s="28">
        <v>81</v>
      </c>
      <c r="AD51" s="28">
        <v>85</v>
      </c>
      <c r="AE51" s="28">
        <v>63</v>
      </c>
      <c r="AF51" s="28">
        <v>31.2729915422237</v>
      </c>
    </row>
    <row r="52" spans="2:32" x14ac:dyDescent="0.25">
      <c r="B52" s="28" t="s">
        <v>580</v>
      </c>
      <c r="C52" s="28">
        <v>66</v>
      </c>
      <c r="D52" s="28">
        <v>89</v>
      </c>
      <c r="E52" s="28">
        <v>60</v>
      </c>
      <c r="F52" s="28">
        <v>38</v>
      </c>
      <c r="G52" s="28">
        <v>55</v>
      </c>
      <c r="H52" s="28">
        <v>52</v>
      </c>
      <c r="I52" s="28">
        <v>44</v>
      </c>
      <c r="J52" s="28">
        <v>47</v>
      </c>
      <c r="K52" s="28">
        <v>53</v>
      </c>
      <c r="L52" s="28">
        <v>49</v>
      </c>
      <c r="M52" s="28">
        <v>55.3</v>
      </c>
      <c r="N52" s="28">
        <v>14.2364945747813</v>
      </c>
      <c r="Q52" s="28">
        <f t="shared" si="1"/>
        <v>4.9503273951548195E-2</v>
      </c>
      <c r="T52" s="28" t="s">
        <v>580</v>
      </c>
      <c r="U52" s="28">
        <v>34</v>
      </c>
      <c r="V52" s="28">
        <v>25</v>
      </c>
      <c r="W52" s="28">
        <v>29</v>
      </c>
      <c r="X52" s="28">
        <v>59</v>
      </c>
      <c r="Y52" s="28">
        <v>45</v>
      </c>
      <c r="Z52" s="28">
        <v>45</v>
      </c>
      <c r="AA52" s="28">
        <v>36</v>
      </c>
      <c r="AB52" s="28">
        <v>45</v>
      </c>
      <c r="AC52" s="28">
        <v>67</v>
      </c>
      <c r="AD52" s="28">
        <v>40</v>
      </c>
      <c r="AE52" s="28">
        <v>42.5</v>
      </c>
      <c r="AF52" s="28">
        <v>12.9120959654977</v>
      </c>
    </row>
    <row r="53" spans="2:32" x14ac:dyDescent="0.25">
      <c r="B53" s="28" t="s">
        <v>581</v>
      </c>
      <c r="C53" s="28">
        <v>5.5555555555555497E-3</v>
      </c>
      <c r="D53" s="28">
        <v>3.1428571428571399E-3</v>
      </c>
      <c r="E53" s="28">
        <v>4.9107142857142804E-3</v>
      </c>
      <c r="F53" s="28">
        <v>7.1111111111111097E-3</v>
      </c>
      <c r="G53" s="28">
        <v>5.7391304347826E-3</v>
      </c>
      <c r="H53" s="28">
        <v>8.1021897810218905E-3</v>
      </c>
      <c r="I53" s="28">
        <v>6.1467889908256796E-3</v>
      </c>
      <c r="J53" s="28">
        <v>5.7272727272727197E-3</v>
      </c>
      <c r="K53" s="28">
        <v>6.7499999999999999E-3</v>
      </c>
      <c r="L53" s="28">
        <v>6.6896551724137899E-3</v>
      </c>
      <c r="M53" s="28">
        <v>5.9875275201554798E-3</v>
      </c>
      <c r="N53" s="28">
        <v>1.34996535127594E-3</v>
      </c>
      <c r="Q53" s="28">
        <f t="shared" si="1"/>
        <v>0.19603632271815852</v>
      </c>
      <c r="T53" s="28" t="s">
        <v>581</v>
      </c>
      <c r="U53" s="28">
        <v>6.2015503875968896E-3</v>
      </c>
      <c r="V53" s="28">
        <v>6.6666666666666602E-3</v>
      </c>
      <c r="W53" s="28">
        <v>6.9736842105263099E-3</v>
      </c>
      <c r="X53" s="28">
        <v>7.2727272727272701E-3</v>
      </c>
      <c r="Y53" s="28">
        <v>5.2976190476190397E-3</v>
      </c>
      <c r="Z53" s="28">
        <v>6.63366336633663E-3</v>
      </c>
      <c r="AA53" s="28">
        <v>6.1728395061728296E-3</v>
      </c>
      <c r="AB53" s="28">
        <v>6.4583333333333298E-3</v>
      </c>
      <c r="AC53" s="28">
        <v>6.51006711409395E-3</v>
      </c>
      <c r="AD53" s="28">
        <v>8.3333333333333297E-3</v>
      </c>
      <c r="AE53" s="28">
        <v>6.6520484238406299E-3</v>
      </c>
      <c r="AF53" s="28">
        <v>7.9167300307598999E-4</v>
      </c>
    </row>
    <row r="54" spans="2:32" x14ac:dyDescent="0.25">
      <c r="B54" s="28" t="s">
        <v>582</v>
      </c>
      <c r="C54" s="28">
        <v>65.8536585365853</v>
      </c>
      <c r="D54" s="28">
        <v>38.823529411764703</v>
      </c>
      <c r="E54" s="28">
        <v>54.901960784313701</v>
      </c>
      <c r="F54" s="28">
        <v>78.431372549019599</v>
      </c>
      <c r="G54" s="28">
        <v>61.016949152542303</v>
      </c>
      <c r="H54" s="28">
        <v>82.142857142857096</v>
      </c>
      <c r="I54" s="28">
        <v>56.25</v>
      </c>
      <c r="J54" s="28">
        <v>61.290322580645103</v>
      </c>
      <c r="K54" s="28">
        <v>84.848484848484802</v>
      </c>
      <c r="L54" s="28">
        <v>64.5833333333333</v>
      </c>
      <c r="M54" s="28">
        <v>64.814246833954599</v>
      </c>
      <c r="N54" s="28">
        <v>13.992719857285</v>
      </c>
      <c r="Q54" s="28">
        <f t="shared" si="1"/>
        <v>6.8239814461882362E-2</v>
      </c>
      <c r="T54" s="28" t="s">
        <v>582</v>
      </c>
      <c r="U54" s="28">
        <v>72.340425531914903</v>
      </c>
      <c r="V54" s="28">
        <v>76</v>
      </c>
      <c r="W54" s="28">
        <v>69.565217391304301</v>
      </c>
      <c r="X54" s="28">
        <v>82.142857142857096</v>
      </c>
      <c r="Y54" s="28">
        <v>55.737704918032698</v>
      </c>
      <c r="Z54" s="28">
        <v>85.454545454545396</v>
      </c>
      <c r="AA54" s="28">
        <v>70.454545454545396</v>
      </c>
      <c r="AB54" s="28">
        <v>74</v>
      </c>
      <c r="AC54" s="28">
        <v>76.543209876543202</v>
      </c>
      <c r="AD54" s="28">
        <v>89.411764705882305</v>
      </c>
      <c r="AE54" s="28">
        <v>75.165027047562504</v>
      </c>
      <c r="AF54" s="28">
        <v>9.4306439948922094</v>
      </c>
    </row>
    <row r="55" spans="2:32" x14ac:dyDescent="0.25">
      <c r="B55" s="28" t="s">
        <v>583</v>
      </c>
      <c r="C55" s="28">
        <v>51.515151515151501</v>
      </c>
      <c r="D55" s="28">
        <v>25.8426966292134</v>
      </c>
      <c r="E55" s="28">
        <v>45</v>
      </c>
      <c r="F55" s="28">
        <v>65.789473684210506</v>
      </c>
      <c r="G55" s="28">
        <v>58.181818181818102</v>
      </c>
      <c r="H55" s="28">
        <v>84.615384615384599</v>
      </c>
      <c r="I55" s="28">
        <v>72.727272727272705</v>
      </c>
      <c r="J55" s="28">
        <v>57.446808510638299</v>
      </c>
      <c r="K55" s="28">
        <v>49.056603773584897</v>
      </c>
      <c r="L55" s="28">
        <v>77.551020408163197</v>
      </c>
      <c r="M55" s="28">
        <v>58.772623004543703</v>
      </c>
      <c r="N55" s="28">
        <v>17.280975188224499</v>
      </c>
      <c r="Q55" s="28">
        <f t="shared" si="1"/>
        <v>0.86064417367759694</v>
      </c>
      <c r="T55" s="28" t="s">
        <v>583</v>
      </c>
      <c r="U55" s="28">
        <v>41.176470588235198</v>
      </c>
      <c r="V55" s="28">
        <v>68</v>
      </c>
      <c r="W55" s="28">
        <v>75.862068965517196</v>
      </c>
      <c r="X55" s="28">
        <v>71.186440677966104</v>
      </c>
      <c r="Y55" s="28">
        <v>51.1111111111111</v>
      </c>
      <c r="Z55" s="28">
        <v>44.4444444444444</v>
      </c>
      <c r="AA55" s="28">
        <v>58.3333333333333</v>
      </c>
      <c r="AB55" s="28">
        <v>60</v>
      </c>
      <c r="AC55" s="28">
        <v>52.238805970149201</v>
      </c>
      <c r="AD55" s="28">
        <v>77.5</v>
      </c>
      <c r="AE55" s="28">
        <v>59.985267509075598</v>
      </c>
      <c r="AF55" s="28">
        <v>12.8466006780389</v>
      </c>
    </row>
    <row r="56" spans="2:32" x14ac:dyDescent="0.25">
      <c r="B56" s="28" t="s">
        <v>584</v>
      </c>
      <c r="C56" s="28">
        <v>20.962499999999999</v>
      </c>
      <c r="D56" s="28">
        <v>23.795555555555499</v>
      </c>
      <c r="E56" s="28">
        <v>22.233333333333299</v>
      </c>
      <c r="F56" s="28">
        <v>21.4794444444444</v>
      </c>
      <c r="G56" s="28">
        <v>22.563333333333301</v>
      </c>
      <c r="H56" s="28">
        <v>23.669722222222202</v>
      </c>
      <c r="I56" s="28">
        <v>22.474444444444401</v>
      </c>
      <c r="J56" s="28">
        <v>23.655833333333302</v>
      </c>
      <c r="K56" s="28">
        <v>21.423888888888801</v>
      </c>
      <c r="L56" s="28">
        <v>23.524444444444399</v>
      </c>
      <c r="M56" s="28">
        <v>22.578249999999901</v>
      </c>
      <c r="N56" s="28">
        <v>1.05462742699669</v>
      </c>
      <c r="Q56" s="28">
        <f t="shared" si="1"/>
        <v>0.91914084130592055</v>
      </c>
      <c r="T56" s="28" t="s">
        <v>584</v>
      </c>
      <c r="U56" s="28">
        <v>21.157222222222199</v>
      </c>
      <c r="V56" s="28">
        <v>22.321944444444402</v>
      </c>
      <c r="W56" s="28">
        <v>22.283611111111099</v>
      </c>
      <c r="X56" s="28">
        <v>23.6802777777777</v>
      </c>
      <c r="Y56" s="28">
        <v>22.5</v>
      </c>
      <c r="Z56" s="28">
        <v>22.908611111111099</v>
      </c>
      <c r="AA56" s="28">
        <v>22.672222222222199</v>
      </c>
      <c r="AB56" s="28">
        <v>22.865555555555499</v>
      </c>
      <c r="AC56" s="28">
        <v>21.974166666666601</v>
      </c>
      <c r="AD56" s="28">
        <v>23.8469444444444</v>
      </c>
      <c r="AE56" s="28">
        <v>22.6210555555555</v>
      </c>
      <c r="AF56" s="28">
        <v>0.78521799372405998</v>
      </c>
    </row>
    <row r="57" spans="2:32" x14ac:dyDescent="0.25">
      <c r="B57" s="28" t="s">
        <v>585</v>
      </c>
      <c r="C57" s="28">
        <v>-4.9999999999999802E-2</v>
      </c>
      <c r="D57" s="28">
        <v>-6.0000000000000497E-2</v>
      </c>
      <c r="E57" s="28">
        <v>-4.9999999999999802E-2</v>
      </c>
      <c r="F57" s="28">
        <v>-3.00000000000002E-2</v>
      </c>
      <c r="G57" s="28">
        <v>-0.04</v>
      </c>
      <c r="H57" s="28">
        <v>-4.9999999999999802E-2</v>
      </c>
      <c r="I57" s="28">
        <v>-4.9999999999999802E-2</v>
      </c>
      <c r="J57" s="28">
        <v>-4.9999999999999802E-2</v>
      </c>
      <c r="K57" s="28">
        <v>-3.00000000000002E-2</v>
      </c>
      <c r="L57" s="28">
        <v>-5.0000000000000197E-2</v>
      </c>
      <c r="M57" s="28">
        <v>-4.5999999999999999E-2</v>
      </c>
      <c r="N57" s="28">
        <v>9.6609178307929099E-3</v>
      </c>
      <c r="Q57" s="28">
        <f t="shared" si="1"/>
        <v>0.29452113534377594</v>
      </c>
      <c r="T57" s="28" t="s">
        <v>585</v>
      </c>
      <c r="U57" s="28">
        <v>-0.04</v>
      </c>
      <c r="V57" s="28">
        <v>-2.9999999999999302E-2</v>
      </c>
      <c r="W57" s="28">
        <v>-0.04</v>
      </c>
      <c r="X57" s="28">
        <v>-3.00000000000002E-2</v>
      </c>
      <c r="Y57" s="28">
        <v>-5.0000000000000697E-2</v>
      </c>
      <c r="Z57" s="28">
        <v>-2.9999999999999302E-2</v>
      </c>
      <c r="AA57" s="28">
        <v>-4.9999999999999802E-2</v>
      </c>
      <c r="AB57" s="28">
        <v>-3.00000000000002E-2</v>
      </c>
      <c r="AC57" s="28">
        <v>-4.9999999999999802E-2</v>
      </c>
      <c r="AD57" s="28">
        <v>-5.9999999999999602E-2</v>
      </c>
      <c r="AE57" s="28">
        <v>-4.0999999999999898E-2</v>
      </c>
      <c r="AF57" s="28">
        <v>1.1005049346146101E-2</v>
      </c>
    </row>
    <row r="58" spans="2:32" x14ac:dyDescent="0.25">
      <c r="B58" s="28" t="s">
        <v>586</v>
      </c>
      <c r="C58" s="28">
        <v>-2.3852116875372601E-3</v>
      </c>
      <c r="D58" s="28">
        <v>-2.5214792678371501E-3</v>
      </c>
      <c r="E58" s="28">
        <v>-2.24887556221888E-3</v>
      </c>
      <c r="F58" s="28">
        <v>-1.39668416832631E-3</v>
      </c>
      <c r="G58" s="28">
        <v>-1.7727877086718799E-3</v>
      </c>
      <c r="H58" s="28">
        <v>-2.1124033282087901E-3</v>
      </c>
      <c r="I58" s="28">
        <v>-2.2247490977406301E-3</v>
      </c>
      <c r="J58" s="28">
        <v>-2.11364356923943E-3</v>
      </c>
      <c r="K58" s="28">
        <v>-1.4003059927910201E-3</v>
      </c>
      <c r="L58" s="28">
        <v>-2.1254487058379101E-3</v>
      </c>
      <c r="M58" s="28">
        <v>-2.0301589088409298E-3</v>
      </c>
      <c r="N58" s="28">
        <v>3.8589280934805899E-4</v>
      </c>
      <c r="Q58" s="28">
        <f t="shared" si="1"/>
        <v>0.27999917580765782</v>
      </c>
      <c r="T58" s="28" t="s">
        <v>586</v>
      </c>
      <c r="U58" s="28">
        <v>-1.89060735761363E-3</v>
      </c>
      <c r="V58" s="28">
        <v>-1.34396893938448E-3</v>
      </c>
      <c r="W58" s="28">
        <v>-1.7950411986886201E-3</v>
      </c>
      <c r="X58" s="28">
        <v>-1.26687703081562E-3</v>
      </c>
      <c r="Y58" s="28">
        <v>-2.22222222222225E-3</v>
      </c>
      <c r="Z58" s="28">
        <v>-1.3095512361920799E-3</v>
      </c>
      <c r="AA58" s="28">
        <v>-2.2053418279833299E-3</v>
      </c>
      <c r="AB58" s="28">
        <v>-1.31201710481559E-3</v>
      </c>
      <c r="AC58" s="28">
        <v>-2.2753991429329801E-3</v>
      </c>
      <c r="AD58" s="28">
        <v>-2.5160456149751101E-3</v>
      </c>
      <c r="AE58" s="28">
        <v>-1.8137071675623699E-3</v>
      </c>
      <c r="AF58" s="28">
        <v>4.7824986649790103E-4</v>
      </c>
    </row>
    <row r="59" spans="2:32" x14ac:dyDescent="0.25">
      <c r="B59" s="28" t="s">
        <v>587</v>
      </c>
      <c r="C59" s="28">
        <v>1.6</v>
      </c>
      <c r="D59" s="28">
        <v>1.64864864864864</v>
      </c>
      <c r="E59" s="28">
        <v>1.5416666666666601</v>
      </c>
      <c r="F59" s="28">
        <v>1.7111111111111099</v>
      </c>
      <c r="G59" s="28">
        <v>1.4222222222222201</v>
      </c>
      <c r="H59" s="28">
        <v>1.2976190476190399</v>
      </c>
      <c r="I59" s="28">
        <v>1.7441860465116199</v>
      </c>
      <c r="J59" s="28">
        <v>1.6170212765957399</v>
      </c>
      <c r="K59" s="28">
        <v>1.1481481481481399</v>
      </c>
      <c r="L59" s="28">
        <v>1.1551724137931001</v>
      </c>
      <c r="M59" s="28">
        <v>1.4885795581316299</v>
      </c>
      <c r="N59" s="28">
        <v>0.221141029691376</v>
      </c>
      <c r="Q59" s="28">
        <f t="shared" si="1"/>
        <v>0.1480157562143562</v>
      </c>
      <c r="T59" s="28" t="s">
        <v>587</v>
      </c>
      <c r="U59" s="28">
        <v>2</v>
      </c>
      <c r="V59" s="28">
        <v>1.58620689655172</v>
      </c>
      <c r="W59" s="28">
        <v>1.5625</v>
      </c>
      <c r="X59" s="28">
        <v>1.6153846153846101</v>
      </c>
      <c r="Y59" s="28">
        <v>1.70491803278688</v>
      </c>
      <c r="Z59" s="28">
        <v>1.8070175438596401</v>
      </c>
      <c r="AA59" s="28">
        <v>1.6279069767441801</v>
      </c>
      <c r="AB59" s="28">
        <v>1.5588235294117601</v>
      </c>
      <c r="AC59" s="28">
        <v>1.29411764705882</v>
      </c>
      <c r="AD59" s="28">
        <v>1.51111111111111</v>
      </c>
      <c r="AE59" s="28">
        <v>1.6267986352908701</v>
      </c>
      <c r="AF59" s="28">
        <v>0.18632561824162699</v>
      </c>
    </row>
    <row r="60" spans="2:32" x14ac:dyDescent="0.25">
      <c r="B60" s="28" t="s">
        <v>588</v>
      </c>
      <c r="C60" s="28">
        <v>1</v>
      </c>
      <c r="D60" s="28">
        <v>1</v>
      </c>
      <c r="E60" s="28">
        <v>1.5</v>
      </c>
      <c r="F60" s="28">
        <v>2</v>
      </c>
      <c r="G60" s="28">
        <v>1</v>
      </c>
      <c r="H60" s="28">
        <v>1</v>
      </c>
      <c r="I60" s="28">
        <v>2</v>
      </c>
      <c r="J60" s="28">
        <v>2</v>
      </c>
      <c r="K60" s="28">
        <v>1</v>
      </c>
      <c r="L60" s="28">
        <v>1</v>
      </c>
      <c r="M60" s="28">
        <v>1.35</v>
      </c>
      <c r="N60" s="28">
        <v>0.474341649025256</v>
      </c>
      <c r="Q60" s="28">
        <f t="shared" si="1"/>
        <v>0.6508980551003769</v>
      </c>
      <c r="T60" s="28" t="s">
        <v>588</v>
      </c>
      <c r="U60" s="28">
        <v>2</v>
      </c>
      <c r="V60" s="28">
        <v>1</v>
      </c>
      <c r="W60" s="28">
        <v>1</v>
      </c>
      <c r="X60" s="28">
        <v>1</v>
      </c>
      <c r="Y60" s="28">
        <v>2</v>
      </c>
      <c r="Z60" s="28">
        <v>2</v>
      </c>
      <c r="AA60" s="28">
        <v>2</v>
      </c>
      <c r="AB60" s="28">
        <v>1.5</v>
      </c>
      <c r="AC60" s="28">
        <v>1</v>
      </c>
      <c r="AD60" s="28">
        <v>1</v>
      </c>
      <c r="AE60" s="28">
        <v>1.45</v>
      </c>
      <c r="AF60" s="28">
        <v>0.49721446300587602</v>
      </c>
    </row>
    <row r="61" spans="2:32" x14ac:dyDescent="0.25">
      <c r="B61" s="28" t="s">
        <v>589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Q61" s="28" t="e">
        <f t="shared" si="1"/>
        <v>#DIV/0!</v>
      </c>
      <c r="T61" s="28" t="s">
        <v>589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</row>
    <row r="65" spans="1:32" x14ac:dyDescent="0.25">
      <c r="A65" s="49" t="s">
        <v>602</v>
      </c>
      <c r="S65" s="56" t="s">
        <v>603</v>
      </c>
    </row>
    <row r="66" spans="1:32" x14ac:dyDescent="0.25">
      <c r="B66" s="28" t="s">
        <v>558</v>
      </c>
      <c r="C66" s="28" t="s">
        <v>358</v>
      </c>
      <c r="D66" s="28" t="s">
        <v>408</v>
      </c>
      <c r="E66" s="28" t="s">
        <v>398</v>
      </c>
      <c r="F66" s="28" t="s">
        <v>135</v>
      </c>
      <c r="G66" s="28" t="s">
        <v>368</v>
      </c>
      <c r="H66" s="28" t="s">
        <v>418</v>
      </c>
      <c r="I66" s="28" t="s">
        <v>378</v>
      </c>
      <c r="J66" s="28" t="s">
        <v>428</v>
      </c>
      <c r="K66" s="28" t="s">
        <v>388</v>
      </c>
      <c r="L66" s="28" t="s">
        <v>438</v>
      </c>
      <c r="M66" s="28" t="s">
        <v>559</v>
      </c>
      <c r="N66" s="28" t="s">
        <v>560</v>
      </c>
      <c r="P66" s="28" t="s">
        <v>129</v>
      </c>
      <c r="Q66" s="28" t="s">
        <v>594</v>
      </c>
      <c r="R66" s="28" t="s">
        <v>13</v>
      </c>
      <c r="T66" s="28" t="s">
        <v>558</v>
      </c>
      <c r="U66" s="28" t="s">
        <v>246</v>
      </c>
      <c r="V66" s="28" t="s">
        <v>297</v>
      </c>
      <c r="W66" s="28" t="s">
        <v>256</v>
      </c>
      <c r="X66" s="28" t="s">
        <v>308</v>
      </c>
      <c r="Y66" s="28" t="s">
        <v>266</v>
      </c>
      <c r="Z66" s="28" t="s">
        <v>318</v>
      </c>
      <c r="AA66" s="28" t="s">
        <v>276</v>
      </c>
      <c r="AB66" s="28" t="s">
        <v>328</v>
      </c>
      <c r="AC66" s="28" t="s">
        <v>287</v>
      </c>
      <c r="AD66" s="28" t="s">
        <v>338</v>
      </c>
      <c r="AE66" s="28" t="s">
        <v>559</v>
      </c>
      <c r="AF66" s="28" t="s">
        <v>560</v>
      </c>
    </row>
    <row r="67" spans="1:32" x14ac:dyDescent="0.25">
      <c r="B67" s="28" t="s">
        <v>563</v>
      </c>
      <c r="C67" s="28">
        <v>120</v>
      </c>
      <c r="D67" s="28">
        <v>127</v>
      </c>
      <c r="E67" s="28">
        <v>110</v>
      </c>
      <c r="F67" s="28">
        <v>147</v>
      </c>
      <c r="G67" s="28">
        <v>143</v>
      </c>
      <c r="H67" s="28">
        <v>115</v>
      </c>
      <c r="I67" s="28">
        <v>172</v>
      </c>
      <c r="J67" s="28">
        <v>116</v>
      </c>
      <c r="K67" s="28">
        <v>155</v>
      </c>
      <c r="L67" s="28">
        <v>84</v>
      </c>
      <c r="M67" s="28">
        <v>128.9</v>
      </c>
      <c r="N67" s="28">
        <v>25.5623420940518</v>
      </c>
      <c r="P67" s="28">
        <f>_xlfn.T.TEST(C67:L67,C99:K99,2,2)</f>
        <v>3.5733243279598091E-7</v>
      </c>
      <c r="Q67" s="57">
        <f>_xlfn.T.TEST(C67:L67,U67:AD67,2,2)</f>
        <v>2.770640050407722E-4</v>
      </c>
      <c r="R67" s="28">
        <f>_xlfn.T.TEST(U67:AD67,U99:AD99,2,2)</f>
        <v>2.7682781458641875E-12</v>
      </c>
      <c r="T67" s="28" t="s">
        <v>563</v>
      </c>
      <c r="U67" s="28">
        <v>135</v>
      </c>
      <c r="V67" s="28">
        <v>164</v>
      </c>
      <c r="W67" s="28">
        <v>174</v>
      </c>
      <c r="X67" s="28">
        <v>181</v>
      </c>
      <c r="Y67" s="28">
        <v>178</v>
      </c>
      <c r="Z67" s="28">
        <v>193</v>
      </c>
      <c r="AA67" s="28">
        <v>173</v>
      </c>
      <c r="AB67" s="28">
        <v>213</v>
      </c>
      <c r="AC67" s="28">
        <v>184</v>
      </c>
      <c r="AD67" s="28">
        <v>161</v>
      </c>
      <c r="AE67" s="28">
        <v>175.6</v>
      </c>
      <c r="AF67" s="28">
        <v>20.581545131500601</v>
      </c>
    </row>
    <row r="68" spans="1:32" x14ac:dyDescent="0.25">
      <c r="B68" s="28" t="s">
        <v>564</v>
      </c>
      <c r="C68" s="28">
        <v>80</v>
      </c>
      <c r="D68" s="28">
        <v>71</v>
      </c>
      <c r="E68" s="28">
        <v>65</v>
      </c>
      <c r="F68" s="28">
        <v>85</v>
      </c>
      <c r="G68" s="28">
        <v>108</v>
      </c>
      <c r="H68" s="28">
        <v>67</v>
      </c>
      <c r="I68" s="28">
        <v>95</v>
      </c>
      <c r="J68" s="28">
        <v>68</v>
      </c>
      <c r="K68" s="28">
        <v>94</v>
      </c>
      <c r="L68" s="28">
        <v>47</v>
      </c>
      <c r="M68" s="28">
        <v>78</v>
      </c>
      <c r="N68" s="28">
        <v>17.944358444926301</v>
      </c>
      <c r="P68" s="28">
        <f t="shared" ref="P68:P93" si="3">_xlfn.T.TEST(C68:L68,C100:K100,2,2)</f>
        <v>6.2190683889308507E-6</v>
      </c>
      <c r="Q68" s="28">
        <f t="shared" ref="Q68:Q125" si="4">_xlfn.T.TEST(C68:L68,U68:AD68,2,2)</f>
        <v>6.4775217161182142E-3</v>
      </c>
      <c r="R68" s="28">
        <f t="shared" ref="R68:R93" si="5">_xlfn.T.TEST(U68:AD68,U100:AD100,2,2)</f>
        <v>1.4396379352546021E-9</v>
      </c>
      <c r="T68" s="28" t="s">
        <v>564</v>
      </c>
      <c r="U68" s="28">
        <v>72</v>
      </c>
      <c r="V68" s="28">
        <v>98</v>
      </c>
      <c r="W68" s="28">
        <v>123</v>
      </c>
      <c r="X68" s="28">
        <v>93</v>
      </c>
      <c r="Y68" s="28">
        <v>117</v>
      </c>
      <c r="Z68" s="28">
        <v>108</v>
      </c>
      <c r="AA68" s="28">
        <v>90</v>
      </c>
      <c r="AB68" s="28">
        <v>130</v>
      </c>
      <c r="AC68" s="28">
        <v>105</v>
      </c>
      <c r="AD68" s="28">
        <v>89</v>
      </c>
      <c r="AE68" s="28">
        <v>102.5</v>
      </c>
      <c r="AF68" s="28">
        <v>17.646214576755199</v>
      </c>
    </row>
    <row r="69" spans="1:32" x14ac:dyDescent="0.25">
      <c r="B69" s="28" t="s">
        <v>565</v>
      </c>
      <c r="C69" s="28">
        <v>40</v>
      </c>
      <c r="D69" s="28">
        <v>56</v>
      </c>
      <c r="E69" s="28">
        <v>45</v>
      </c>
      <c r="F69" s="28">
        <v>62</v>
      </c>
      <c r="G69" s="28">
        <v>35</v>
      </c>
      <c r="H69" s="28">
        <v>48</v>
      </c>
      <c r="I69" s="28">
        <v>77</v>
      </c>
      <c r="J69" s="28">
        <v>48</v>
      </c>
      <c r="K69" s="28">
        <v>61</v>
      </c>
      <c r="L69" s="28">
        <v>37</v>
      </c>
      <c r="M69" s="28">
        <v>50.9</v>
      </c>
      <c r="N69" s="28">
        <v>13.118688958886001</v>
      </c>
      <c r="P69" s="28">
        <f t="shared" si="3"/>
        <v>1.2511207047357619E-6</v>
      </c>
      <c r="Q69" s="57">
        <f t="shared" si="4"/>
        <v>1.0739764433106006E-3</v>
      </c>
      <c r="R69" s="28">
        <f t="shared" si="5"/>
        <v>1.6078114490592898E-10</v>
      </c>
      <c r="T69" s="28" t="s">
        <v>565</v>
      </c>
      <c r="U69" s="28">
        <v>63</v>
      </c>
      <c r="V69" s="28">
        <v>66</v>
      </c>
      <c r="W69" s="28">
        <v>51</v>
      </c>
      <c r="X69" s="28">
        <v>88</v>
      </c>
      <c r="Y69" s="28">
        <v>61</v>
      </c>
      <c r="Z69" s="28">
        <v>85</v>
      </c>
      <c r="AA69" s="28">
        <v>83</v>
      </c>
      <c r="AB69" s="28">
        <v>83</v>
      </c>
      <c r="AC69" s="28">
        <v>79</v>
      </c>
      <c r="AD69" s="28">
        <v>72</v>
      </c>
      <c r="AE69" s="28">
        <v>73.099999999999994</v>
      </c>
      <c r="AF69" s="28">
        <v>12.3957878150424</v>
      </c>
    </row>
    <row r="70" spans="1:32" x14ac:dyDescent="0.25">
      <c r="B70" s="28" t="s">
        <v>566</v>
      </c>
      <c r="C70" s="28">
        <v>5.2487698195735302</v>
      </c>
      <c r="D70" s="28">
        <v>5.5230064869957998</v>
      </c>
      <c r="E70" s="28">
        <v>4.8025031228397799</v>
      </c>
      <c r="F70" s="28">
        <v>6.5818439610462196</v>
      </c>
      <c r="G70" s="28">
        <v>6.2653652362290897</v>
      </c>
      <c r="H70" s="28">
        <v>5.0622386344183301</v>
      </c>
      <c r="I70" s="28">
        <v>7.5034536244880101</v>
      </c>
      <c r="J70" s="28">
        <v>5.0645192587561798</v>
      </c>
      <c r="K70" s="28">
        <v>6.9333996023856796</v>
      </c>
      <c r="L70" s="28">
        <v>3.6992183199383399</v>
      </c>
      <c r="M70" s="28">
        <v>5.6684318066671002</v>
      </c>
      <c r="N70" s="28">
        <v>1.1409148062258101</v>
      </c>
      <c r="P70" s="28">
        <f t="shared" si="3"/>
        <v>3.7394158667608402E-7</v>
      </c>
      <c r="Q70" s="28">
        <f t="shared" si="4"/>
        <v>3.0462988359924802E-4</v>
      </c>
      <c r="R70" s="28">
        <f t="shared" si="5"/>
        <v>1.2433419037752627E-12</v>
      </c>
      <c r="T70" s="28" t="s">
        <v>566</v>
      </c>
      <c r="U70" s="28">
        <v>6.0759873479440403</v>
      </c>
      <c r="V70" s="28">
        <v>7.0943632015957503</v>
      </c>
      <c r="W70" s="28">
        <v>7.5158379727394902</v>
      </c>
      <c r="X70" s="28">
        <v>7.8367229124321902</v>
      </c>
      <c r="Y70" s="28">
        <v>7.8762030015118096</v>
      </c>
      <c r="Z70" s="28">
        <v>8.4007399615510092</v>
      </c>
      <c r="AA70" s="28">
        <v>7.4953064073556996</v>
      </c>
      <c r="AB70" s="28">
        <v>9.2685933930449291</v>
      </c>
      <c r="AC70" s="28">
        <v>7.97322997664845</v>
      </c>
      <c r="AD70" s="28">
        <v>7.1626297577854601</v>
      </c>
      <c r="AE70" s="28">
        <v>7.6699613932608797</v>
      </c>
      <c r="AF70" s="28">
        <v>0.84562197635998404</v>
      </c>
    </row>
    <row r="71" spans="1:32" x14ac:dyDescent="0.25">
      <c r="B71" s="28" t="s">
        <v>567</v>
      </c>
      <c r="C71" s="28">
        <v>6.7721682695699199</v>
      </c>
      <c r="D71" s="28">
        <v>5.8828944945682196</v>
      </c>
      <c r="E71" s="28">
        <v>4.7136555002719396</v>
      </c>
      <c r="F71" s="28">
        <v>7.1035587436450998</v>
      </c>
      <c r="G71" s="28">
        <v>9.0171158216985905</v>
      </c>
      <c r="H71" s="28">
        <v>5.6320926539952296</v>
      </c>
      <c r="I71" s="28">
        <v>8.1000426318033192</v>
      </c>
      <c r="J71" s="28">
        <v>5.7145525001167101</v>
      </c>
      <c r="K71" s="28">
        <v>7.9185679185679101</v>
      </c>
      <c r="L71" s="28">
        <v>3.76636096518564</v>
      </c>
      <c r="M71" s="28">
        <v>6.4621009499422604</v>
      </c>
      <c r="N71" s="28">
        <v>1.6243685252562099</v>
      </c>
      <c r="P71" s="28">
        <f t="shared" si="3"/>
        <v>1.5139388835194447E-5</v>
      </c>
      <c r="Q71" s="28">
        <f t="shared" si="4"/>
        <v>7.6734394368823886E-3</v>
      </c>
      <c r="R71" s="28">
        <f t="shared" si="5"/>
        <v>4.3632905606552129E-10</v>
      </c>
      <c r="T71" s="28" t="s">
        <v>567</v>
      </c>
      <c r="U71" s="28">
        <v>6.0181100534014398</v>
      </c>
      <c r="V71" s="28">
        <v>8.2811069642982797</v>
      </c>
      <c r="W71" s="28">
        <v>10.096219617857599</v>
      </c>
      <c r="X71" s="28">
        <v>7.3326178847543702</v>
      </c>
      <c r="Y71" s="28">
        <v>9.6827586206896505</v>
      </c>
      <c r="Z71" s="28">
        <v>8.6646461044749508</v>
      </c>
      <c r="AA71" s="28">
        <v>7.6503506410710402</v>
      </c>
      <c r="AB71" s="28">
        <v>9.7998157299606294</v>
      </c>
      <c r="AC71" s="28">
        <v>8.7223388790179293</v>
      </c>
      <c r="AD71" s="28">
        <v>7.8854105138806796</v>
      </c>
      <c r="AE71" s="28">
        <v>8.4133375009406599</v>
      </c>
      <c r="AF71" s="28">
        <v>1.2608591482349401</v>
      </c>
    </row>
    <row r="72" spans="1:32" x14ac:dyDescent="0.25">
      <c r="B72" s="28" t="s">
        <v>568</v>
      </c>
      <c r="C72" s="28">
        <v>3.6200915078686702</v>
      </c>
      <c r="D72" s="28">
        <v>5.1254671649759702</v>
      </c>
      <c r="E72" s="28">
        <v>4.9369171695008198</v>
      </c>
      <c r="F72" s="28">
        <v>5.9797460215399401</v>
      </c>
      <c r="G72" s="28">
        <v>3.22679778733866</v>
      </c>
      <c r="H72" s="28">
        <v>4.4357736933976701</v>
      </c>
      <c r="I72" s="28">
        <v>6.8784119106699704</v>
      </c>
      <c r="J72" s="28">
        <v>4.3616537937301203</v>
      </c>
      <c r="K72" s="28">
        <v>5.81798913763412</v>
      </c>
      <c r="L72" s="28">
        <v>3.6173044021399599</v>
      </c>
      <c r="M72" s="28">
        <v>4.8000152588795899</v>
      </c>
      <c r="N72" s="28">
        <v>1.1767799823834</v>
      </c>
      <c r="P72" s="28">
        <f t="shared" si="3"/>
        <v>5.4080424054183237E-7</v>
      </c>
      <c r="Q72" s="57">
        <f>_xlfn.T.TEST(C72:L72,U72:AD72,2,2)</f>
        <v>1.608815385300816E-3</v>
      </c>
      <c r="R72" s="28">
        <f t="shared" si="5"/>
        <v>7.4024271051550154E-10</v>
      </c>
      <c r="T72" s="28" t="s">
        <v>568</v>
      </c>
      <c r="U72" s="28">
        <v>6.1435111195384202</v>
      </c>
      <c r="V72" s="28">
        <v>5.8496233197104699</v>
      </c>
      <c r="W72" s="28">
        <v>4.6497492782251904</v>
      </c>
      <c r="X72" s="28">
        <v>8.4507042253521103</v>
      </c>
      <c r="Y72" s="28">
        <v>5.8004701656145103</v>
      </c>
      <c r="Z72" s="28">
        <v>8.0877494383507305</v>
      </c>
      <c r="AA72" s="28">
        <v>7.3341351464126996</v>
      </c>
      <c r="AB72" s="28">
        <v>8.5432451751250795</v>
      </c>
      <c r="AC72" s="28">
        <v>7.1563372839133299</v>
      </c>
      <c r="AD72" s="28">
        <v>6.4336775218427302</v>
      </c>
      <c r="AE72" s="28">
        <v>6.8449202674085301</v>
      </c>
      <c r="AF72" s="28">
        <v>1.28690623008978</v>
      </c>
    </row>
    <row r="73" spans="1:32" x14ac:dyDescent="0.25">
      <c r="B73" s="28" t="s">
        <v>569</v>
      </c>
      <c r="C73" s="28">
        <v>86</v>
      </c>
      <c r="D73" s="28">
        <v>61</v>
      </c>
      <c r="E73" s="28">
        <v>64</v>
      </c>
      <c r="F73" s="28">
        <v>83</v>
      </c>
      <c r="G73" s="28">
        <v>64</v>
      </c>
      <c r="H73" s="28">
        <v>63</v>
      </c>
      <c r="I73" s="28">
        <v>77</v>
      </c>
      <c r="J73" s="28">
        <v>73</v>
      </c>
      <c r="K73" s="28">
        <v>79</v>
      </c>
      <c r="L73" s="28">
        <v>54</v>
      </c>
      <c r="M73" s="28">
        <v>70.400000000000006</v>
      </c>
      <c r="N73" s="28">
        <v>10.6479001581428</v>
      </c>
      <c r="P73" s="28">
        <f t="shared" si="3"/>
        <v>2.3208600960003144E-6</v>
      </c>
      <c r="Q73" s="57">
        <f>_xlfn.T.TEST(C73:L73,U73:AD73,2,2)</f>
        <v>2.5994618342593742E-2</v>
      </c>
      <c r="R73" s="28">
        <f t="shared" si="5"/>
        <v>2.3928742005371239E-6</v>
      </c>
      <c r="T73" s="28" t="s">
        <v>569</v>
      </c>
      <c r="U73" s="28">
        <v>85</v>
      </c>
      <c r="V73" s="28">
        <v>105</v>
      </c>
      <c r="W73" s="28">
        <v>64</v>
      </c>
      <c r="X73" s="28">
        <v>123</v>
      </c>
      <c r="Y73" s="28">
        <v>105</v>
      </c>
      <c r="Z73" s="28">
        <v>113</v>
      </c>
      <c r="AA73" s="28">
        <v>88</v>
      </c>
      <c r="AB73" s="28">
        <v>90</v>
      </c>
      <c r="AC73" s="28">
        <v>51</v>
      </c>
      <c r="AD73" s="28">
        <v>72</v>
      </c>
      <c r="AE73" s="28">
        <v>89.6</v>
      </c>
      <c r="AF73" s="28">
        <v>22.648031555376502</v>
      </c>
    </row>
    <row r="74" spans="1:32" x14ac:dyDescent="0.25">
      <c r="B74" s="28" t="s">
        <v>570</v>
      </c>
      <c r="C74" s="28">
        <v>60</v>
      </c>
      <c r="D74" s="28">
        <v>35</v>
      </c>
      <c r="E74" s="28">
        <v>38</v>
      </c>
      <c r="F74" s="28">
        <v>48</v>
      </c>
      <c r="G74" s="28">
        <v>51</v>
      </c>
      <c r="H74" s="28">
        <v>32</v>
      </c>
      <c r="I74" s="28">
        <v>37</v>
      </c>
      <c r="J74" s="28">
        <v>47</v>
      </c>
      <c r="K74" s="28">
        <v>50</v>
      </c>
      <c r="L74" s="28">
        <v>29</v>
      </c>
      <c r="M74" s="28">
        <v>42.7</v>
      </c>
      <c r="N74" s="28">
        <v>9.9112730430219305</v>
      </c>
      <c r="P74" s="28">
        <f t="shared" si="3"/>
        <v>4.067394675473745E-4</v>
      </c>
      <c r="Q74" s="28">
        <f t="shared" si="4"/>
        <v>0.25359399005740041</v>
      </c>
      <c r="R74" s="28">
        <f t="shared" si="5"/>
        <v>9.0876336042850856E-5</v>
      </c>
      <c r="T74" s="28" t="s">
        <v>570</v>
      </c>
      <c r="U74" s="28">
        <v>42</v>
      </c>
      <c r="V74" s="28">
        <v>64</v>
      </c>
      <c r="W74" s="28">
        <v>37</v>
      </c>
      <c r="X74" s="28">
        <v>59</v>
      </c>
      <c r="Y74" s="28">
        <v>74</v>
      </c>
      <c r="Z74" s="28">
        <v>59</v>
      </c>
      <c r="AA74" s="28">
        <v>46</v>
      </c>
      <c r="AB74" s="28">
        <v>53</v>
      </c>
      <c r="AC74" s="28">
        <v>26</v>
      </c>
      <c r="AD74" s="28">
        <v>34</v>
      </c>
      <c r="AE74" s="28">
        <v>49.4</v>
      </c>
      <c r="AF74" s="28">
        <v>14.982953276603601</v>
      </c>
    </row>
    <row r="75" spans="1:32" x14ac:dyDescent="0.25">
      <c r="B75" s="28" t="s">
        <v>571</v>
      </c>
      <c r="C75" s="28">
        <v>26</v>
      </c>
      <c r="D75" s="28">
        <v>26</v>
      </c>
      <c r="E75" s="28">
        <v>26</v>
      </c>
      <c r="F75" s="28">
        <v>35</v>
      </c>
      <c r="G75" s="28">
        <v>13</v>
      </c>
      <c r="H75" s="28">
        <v>31</v>
      </c>
      <c r="I75" s="28">
        <v>40</v>
      </c>
      <c r="J75" s="28">
        <v>26</v>
      </c>
      <c r="K75" s="28">
        <v>29</v>
      </c>
      <c r="L75" s="28">
        <v>25</v>
      </c>
      <c r="M75" s="28">
        <v>27.7</v>
      </c>
      <c r="N75" s="28">
        <v>7.0875477658590302</v>
      </c>
      <c r="P75" s="28">
        <f t="shared" si="3"/>
        <v>8.3848507319425775E-6</v>
      </c>
      <c r="Q75" s="57">
        <f>_xlfn.T.TEST(C75:L75,U75:AD75,2,2)</f>
        <v>9.5531494393352508E-3</v>
      </c>
      <c r="R75" s="28">
        <f t="shared" si="5"/>
        <v>3.010457591440883E-6</v>
      </c>
      <c r="T75" s="28" t="s">
        <v>571</v>
      </c>
      <c r="U75" s="28">
        <v>44</v>
      </c>
      <c r="V75" s="28">
        <v>41</v>
      </c>
      <c r="W75" s="28">
        <v>27</v>
      </c>
      <c r="X75" s="28">
        <v>64</v>
      </c>
      <c r="Y75" s="28">
        <v>31</v>
      </c>
      <c r="Z75" s="28">
        <v>54</v>
      </c>
      <c r="AA75" s="28">
        <v>42</v>
      </c>
      <c r="AB75" s="28">
        <v>38</v>
      </c>
      <c r="AC75" s="28">
        <v>25</v>
      </c>
      <c r="AD75" s="28">
        <v>38</v>
      </c>
      <c r="AE75" s="28">
        <v>40.4</v>
      </c>
      <c r="AF75" s="28">
        <v>11.899579824514801</v>
      </c>
    </row>
    <row r="76" spans="1:32" x14ac:dyDescent="0.25">
      <c r="B76" s="28" t="s">
        <v>572</v>
      </c>
      <c r="C76" s="28">
        <v>1.3837209302325499</v>
      </c>
      <c r="D76" s="28">
        <v>2.0655737704917998</v>
      </c>
      <c r="E76" s="28">
        <v>1.703125</v>
      </c>
      <c r="F76" s="28">
        <v>1.75903614457831</v>
      </c>
      <c r="G76" s="28">
        <v>2.21875</v>
      </c>
      <c r="H76" s="28">
        <v>1.8095238095238</v>
      </c>
      <c r="I76" s="28">
        <v>2.2207792207792201</v>
      </c>
      <c r="J76" s="28">
        <v>1.5753424657534201</v>
      </c>
      <c r="K76" s="28">
        <v>1.94936708860759</v>
      </c>
      <c r="L76" s="28">
        <v>1.5370370370370301</v>
      </c>
      <c r="M76" s="28">
        <v>1.8222255467003701</v>
      </c>
      <c r="N76" s="28">
        <v>0.28758944852861101</v>
      </c>
      <c r="P76" s="28">
        <f t="shared" si="3"/>
        <v>5.6749692148629419E-4</v>
      </c>
      <c r="Q76" s="28">
        <f t="shared" si="4"/>
        <v>0.27556042151659527</v>
      </c>
      <c r="R76" s="28">
        <f t="shared" si="5"/>
        <v>3.0833962074141878E-3</v>
      </c>
      <c r="T76" s="28" t="s">
        <v>572</v>
      </c>
      <c r="U76" s="28">
        <v>1.5764705882352901</v>
      </c>
      <c r="V76" s="28">
        <v>1.55238095238095</v>
      </c>
      <c r="W76" s="28">
        <v>2.703125</v>
      </c>
      <c r="X76" s="28">
        <v>1.4634146341463401</v>
      </c>
      <c r="Y76" s="28">
        <v>1.6857142857142799</v>
      </c>
      <c r="Z76" s="28">
        <v>1.69911504424778</v>
      </c>
      <c r="AA76" s="28">
        <v>1.9545454545454499</v>
      </c>
      <c r="AB76" s="28">
        <v>2.3555555555555499</v>
      </c>
      <c r="AC76" s="28">
        <v>3.5882352941176401</v>
      </c>
      <c r="AD76" s="28">
        <v>2.2222222222222201</v>
      </c>
      <c r="AE76" s="28">
        <v>2.0800779031165502</v>
      </c>
      <c r="AF76" s="28">
        <v>0.66563178763073105</v>
      </c>
    </row>
    <row r="77" spans="1:32" x14ac:dyDescent="0.25">
      <c r="B77" s="28" t="s">
        <v>573</v>
      </c>
      <c r="C77" s="28">
        <v>1.3333333333333299</v>
      </c>
      <c r="D77" s="28">
        <v>2.02857142857142</v>
      </c>
      <c r="E77" s="28">
        <v>1.7105263157894699</v>
      </c>
      <c r="F77" s="28">
        <v>1.7708333333333299</v>
      </c>
      <c r="G77" s="28">
        <v>2.1176470588235201</v>
      </c>
      <c r="H77" s="28">
        <v>2.09375</v>
      </c>
      <c r="I77" s="28">
        <v>2.56756756756756</v>
      </c>
      <c r="J77" s="28">
        <v>1.44680851063829</v>
      </c>
      <c r="K77" s="28">
        <v>1.88</v>
      </c>
      <c r="L77" s="28">
        <v>1.6206896551724099</v>
      </c>
      <c r="M77" s="28">
        <v>1.85697272032293</v>
      </c>
      <c r="N77" s="28">
        <v>0.36302205579125901</v>
      </c>
      <c r="P77" s="28">
        <f t="shared" si="3"/>
        <v>1.0630085490280282E-3</v>
      </c>
      <c r="Q77" s="28">
        <f t="shared" si="4"/>
        <v>0.18049088257447801</v>
      </c>
      <c r="R77" s="28">
        <f t="shared" si="5"/>
        <v>3.7279798946037892E-3</v>
      </c>
      <c r="T77" s="28" t="s">
        <v>573</v>
      </c>
      <c r="U77" s="28">
        <v>1.71428571428571</v>
      </c>
      <c r="V77" s="28">
        <v>1.53125</v>
      </c>
      <c r="W77" s="28">
        <v>3.3243243243243201</v>
      </c>
      <c r="X77" s="28">
        <v>1.57627118644067</v>
      </c>
      <c r="Y77" s="28">
        <v>1.58108108108108</v>
      </c>
      <c r="Z77" s="28">
        <v>1.8305084745762701</v>
      </c>
      <c r="AA77" s="28">
        <v>1.9565217391304299</v>
      </c>
      <c r="AB77" s="28">
        <v>2.4716981132075402</v>
      </c>
      <c r="AC77" s="28">
        <v>4.0384615384615303</v>
      </c>
      <c r="AD77" s="28">
        <v>2.6176470588235201</v>
      </c>
      <c r="AE77" s="28">
        <v>2.2642049230331098</v>
      </c>
      <c r="AF77" s="28">
        <v>0.84997523267839104</v>
      </c>
    </row>
    <row r="78" spans="1:32" x14ac:dyDescent="0.25">
      <c r="B78" s="28" t="s">
        <v>574</v>
      </c>
      <c r="C78" s="28">
        <v>1.5</v>
      </c>
      <c r="D78" s="28">
        <v>2.1153846153846101</v>
      </c>
      <c r="E78" s="28">
        <v>1.6923076923076901</v>
      </c>
      <c r="F78" s="28">
        <v>1.74285714285714</v>
      </c>
      <c r="G78" s="28">
        <v>2.6153846153846101</v>
      </c>
      <c r="H78" s="28">
        <v>1.5161290322580601</v>
      </c>
      <c r="I78" s="28">
        <v>1.9</v>
      </c>
      <c r="J78" s="28">
        <v>1.8076923076922999</v>
      </c>
      <c r="K78" s="28">
        <v>2.0689655172413701</v>
      </c>
      <c r="L78" s="28">
        <v>1.44</v>
      </c>
      <c r="M78" s="28">
        <v>1.83987209231258</v>
      </c>
      <c r="N78" s="28">
        <v>0.35681756555871502</v>
      </c>
      <c r="P78" s="28">
        <f t="shared" si="3"/>
        <v>4.9116406436180851E-3</v>
      </c>
      <c r="Q78" s="28">
        <f t="shared" si="4"/>
        <v>0.83239545304570173</v>
      </c>
      <c r="R78" s="28">
        <f t="shared" si="5"/>
        <v>4.9513799799436441E-3</v>
      </c>
      <c r="T78" s="28" t="s">
        <v>574</v>
      </c>
      <c r="U78" s="28">
        <v>1.4318181818181801</v>
      </c>
      <c r="V78" s="28">
        <v>1.58536585365853</v>
      </c>
      <c r="W78" s="28">
        <v>1.8518518518518501</v>
      </c>
      <c r="X78" s="28">
        <v>1.359375</v>
      </c>
      <c r="Y78" s="28">
        <v>1.93548387096774</v>
      </c>
      <c r="Z78" s="28">
        <v>1.55555555555555</v>
      </c>
      <c r="AA78" s="28">
        <v>1.9523809523809501</v>
      </c>
      <c r="AB78" s="28">
        <v>2.1578947368421</v>
      </c>
      <c r="AC78" s="28">
        <v>3.12</v>
      </c>
      <c r="AD78" s="28">
        <v>1.8684210526315701</v>
      </c>
      <c r="AE78" s="28">
        <v>1.88181470557065</v>
      </c>
      <c r="AF78" s="28">
        <v>0.50420754282426095</v>
      </c>
    </row>
    <row r="79" spans="1:32" x14ac:dyDescent="0.25">
      <c r="B79" s="28" t="s">
        <v>575</v>
      </c>
      <c r="C79" s="28">
        <v>100</v>
      </c>
      <c r="D79" s="28">
        <v>100</v>
      </c>
      <c r="E79" s="28">
        <v>100</v>
      </c>
      <c r="F79" s="28">
        <v>100</v>
      </c>
      <c r="G79" s="28">
        <v>100</v>
      </c>
      <c r="H79" s="28">
        <v>100</v>
      </c>
      <c r="I79" s="28">
        <v>100</v>
      </c>
      <c r="J79" s="28">
        <v>100</v>
      </c>
      <c r="K79" s="28">
        <v>100</v>
      </c>
      <c r="L79" s="28">
        <v>100</v>
      </c>
      <c r="M79" s="28">
        <v>100</v>
      </c>
      <c r="N79" s="28">
        <v>0</v>
      </c>
      <c r="P79" s="28" t="e">
        <f t="shared" si="3"/>
        <v>#DIV/0!</v>
      </c>
      <c r="Q79" s="28" t="e">
        <f t="shared" si="4"/>
        <v>#DIV/0!</v>
      </c>
      <c r="R79" s="28" t="e">
        <f t="shared" si="5"/>
        <v>#DIV/0!</v>
      </c>
      <c r="T79" s="28" t="s">
        <v>575</v>
      </c>
      <c r="U79" s="28">
        <v>100</v>
      </c>
      <c r="V79" s="28">
        <v>100</v>
      </c>
      <c r="W79" s="28">
        <v>100</v>
      </c>
      <c r="X79" s="28">
        <v>100</v>
      </c>
      <c r="Y79" s="28">
        <v>100</v>
      </c>
      <c r="Z79" s="28">
        <v>100</v>
      </c>
      <c r="AA79" s="28">
        <v>100</v>
      </c>
      <c r="AB79" s="28">
        <v>100</v>
      </c>
      <c r="AC79" s="28">
        <v>100</v>
      </c>
      <c r="AD79" s="28">
        <v>100</v>
      </c>
      <c r="AE79" s="28">
        <v>100</v>
      </c>
      <c r="AF79" s="28">
        <v>0</v>
      </c>
    </row>
    <row r="80" spans="1:32" x14ac:dyDescent="0.25">
      <c r="B80" s="28" t="s">
        <v>576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100</v>
      </c>
      <c r="N80" s="28">
        <v>0</v>
      </c>
      <c r="P80" s="28" t="e">
        <f t="shared" si="3"/>
        <v>#DIV/0!</v>
      </c>
      <c r="Q80" s="28" t="e">
        <f t="shared" si="4"/>
        <v>#DIV/0!</v>
      </c>
      <c r="R80" s="28" t="e">
        <f t="shared" si="5"/>
        <v>#DIV/0!</v>
      </c>
      <c r="T80" s="28" t="s">
        <v>576</v>
      </c>
      <c r="U80" s="28">
        <v>100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100</v>
      </c>
      <c r="AF80" s="28">
        <v>0</v>
      </c>
    </row>
    <row r="81" spans="2:32" x14ac:dyDescent="0.25">
      <c r="B81" s="28" t="s">
        <v>577</v>
      </c>
      <c r="C81" s="28">
        <v>100</v>
      </c>
      <c r="D81" s="28">
        <v>100</v>
      </c>
      <c r="E81" s="28">
        <v>100</v>
      </c>
      <c r="F81" s="28">
        <v>100</v>
      </c>
      <c r="G81" s="28">
        <v>100</v>
      </c>
      <c r="H81" s="28">
        <v>100</v>
      </c>
      <c r="I81" s="28">
        <v>100</v>
      </c>
      <c r="J81" s="28">
        <v>100</v>
      </c>
      <c r="K81" s="28">
        <v>100</v>
      </c>
      <c r="L81" s="28">
        <v>100</v>
      </c>
      <c r="M81" s="28">
        <v>100</v>
      </c>
      <c r="N81" s="28">
        <v>0</v>
      </c>
      <c r="P81" s="28" t="e">
        <f t="shared" si="3"/>
        <v>#DIV/0!</v>
      </c>
      <c r="Q81" s="28" t="e">
        <f t="shared" si="4"/>
        <v>#DIV/0!</v>
      </c>
      <c r="R81" s="28" t="e">
        <f t="shared" si="5"/>
        <v>#DIV/0!</v>
      </c>
      <c r="T81" s="28" t="s">
        <v>577</v>
      </c>
      <c r="U81" s="28">
        <v>100</v>
      </c>
      <c r="V81" s="28">
        <v>100</v>
      </c>
      <c r="W81" s="28">
        <v>100</v>
      </c>
      <c r="X81" s="28">
        <v>100</v>
      </c>
      <c r="Y81" s="28">
        <v>100</v>
      </c>
      <c r="Z81" s="28">
        <v>100</v>
      </c>
      <c r="AA81" s="28">
        <v>100</v>
      </c>
      <c r="AB81" s="28">
        <v>100</v>
      </c>
      <c r="AC81" s="28">
        <v>100</v>
      </c>
      <c r="AD81" s="28">
        <v>100</v>
      </c>
      <c r="AE81" s="28">
        <v>100</v>
      </c>
      <c r="AF81" s="28">
        <v>0</v>
      </c>
    </row>
    <row r="82" spans="2:32" x14ac:dyDescent="0.25">
      <c r="B82" s="28" t="s">
        <v>578</v>
      </c>
      <c r="C82" s="28">
        <v>156</v>
      </c>
      <c r="D82" s="28">
        <v>189</v>
      </c>
      <c r="E82" s="28">
        <v>136</v>
      </c>
      <c r="F82" s="28">
        <v>168</v>
      </c>
      <c r="G82" s="28">
        <v>170</v>
      </c>
      <c r="H82" s="28">
        <v>155</v>
      </c>
      <c r="I82" s="28">
        <v>227</v>
      </c>
      <c r="J82" s="28">
        <v>175</v>
      </c>
      <c r="K82" s="28">
        <v>181</v>
      </c>
      <c r="L82" s="28">
        <v>141</v>
      </c>
      <c r="M82" s="28">
        <v>169.8</v>
      </c>
      <c r="N82" s="28">
        <v>26.199236630100501</v>
      </c>
      <c r="P82" s="28">
        <f t="shared" si="3"/>
        <v>7.3046319432115895E-5</v>
      </c>
      <c r="Q82" s="28">
        <f t="shared" si="4"/>
        <v>4.8648466984299102E-5</v>
      </c>
      <c r="R82" s="28">
        <f t="shared" si="5"/>
        <v>8.226615050707706E-8</v>
      </c>
      <c r="T82" s="28" t="s">
        <v>578</v>
      </c>
      <c r="U82" s="28">
        <v>212</v>
      </c>
      <c r="V82" s="28">
        <v>213</v>
      </c>
      <c r="W82" s="28">
        <v>216</v>
      </c>
      <c r="X82" s="28">
        <v>281</v>
      </c>
      <c r="Y82" s="28">
        <v>240</v>
      </c>
      <c r="Z82" s="28">
        <v>275</v>
      </c>
      <c r="AA82" s="28">
        <v>255</v>
      </c>
      <c r="AB82" s="28">
        <v>280</v>
      </c>
      <c r="AC82" s="28">
        <v>200</v>
      </c>
      <c r="AD82" s="28">
        <v>215</v>
      </c>
      <c r="AE82" s="28">
        <v>238.7</v>
      </c>
      <c r="AF82" s="28">
        <v>31.672104796211698</v>
      </c>
    </row>
    <row r="83" spans="2:32" x14ac:dyDescent="0.25">
      <c r="B83" s="28" t="s">
        <v>579</v>
      </c>
      <c r="C83" s="28">
        <v>99</v>
      </c>
      <c r="D83" s="28">
        <v>87</v>
      </c>
      <c r="E83" s="28">
        <v>75</v>
      </c>
      <c r="F83" s="28">
        <v>97</v>
      </c>
      <c r="G83" s="28">
        <v>123</v>
      </c>
      <c r="H83" s="28">
        <v>75</v>
      </c>
      <c r="I83" s="28">
        <v>103</v>
      </c>
      <c r="J83" s="28">
        <v>97</v>
      </c>
      <c r="K83" s="28">
        <v>107</v>
      </c>
      <c r="L83" s="28">
        <v>64</v>
      </c>
      <c r="M83" s="28">
        <v>92.7</v>
      </c>
      <c r="N83" s="28">
        <v>17.600820687936299</v>
      </c>
      <c r="P83" s="28">
        <f t="shared" si="3"/>
        <v>6.8299206725282012E-5</v>
      </c>
      <c r="Q83" s="28">
        <f t="shared" si="4"/>
        <v>2.5414715392961377E-4</v>
      </c>
      <c r="R83" s="28">
        <f t="shared" si="5"/>
        <v>2.5773321911180686E-7</v>
      </c>
      <c r="T83" s="28" t="s">
        <v>579</v>
      </c>
      <c r="U83" s="28">
        <v>102</v>
      </c>
      <c r="V83" s="28">
        <v>122</v>
      </c>
      <c r="W83" s="28">
        <v>137</v>
      </c>
      <c r="X83" s="28">
        <v>136</v>
      </c>
      <c r="Y83" s="28">
        <v>154</v>
      </c>
      <c r="Z83" s="28">
        <v>147</v>
      </c>
      <c r="AA83" s="28">
        <v>126</v>
      </c>
      <c r="AB83" s="28">
        <v>155</v>
      </c>
      <c r="AC83" s="28">
        <v>113</v>
      </c>
      <c r="AD83" s="28">
        <v>107</v>
      </c>
      <c r="AE83" s="28">
        <v>129.9</v>
      </c>
      <c r="AF83" s="28">
        <v>19.023085390592598</v>
      </c>
    </row>
    <row r="84" spans="2:32" x14ac:dyDescent="0.25">
      <c r="B84" s="28" t="s">
        <v>580</v>
      </c>
      <c r="C84" s="28">
        <v>56</v>
      </c>
      <c r="D84" s="28">
        <v>101</v>
      </c>
      <c r="E84" s="28">
        <v>60</v>
      </c>
      <c r="F84" s="28">
        <v>70</v>
      </c>
      <c r="G84" s="28">
        <v>46</v>
      </c>
      <c r="H84" s="28">
        <v>79</v>
      </c>
      <c r="I84" s="28">
        <v>123</v>
      </c>
      <c r="J84" s="28">
        <v>77</v>
      </c>
      <c r="K84" s="28">
        <v>73</v>
      </c>
      <c r="L84" s="28">
        <v>76</v>
      </c>
      <c r="M84" s="28">
        <v>76.099999999999994</v>
      </c>
      <c r="N84" s="28">
        <v>22.223361081928498</v>
      </c>
      <c r="P84" s="28">
        <f t="shared" si="3"/>
        <v>3.0451727945576528E-2</v>
      </c>
      <c r="Q84" s="28">
        <f t="shared" si="4"/>
        <v>5.2933815680483165E-3</v>
      </c>
      <c r="R84" s="28">
        <f t="shared" si="5"/>
        <v>4.3134306884698566E-5</v>
      </c>
      <c r="T84" s="28" t="s">
        <v>580</v>
      </c>
      <c r="U84" s="28">
        <v>109</v>
      </c>
      <c r="V84" s="28">
        <v>90</v>
      </c>
      <c r="W84" s="28">
        <v>78</v>
      </c>
      <c r="X84" s="28">
        <v>144</v>
      </c>
      <c r="Y84" s="28">
        <v>85</v>
      </c>
      <c r="Z84" s="28">
        <v>127</v>
      </c>
      <c r="AA84" s="28">
        <v>128</v>
      </c>
      <c r="AB84" s="28">
        <v>124</v>
      </c>
      <c r="AC84" s="28">
        <v>86</v>
      </c>
      <c r="AD84" s="28">
        <v>107</v>
      </c>
      <c r="AE84" s="28">
        <v>107.8</v>
      </c>
      <c r="AF84" s="28">
        <v>22.488515587591198</v>
      </c>
    </row>
    <row r="85" spans="2:32" x14ac:dyDescent="0.25">
      <c r="B85" s="28" t="s">
        <v>581</v>
      </c>
      <c r="C85" s="28">
        <v>8.5256410256410193E-3</v>
      </c>
      <c r="D85" s="28">
        <v>7.5661375661375601E-3</v>
      </c>
      <c r="E85" s="28">
        <v>8.9705882352941104E-3</v>
      </c>
      <c r="F85" s="28">
        <v>9.3452380952380905E-3</v>
      </c>
      <c r="G85" s="28">
        <v>9.0588235294117598E-3</v>
      </c>
      <c r="H85" s="28">
        <v>8.1935483870967697E-3</v>
      </c>
      <c r="I85" s="28">
        <v>8.8986784140969097E-3</v>
      </c>
      <c r="J85" s="28">
        <v>7.0857142857142803E-3</v>
      </c>
      <c r="K85" s="28">
        <v>9.0055248618784497E-3</v>
      </c>
      <c r="L85" s="28">
        <v>6.9503546099290697E-3</v>
      </c>
      <c r="M85" s="28">
        <v>8.3600249010437992E-3</v>
      </c>
      <c r="N85" s="28">
        <v>8.7146161116804003E-4</v>
      </c>
      <c r="P85" s="28">
        <f t="shared" si="3"/>
        <v>1.2272125551432852E-3</v>
      </c>
      <c r="Q85" s="28">
        <f t="shared" si="4"/>
        <v>0.77460598030789363</v>
      </c>
      <c r="R85" s="28">
        <f t="shared" si="5"/>
        <v>5.4869686454358254E-6</v>
      </c>
      <c r="T85" s="28" t="s">
        <v>581</v>
      </c>
      <c r="U85" s="28">
        <v>8.06603773584905E-3</v>
      </c>
      <c r="V85" s="28">
        <v>8.6854460093896708E-3</v>
      </c>
      <c r="W85" s="28">
        <v>8.6574074074074001E-3</v>
      </c>
      <c r="X85" s="28">
        <v>7.68683274021352E-3</v>
      </c>
      <c r="Y85" s="28">
        <v>8.5416666666666592E-3</v>
      </c>
      <c r="Z85" s="28">
        <v>8.2545454545454502E-3</v>
      </c>
      <c r="AA85" s="28">
        <v>7.2941176470588199E-3</v>
      </c>
      <c r="AB85" s="28">
        <v>8.2500000000000004E-3</v>
      </c>
      <c r="AC85" s="28">
        <v>9.2999999999999992E-3</v>
      </c>
      <c r="AD85" s="28">
        <v>7.9069767441860405E-3</v>
      </c>
      <c r="AE85" s="28">
        <v>8.2643030405316602E-3</v>
      </c>
      <c r="AF85" s="28">
        <v>5.6994286871982799E-4</v>
      </c>
    </row>
    <row r="86" spans="2:32" x14ac:dyDescent="0.25">
      <c r="B86" s="28" t="s">
        <v>582</v>
      </c>
      <c r="C86" s="28">
        <v>86.868686868686794</v>
      </c>
      <c r="D86" s="28">
        <v>85.057471264367805</v>
      </c>
      <c r="E86" s="28">
        <v>93.3333333333333</v>
      </c>
      <c r="F86" s="28">
        <v>97.9381443298969</v>
      </c>
      <c r="G86" s="28">
        <v>90.243902439024396</v>
      </c>
      <c r="H86" s="28">
        <v>92</v>
      </c>
      <c r="I86" s="28">
        <v>98.058252427184399</v>
      </c>
      <c r="J86" s="28">
        <v>76.288659793814404</v>
      </c>
      <c r="K86" s="28">
        <v>91.588785046728901</v>
      </c>
      <c r="L86" s="28">
        <v>76.5625</v>
      </c>
      <c r="M86" s="28">
        <v>88.793973550303704</v>
      </c>
      <c r="N86" s="28">
        <v>7.70209477835634</v>
      </c>
      <c r="P86" s="28">
        <f t="shared" si="3"/>
        <v>1.600227590319346E-3</v>
      </c>
      <c r="Q86" s="28">
        <f t="shared" si="4"/>
        <v>0.36229210638686804</v>
      </c>
      <c r="R86" s="28">
        <f t="shared" si="5"/>
        <v>2.4983178815967129E-6</v>
      </c>
      <c r="T86" s="28" t="s">
        <v>582</v>
      </c>
      <c r="U86" s="28">
        <v>82.352941176470495</v>
      </c>
      <c r="V86" s="28">
        <v>86.885245901639294</v>
      </c>
      <c r="W86" s="28">
        <v>93.430656934306498</v>
      </c>
      <c r="X86" s="28">
        <v>83.088235294117595</v>
      </c>
      <c r="Y86" s="28">
        <v>86.363636363636303</v>
      </c>
      <c r="Z86" s="28">
        <v>86.394557823129205</v>
      </c>
      <c r="AA86" s="28">
        <v>74.603174603174594</v>
      </c>
      <c r="AB86" s="28">
        <v>87.096774193548299</v>
      </c>
      <c r="AC86" s="28">
        <v>93.805309734513202</v>
      </c>
      <c r="AD86" s="28">
        <v>85.981308411214897</v>
      </c>
      <c r="AE86" s="28">
        <v>86.000184043575004</v>
      </c>
      <c r="AF86" s="28">
        <v>5.4780308067062098</v>
      </c>
    </row>
    <row r="87" spans="2:32" x14ac:dyDescent="0.25">
      <c r="B87" s="28" t="s">
        <v>583</v>
      </c>
      <c r="C87" s="28">
        <v>87.5</v>
      </c>
      <c r="D87" s="28">
        <v>69.306930693069305</v>
      </c>
      <c r="E87" s="28">
        <v>90</v>
      </c>
      <c r="F87" s="28">
        <v>91.428571428571402</v>
      </c>
      <c r="G87" s="28">
        <v>95.652173913043399</v>
      </c>
      <c r="H87" s="28">
        <v>75.949367088607602</v>
      </c>
      <c r="I87" s="28">
        <v>83.739837398373894</v>
      </c>
      <c r="J87" s="28">
        <v>67.532467532467507</v>
      </c>
      <c r="K87" s="28">
        <v>91.780821917808197</v>
      </c>
      <c r="L87" s="28">
        <v>67.105263157894697</v>
      </c>
      <c r="M87" s="28">
        <v>81.999543312983604</v>
      </c>
      <c r="N87" s="28">
        <v>11.040874409636601</v>
      </c>
      <c r="P87" s="28">
        <f t="shared" si="3"/>
        <v>5.500145723800037E-3</v>
      </c>
      <c r="Q87" s="28">
        <f t="shared" si="4"/>
        <v>0.79703657483551071</v>
      </c>
      <c r="R87" s="28">
        <f t="shared" si="5"/>
        <v>3.1340268748265891E-4</v>
      </c>
      <c r="T87" s="28" t="s">
        <v>583</v>
      </c>
      <c r="U87" s="28">
        <v>80.733944954128404</v>
      </c>
      <c r="V87" s="28">
        <v>90</v>
      </c>
      <c r="W87" s="28">
        <v>78.205128205128204</v>
      </c>
      <c r="X87" s="28">
        <v>72.9166666666666</v>
      </c>
      <c r="Y87" s="28">
        <v>87.058823529411697</v>
      </c>
      <c r="Z87" s="28">
        <v>80.314960629921202</v>
      </c>
      <c r="AA87" s="28">
        <v>72.65625</v>
      </c>
      <c r="AB87" s="28">
        <v>78.225806451612897</v>
      </c>
      <c r="AC87" s="28">
        <v>94.186046511627893</v>
      </c>
      <c r="AD87" s="28">
        <v>74.766355140186903</v>
      </c>
      <c r="AE87" s="28">
        <v>80.906398208868396</v>
      </c>
      <c r="AF87" s="28">
        <v>7.3132896133041596</v>
      </c>
    </row>
    <row r="88" spans="2:32" x14ac:dyDescent="0.25">
      <c r="B88" s="28" t="s">
        <v>584</v>
      </c>
      <c r="C88" s="28">
        <v>22.862500000000001</v>
      </c>
      <c r="D88" s="28">
        <v>22.994722222222201</v>
      </c>
      <c r="E88" s="28">
        <v>22.904722222222201</v>
      </c>
      <c r="F88" s="28">
        <v>22.334166666666601</v>
      </c>
      <c r="G88" s="28">
        <v>22.823888888888799</v>
      </c>
      <c r="H88" s="28">
        <v>22.717222222222201</v>
      </c>
      <c r="I88" s="28">
        <v>22.9227777777777</v>
      </c>
      <c r="J88" s="28">
        <v>22.904444444444401</v>
      </c>
      <c r="K88" s="28">
        <v>22.355555555555501</v>
      </c>
      <c r="L88" s="28">
        <v>22.7075</v>
      </c>
      <c r="M88" s="28">
        <v>22.752749999999999</v>
      </c>
      <c r="N88" s="28">
        <v>0.23260786876291401</v>
      </c>
      <c r="P88" s="28">
        <f t="shared" si="3"/>
        <v>0.99940746837619754</v>
      </c>
      <c r="Q88" s="28">
        <f t="shared" si="4"/>
        <v>0.33742907453488291</v>
      </c>
      <c r="R88" s="28">
        <f t="shared" si="5"/>
        <v>0.12070967158999371</v>
      </c>
      <c r="T88" s="28" t="s">
        <v>584</v>
      </c>
      <c r="U88" s="28">
        <v>22.218611111111102</v>
      </c>
      <c r="V88" s="28">
        <v>23.1169444444444</v>
      </c>
      <c r="W88" s="28">
        <v>23.151111111111099</v>
      </c>
      <c r="X88" s="28">
        <v>23.0963888888888</v>
      </c>
      <c r="Y88" s="28">
        <v>22.599722222222201</v>
      </c>
      <c r="Z88" s="28">
        <v>22.974166666666601</v>
      </c>
      <c r="AA88" s="28">
        <v>23.081111111111099</v>
      </c>
      <c r="AB88" s="28">
        <v>22.980833333333301</v>
      </c>
      <c r="AC88" s="28">
        <v>23.077222222222201</v>
      </c>
      <c r="AD88" s="28">
        <v>22.4777777777777</v>
      </c>
      <c r="AE88" s="28">
        <v>22.877388888888799</v>
      </c>
      <c r="AF88" s="28">
        <v>0.32532897774187403</v>
      </c>
    </row>
    <row r="89" spans="2:32" x14ac:dyDescent="0.25">
      <c r="B89" s="28" t="s">
        <v>585</v>
      </c>
      <c r="C89" s="28">
        <v>-5.0000000000000697E-2</v>
      </c>
      <c r="D89" s="28">
        <v>-5.9999999999999602E-2</v>
      </c>
      <c r="E89" s="28">
        <v>-0.06</v>
      </c>
      <c r="F89" s="28">
        <v>-4.9999999999999802E-2</v>
      </c>
      <c r="G89" s="28">
        <v>-5.9999999999999602E-2</v>
      </c>
      <c r="H89" s="28">
        <v>-0.04</v>
      </c>
      <c r="I89" s="28">
        <v>-5.0000000000000197E-2</v>
      </c>
      <c r="J89" s="28">
        <v>-2.9999999999999801E-2</v>
      </c>
      <c r="K89" s="28">
        <v>-4.9999999999999802E-2</v>
      </c>
      <c r="L89" s="28">
        <v>-0.04</v>
      </c>
      <c r="M89" s="28">
        <v>-4.8999999999999898E-2</v>
      </c>
      <c r="N89" s="28">
        <v>9.9442892601174799E-3</v>
      </c>
      <c r="P89" s="28">
        <f t="shared" si="3"/>
        <v>0.3370361746565933</v>
      </c>
      <c r="Q89" s="28">
        <f t="shared" si="4"/>
        <v>5.5974103111253774E-2</v>
      </c>
      <c r="R89" s="28">
        <f t="shared" si="5"/>
        <v>0.17527128066854716</v>
      </c>
      <c r="T89" s="28" t="s">
        <v>585</v>
      </c>
      <c r="U89" s="28">
        <v>-4.9999999999999302E-2</v>
      </c>
      <c r="V89" s="28">
        <v>-0.04</v>
      </c>
      <c r="W89" s="28">
        <v>-0.04</v>
      </c>
      <c r="X89" s="28">
        <v>-2.9999999999999801E-2</v>
      </c>
      <c r="Y89" s="28">
        <v>-0.04</v>
      </c>
      <c r="Z89" s="28">
        <v>-0.04</v>
      </c>
      <c r="AA89" s="28">
        <v>-4.9999999999999802E-2</v>
      </c>
      <c r="AB89" s="28">
        <v>-0.04</v>
      </c>
      <c r="AC89" s="28">
        <v>-5.0000000000000197E-2</v>
      </c>
      <c r="AD89" s="28">
        <v>-2.9999999999999801E-2</v>
      </c>
      <c r="AE89" s="28">
        <v>-4.0999999999999898E-2</v>
      </c>
      <c r="AF89" s="28">
        <v>7.3786478737262002E-3</v>
      </c>
    </row>
    <row r="90" spans="2:32" x14ac:dyDescent="0.25">
      <c r="B90" s="28" t="s">
        <v>586</v>
      </c>
      <c r="C90" s="28">
        <v>-2.1869874248223301E-3</v>
      </c>
      <c r="D90" s="28">
        <v>-2.6092944033050802E-3</v>
      </c>
      <c r="E90" s="28">
        <v>-2.6195471579126099E-3</v>
      </c>
      <c r="F90" s="28">
        <v>-2.2387224357300001E-3</v>
      </c>
      <c r="G90" s="28">
        <v>-2.6288245746415601E-3</v>
      </c>
      <c r="H90" s="28">
        <v>-1.7607786554498499E-3</v>
      </c>
      <c r="I90" s="28">
        <v>-2.1812365187465202E-3</v>
      </c>
      <c r="J90" s="28">
        <v>-1.3097894634714099E-3</v>
      </c>
      <c r="K90" s="28">
        <v>-2.2365805168986E-3</v>
      </c>
      <c r="L90" s="28">
        <v>-1.7615325333039699E-3</v>
      </c>
      <c r="M90" s="28">
        <v>-2.1533293684281901E-3</v>
      </c>
      <c r="N90" s="28">
        <v>4.32904098744171E-4</v>
      </c>
      <c r="P90" s="28">
        <f t="shared" si="3"/>
        <v>0.34197324502969273</v>
      </c>
      <c r="Q90" s="28">
        <f t="shared" si="4"/>
        <v>4.9637503108859636E-2</v>
      </c>
      <c r="R90" s="28">
        <f t="shared" si="5"/>
        <v>7.9223702440332083E-2</v>
      </c>
      <c r="T90" s="28" t="s">
        <v>586</v>
      </c>
      <c r="U90" s="28">
        <v>-2.2503656844236899E-3</v>
      </c>
      <c r="V90" s="28">
        <v>-1.73033248819408E-3</v>
      </c>
      <c r="W90" s="28">
        <v>-1.7277788443079299E-3</v>
      </c>
      <c r="X90" s="28">
        <v>-1.29890435012687E-3</v>
      </c>
      <c r="Y90" s="28">
        <v>-1.7699332587666999E-3</v>
      </c>
      <c r="Z90" s="28">
        <v>-1.7410860023939899E-3</v>
      </c>
      <c r="AA90" s="28">
        <v>-2.1662735281374702E-3</v>
      </c>
      <c r="AB90" s="28">
        <v>-1.74058091888167E-3</v>
      </c>
      <c r="AC90" s="28">
        <v>-2.1666385806110001E-3</v>
      </c>
      <c r="AD90" s="28">
        <v>-1.3346515076618701E-3</v>
      </c>
      <c r="AE90" s="28">
        <v>-1.7926545163505299E-3</v>
      </c>
      <c r="AF90" s="28">
        <v>3.2600116854422602E-4</v>
      </c>
    </row>
    <row r="91" spans="2:32" x14ac:dyDescent="0.25">
      <c r="B91" s="28" t="s">
        <v>587</v>
      </c>
      <c r="C91" s="28">
        <v>1.50833333333333</v>
      </c>
      <c r="D91" s="28">
        <v>1.51968503937007</v>
      </c>
      <c r="E91" s="28">
        <v>1.66363636363636</v>
      </c>
      <c r="F91" s="28">
        <v>1.53061224489795</v>
      </c>
      <c r="G91" s="28">
        <v>1.4825174825174801</v>
      </c>
      <c r="H91" s="28">
        <v>1.33043478260869</v>
      </c>
      <c r="I91" s="28">
        <v>1.3430232558139501</v>
      </c>
      <c r="J91" s="28">
        <v>1.7327586206896499</v>
      </c>
      <c r="K91" s="28">
        <v>1.6193548387096699</v>
      </c>
      <c r="L91" s="28">
        <v>1.6071428571428501</v>
      </c>
      <c r="M91" s="28">
        <v>1.5337498818719999</v>
      </c>
      <c r="N91" s="28">
        <v>0.12926364679503499</v>
      </c>
      <c r="P91" s="28">
        <f t="shared" si="3"/>
        <v>1.1286858184965495E-2</v>
      </c>
      <c r="Q91" s="28">
        <f t="shared" si="4"/>
        <v>0.34047674535424743</v>
      </c>
      <c r="R91" s="28">
        <f t="shared" si="5"/>
        <v>0.26520120344298564</v>
      </c>
      <c r="T91" s="28" t="s">
        <v>587</v>
      </c>
      <c r="U91" s="28">
        <v>1.48888888888888</v>
      </c>
      <c r="V91" s="28">
        <v>1.49390243902439</v>
      </c>
      <c r="W91" s="28">
        <v>1.8333333333333299</v>
      </c>
      <c r="X91" s="28">
        <v>2.05524861878453</v>
      </c>
      <c r="Y91" s="28">
        <v>1.8258426966292101</v>
      </c>
      <c r="Z91" s="28">
        <v>1.50259067357512</v>
      </c>
      <c r="AA91" s="28">
        <v>1.35838150289017</v>
      </c>
      <c r="AB91" s="28">
        <v>1.5164319248826199</v>
      </c>
      <c r="AC91" s="28">
        <v>1.39130434782608</v>
      </c>
      <c r="AD91" s="28">
        <v>1.6770186335403701</v>
      </c>
      <c r="AE91" s="28">
        <v>1.6142943059374699</v>
      </c>
      <c r="AF91" s="28">
        <v>0.22573268752445</v>
      </c>
    </row>
    <row r="92" spans="2:32" x14ac:dyDescent="0.25">
      <c r="B92" s="28" t="s">
        <v>588</v>
      </c>
      <c r="C92" s="28">
        <v>1</v>
      </c>
      <c r="D92" s="28">
        <v>1</v>
      </c>
      <c r="E92" s="28">
        <v>2</v>
      </c>
      <c r="F92" s="28">
        <v>1</v>
      </c>
      <c r="G92" s="28">
        <v>1</v>
      </c>
      <c r="H92" s="28">
        <v>1</v>
      </c>
      <c r="I92" s="28">
        <v>1</v>
      </c>
      <c r="J92" s="28">
        <v>2</v>
      </c>
      <c r="K92" s="28">
        <v>2</v>
      </c>
      <c r="L92" s="28">
        <v>1</v>
      </c>
      <c r="M92" s="28">
        <v>1.3</v>
      </c>
      <c r="N92" s="28">
        <v>0.483045891539647</v>
      </c>
      <c r="P92" s="28">
        <f t="shared" si="3"/>
        <v>8.0616717939726537E-2</v>
      </c>
      <c r="Q92" s="28">
        <f t="shared" si="4"/>
        <v>0.66005565318958825</v>
      </c>
      <c r="R92" s="28">
        <f t="shared" si="5"/>
        <v>0.35534583312781853</v>
      </c>
      <c r="T92" s="28" t="s">
        <v>588</v>
      </c>
      <c r="U92" s="28">
        <v>1</v>
      </c>
      <c r="V92" s="28">
        <v>1</v>
      </c>
      <c r="W92" s="28">
        <v>2</v>
      </c>
      <c r="X92" s="28">
        <v>2</v>
      </c>
      <c r="Y92" s="28">
        <v>2</v>
      </c>
      <c r="Z92" s="28">
        <v>1</v>
      </c>
      <c r="AA92" s="28">
        <v>1</v>
      </c>
      <c r="AB92" s="28">
        <v>1</v>
      </c>
      <c r="AC92" s="28">
        <v>1</v>
      </c>
      <c r="AD92" s="28">
        <v>2</v>
      </c>
      <c r="AE92" s="28">
        <v>1.4</v>
      </c>
      <c r="AF92" s="28">
        <v>0.51639777949432197</v>
      </c>
    </row>
    <row r="93" spans="2:32" x14ac:dyDescent="0.25">
      <c r="B93" s="28" t="s">
        <v>589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P93" s="28" t="e">
        <f t="shared" si="3"/>
        <v>#DIV/0!</v>
      </c>
      <c r="Q93" s="28" t="e">
        <f t="shared" si="4"/>
        <v>#DIV/0!</v>
      </c>
      <c r="R93" s="28" t="e">
        <f t="shared" si="5"/>
        <v>#DIV/0!</v>
      </c>
      <c r="T93" s="28" t="s">
        <v>589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</row>
    <row r="94" spans="2:32" x14ac:dyDescent="0.25">
      <c r="Q94" s="28" t="e">
        <f t="shared" si="4"/>
        <v>#DIV/0!</v>
      </c>
    </row>
    <row r="95" spans="2:32" x14ac:dyDescent="0.25">
      <c r="Q95" s="28" t="e">
        <f t="shared" si="4"/>
        <v>#DIV/0!</v>
      </c>
    </row>
    <row r="96" spans="2:32" x14ac:dyDescent="0.25">
      <c r="Q96" s="28" t="e">
        <f t="shared" si="4"/>
        <v>#DIV/0!</v>
      </c>
    </row>
    <row r="97" spans="1:32" x14ac:dyDescent="0.25">
      <c r="A97" s="49" t="s">
        <v>611</v>
      </c>
      <c r="Q97" s="28" t="e">
        <f t="shared" si="4"/>
        <v>#DIV/0!</v>
      </c>
      <c r="S97" s="56" t="s">
        <v>612</v>
      </c>
    </row>
    <row r="98" spans="1:32" x14ac:dyDescent="0.25">
      <c r="B98" s="28" t="s">
        <v>558</v>
      </c>
      <c r="C98" s="28" t="s">
        <v>349</v>
      </c>
      <c r="D98" s="28" t="s">
        <v>399</v>
      </c>
      <c r="E98" s="28" t="s">
        <v>359</v>
      </c>
      <c r="F98" s="28" t="s">
        <v>409</v>
      </c>
      <c r="G98" s="28" t="s">
        <v>369</v>
      </c>
      <c r="H98" s="28" t="s">
        <v>379</v>
      </c>
      <c r="I98" s="28" t="s">
        <v>429</v>
      </c>
      <c r="J98" s="28" t="s">
        <v>389</v>
      </c>
      <c r="K98" s="28" t="s">
        <v>439</v>
      </c>
      <c r="L98" s="28" t="s">
        <v>559</v>
      </c>
      <c r="M98" s="28" t="s">
        <v>560</v>
      </c>
      <c r="Q98" s="28" t="e">
        <f t="shared" si="4"/>
        <v>#DIV/0!</v>
      </c>
      <c r="T98" s="28" t="s">
        <v>558</v>
      </c>
      <c r="U98" s="28" t="s">
        <v>247</v>
      </c>
      <c r="V98" s="28" t="s">
        <v>298</v>
      </c>
      <c r="W98" s="28" t="s">
        <v>257</v>
      </c>
      <c r="X98" s="28" t="s">
        <v>309</v>
      </c>
      <c r="Y98" s="28" t="s">
        <v>267</v>
      </c>
      <c r="Z98" s="28" t="s">
        <v>319</v>
      </c>
      <c r="AA98" s="28" t="s">
        <v>277</v>
      </c>
      <c r="AB98" s="28" t="s">
        <v>329</v>
      </c>
      <c r="AC98" s="28" t="s">
        <v>288</v>
      </c>
      <c r="AD98" s="28" t="s">
        <v>339</v>
      </c>
      <c r="AE98" s="28" t="s">
        <v>559</v>
      </c>
      <c r="AF98" s="28" t="s">
        <v>560</v>
      </c>
    </row>
    <row r="99" spans="1:32" x14ac:dyDescent="0.25">
      <c r="B99" s="28" t="s">
        <v>563</v>
      </c>
      <c r="C99" s="28">
        <v>61</v>
      </c>
      <c r="D99" s="28">
        <v>55</v>
      </c>
      <c r="E99" s="28">
        <v>43</v>
      </c>
      <c r="F99" s="28">
        <v>42</v>
      </c>
      <c r="G99" s="28">
        <v>45</v>
      </c>
      <c r="H99" s="28">
        <v>19</v>
      </c>
      <c r="I99" s="28">
        <v>75</v>
      </c>
      <c r="J99" s="28">
        <v>30</v>
      </c>
      <c r="K99" s="28">
        <v>61</v>
      </c>
      <c r="L99" s="28">
        <v>47.8888888888888</v>
      </c>
      <c r="M99" s="28">
        <v>17.1423776387965</v>
      </c>
      <c r="Q99" s="28">
        <f t="shared" si="4"/>
        <v>0.58102351802568197</v>
      </c>
      <c r="T99" s="28" t="s">
        <v>563</v>
      </c>
      <c r="U99" s="28">
        <v>62</v>
      </c>
      <c r="V99" s="28">
        <v>54</v>
      </c>
      <c r="W99" s="28">
        <v>25</v>
      </c>
      <c r="X99" s="28">
        <v>48</v>
      </c>
      <c r="Y99" s="28">
        <v>39</v>
      </c>
      <c r="Z99" s="28">
        <v>47</v>
      </c>
      <c r="AA99" s="28">
        <v>48</v>
      </c>
      <c r="AB99" s="28">
        <v>13</v>
      </c>
      <c r="AC99" s="28">
        <v>49</v>
      </c>
      <c r="AD99" s="28">
        <v>55</v>
      </c>
      <c r="AE99" s="28">
        <v>44</v>
      </c>
      <c r="AF99" s="28">
        <v>14.749764593225001</v>
      </c>
    </row>
    <row r="100" spans="1:32" x14ac:dyDescent="0.25">
      <c r="B100" s="28" t="s">
        <v>564</v>
      </c>
      <c r="C100" s="28">
        <v>44</v>
      </c>
      <c r="D100" s="28">
        <v>37</v>
      </c>
      <c r="E100" s="28">
        <v>28</v>
      </c>
      <c r="F100" s="28">
        <v>27</v>
      </c>
      <c r="G100" s="28">
        <v>30</v>
      </c>
      <c r="H100" s="28">
        <v>7</v>
      </c>
      <c r="I100" s="28">
        <v>46</v>
      </c>
      <c r="J100" s="28">
        <v>24</v>
      </c>
      <c r="K100" s="28">
        <v>44</v>
      </c>
      <c r="L100" s="28">
        <v>31.8888888888888</v>
      </c>
      <c r="M100" s="28">
        <v>12.4643937321921</v>
      </c>
      <c r="Q100" s="28">
        <f t="shared" si="4"/>
        <v>0.29566935689270446</v>
      </c>
      <c r="T100" s="28" t="s">
        <v>564</v>
      </c>
      <c r="U100" s="28">
        <v>40</v>
      </c>
      <c r="V100" s="28">
        <v>37</v>
      </c>
      <c r="W100" s="28">
        <v>4</v>
      </c>
      <c r="X100" s="28">
        <v>34</v>
      </c>
      <c r="Y100" s="28">
        <v>22</v>
      </c>
      <c r="Z100" s="28">
        <v>25</v>
      </c>
      <c r="AA100" s="28">
        <v>34</v>
      </c>
      <c r="AB100" s="28">
        <v>7</v>
      </c>
      <c r="AC100" s="28">
        <v>25</v>
      </c>
      <c r="AD100" s="28">
        <v>33</v>
      </c>
      <c r="AE100" s="28">
        <v>26.1</v>
      </c>
      <c r="AF100" s="28">
        <v>12.2787078581855</v>
      </c>
    </row>
    <row r="101" spans="1:32" x14ac:dyDescent="0.25">
      <c r="B101" s="28" t="s">
        <v>565</v>
      </c>
      <c r="C101" s="28">
        <v>17</v>
      </c>
      <c r="D101" s="28">
        <v>18</v>
      </c>
      <c r="E101" s="28">
        <v>15</v>
      </c>
      <c r="F101" s="28">
        <v>15</v>
      </c>
      <c r="G101" s="28">
        <v>15</v>
      </c>
      <c r="H101" s="28">
        <v>12</v>
      </c>
      <c r="I101" s="28">
        <v>29</v>
      </c>
      <c r="J101" s="28">
        <v>6</v>
      </c>
      <c r="K101" s="28">
        <v>17</v>
      </c>
      <c r="L101" s="28">
        <v>16</v>
      </c>
      <c r="M101" s="28">
        <v>6.0621778264910704</v>
      </c>
      <c r="Q101" s="28">
        <f t="shared" si="4"/>
        <v>0.45803688853075286</v>
      </c>
      <c r="T101" s="28" t="s">
        <v>565</v>
      </c>
      <c r="U101" s="28">
        <v>22</v>
      </c>
      <c r="V101" s="28">
        <v>17</v>
      </c>
      <c r="W101" s="28">
        <v>21</v>
      </c>
      <c r="X101" s="28">
        <v>14</v>
      </c>
      <c r="Y101" s="28">
        <v>17</v>
      </c>
      <c r="Z101" s="28">
        <v>22</v>
      </c>
      <c r="AA101" s="28">
        <v>14</v>
      </c>
      <c r="AB101" s="28">
        <v>6</v>
      </c>
      <c r="AC101" s="28">
        <v>24</v>
      </c>
      <c r="AD101" s="28">
        <v>22</v>
      </c>
      <c r="AE101" s="28">
        <v>17.899999999999999</v>
      </c>
      <c r="AF101" s="28">
        <v>5.4863466897380802</v>
      </c>
    </row>
    <row r="102" spans="1:32" x14ac:dyDescent="0.25">
      <c r="B102" s="28" t="s">
        <v>566</v>
      </c>
      <c r="C102" s="28">
        <v>2.6536481620223702</v>
      </c>
      <c r="D102" s="28">
        <v>2.3931830543300898</v>
      </c>
      <c r="E102" s="28">
        <v>1.87350228741558</v>
      </c>
      <c r="F102" s="28">
        <v>1.8198668801078399</v>
      </c>
      <c r="G102" s="28">
        <v>1.9732514799386101</v>
      </c>
      <c r="H102" s="28">
        <v>0.87822916131683004</v>
      </c>
      <c r="I102" s="28">
        <v>3.2726876037866202</v>
      </c>
      <c r="J102" s="28">
        <v>1.3139005815226601</v>
      </c>
      <c r="K102" s="28">
        <v>2.7006419558747501</v>
      </c>
      <c r="L102" s="28">
        <v>2.0976567962572599</v>
      </c>
      <c r="M102" s="28">
        <v>0.740347671236809</v>
      </c>
      <c r="Q102" s="28">
        <f t="shared" si="4"/>
        <v>0.65299374887768913</v>
      </c>
      <c r="T102" s="28" t="s">
        <v>566</v>
      </c>
      <c r="U102" s="28">
        <v>2.8019081094652201</v>
      </c>
      <c r="V102" s="28">
        <v>2.3368193292463002</v>
      </c>
      <c r="W102" s="28">
        <v>1.19312758510976</v>
      </c>
      <c r="X102" s="28">
        <v>2.0924403327561301</v>
      </c>
      <c r="Y102" s="28">
        <v>1.6843822731962399</v>
      </c>
      <c r="Z102" s="28">
        <v>2.0479302832244</v>
      </c>
      <c r="AA102" s="28">
        <v>2.1935614908093801</v>
      </c>
      <c r="AB102" s="28">
        <v>0.70323065364387605</v>
      </c>
      <c r="AC102" s="28">
        <v>2.1268643219715599</v>
      </c>
      <c r="AD102" s="28">
        <v>2.4481620238139299</v>
      </c>
      <c r="AE102" s="28">
        <v>1.9628426403236801</v>
      </c>
      <c r="AF102" s="28">
        <v>0.6182608131331</v>
      </c>
    </row>
    <row r="103" spans="1:32" x14ac:dyDescent="0.25">
      <c r="B103" s="28" t="s">
        <v>567</v>
      </c>
      <c r="C103" s="28">
        <v>3.6873225010475301</v>
      </c>
      <c r="D103" s="28">
        <v>3.1717306410134301</v>
      </c>
      <c r="E103" s="28">
        <v>2.30058199246833</v>
      </c>
      <c r="F103" s="28">
        <v>2.2248163153196399</v>
      </c>
      <c r="G103" s="28">
        <v>2.5248392752776101</v>
      </c>
      <c r="H103" s="28">
        <v>0.60302950537222699</v>
      </c>
      <c r="I103" s="28">
        <v>3.8672613904392699</v>
      </c>
      <c r="J103" s="28">
        <v>1.8907149265816099</v>
      </c>
      <c r="K103" s="28">
        <v>3.6526310934833699</v>
      </c>
      <c r="L103" s="28">
        <v>2.65810307122256</v>
      </c>
      <c r="M103" s="28">
        <v>1.0559229163785899</v>
      </c>
      <c r="Q103" s="28">
        <f t="shared" si="4"/>
        <v>0.32203855919175967</v>
      </c>
      <c r="T103" s="28" t="s">
        <v>567</v>
      </c>
      <c r="U103" s="28">
        <v>3.3821077107358399</v>
      </c>
      <c r="V103" s="28">
        <v>3.1306555103767599</v>
      </c>
      <c r="W103" s="28">
        <v>0.33631501506410999</v>
      </c>
      <c r="X103" s="28">
        <v>2.6763458258625898</v>
      </c>
      <c r="Y103" s="28">
        <v>1.7874472454806001</v>
      </c>
      <c r="Z103" s="28">
        <v>2.00718124846673</v>
      </c>
      <c r="AA103" s="28">
        <v>2.9909099794741398</v>
      </c>
      <c r="AB103" s="28">
        <v>0.71371927042030103</v>
      </c>
      <c r="AC103" s="28">
        <v>2.1384275429467499</v>
      </c>
      <c r="AD103" s="28">
        <v>2.8239321115310498</v>
      </c>
      <c r="AE103" s="28">
        <v>2.1987041460358898</v>
      </c>
      <c r="AF103" s="28">
        <v>1.0219120907786501</v>
      </c>
    </row>
    <row r="104" spans="1:32" x14ac:dyDescent="0.25">
      <c r="B104" s="28" t="s">
        <v>568</v>
      </c>
      <c r="C104" s="28">
        <v>1.53784299929641</v>
      </c>
      <c r="D104" s="28">
        <v>1.5906134171187301</v>
      </c>
      <c r="E104" s="28">
        <v>1.39135812012058</v>
      </c>
      <c r="F104" s="28">
        <v>1.3707671218967299</v>
      </c>
      <c r="G104" s="28">
        <v>1.3732421229306</v>
      </c>
      <c r="H104" s="28">
        <v>1.1968416678210201</v>
      </c>
      <c r="I104" s="28">
        <v>2.63104838709677</v>
      </c>
      <c r="J104" s="28">
        <v>0.59176460918878904</v>
      </c>
      <c r="K104" s="28">
        <v>1.6127332138716099</v>
      </c>
      <c r="L104" s="28">
        <v>1.47735685103791</v>
      </c>
      <c r="M104" s="28">
        <v>0.53131628520645502</v>
      </c>
      <c r="Q104" s="28">
        <f t="shared" si="4"/>
        <v>0.30280085723317379</v>
      </c>
      <c r="T104" s="28" t="s">
        <v>568</v>
      </c>
      <c r="U104" s="28">
        <v>2.1357495348272701</v>
      </c>
      <c r="V104" s="28">
        <v>1.50579435573161</v>
      </c>
      <c r="W104" s="28">
        <v>2.3179518626398798</v>
      </c>
      <c r="X104" s="28">
        <v>1.3677440364731701</v>
      </c>
      <c r="Y104" s="28">
        <v>1.5674222051479001</v>
      </c>
      <c r="Z104" s="28">
        <v>2.0962917868769999</v>
      </c>
      <c r="AA104" s="28">
        <v>1.33150163795836</v>
      </c>
      <c r="AB104" s="28">
        <v>0.691376992510082</v>
      </c>
      <c r="AC104" s="28">
        <v>2.1149515323607102</v>
      </c>
      <c r="AD104" s="28">
        <v>2.0408163265306101</v>
      </c>
      <c r="AE104" s="28">
        <v>1.71696002710566</v>
      </c>
      <c r="AF104" s="28">
        <v>0.50914433696269001</v>
      </c>
    </row>
    <row r="105" spans="1:32" x14ac:dyDescent="0.25">
      <c r="B105" s="28" t="s">
        <v>569</v>
      </c>
      <c r="C105" s="28">
        <v>35</v>
      </c>
      <c r="D105" s="28">
        <v>42</v>
      </c>
      <c r="E105" s="28">
        <v>38</v>
      </c>
      <c r="F105" s="28">
        <v>31</v>
      </c>
      <c r="G105" s="28">
        <v>30</v>
      </c>
      <c r="H105" s="28">
        <v>16</v>
      </c>
      <c r="I105" s="28">
        <v>55</v>
      </c>
      <c r="J105" s="28">
        <v>21</v>
      </c>
      <c r="K105" s="28">
        <v>43</v>
      </c>
      <c r="L105" s="28">
        <v>34.5555555555555</v>
      </c>
      <c r="M105" s="28">
        <v>11.822765233978799</v>
      </c>
      <c r="Q105" s="28">
        <f t="shared" si="4"/>
        <v>0.84852537265145855</v>
      </c>
      <c r="T105" s="28" t="s">
        <v>569</v>
      </c>
      <c r="U105" s="28">
        <v>53</v>
      </c>
      <c r="V105" s="28">
        <v>41</v>
      </c>
      <c r="W105" s="28">
        <v>15</v>
      </c>
      <c r="X105" s="28">
        <v>44</v>
      </c>
      <c r="Y105" s="28">
        <v>35</v>
      </c>
      <c r="Z105" s="28">
        <v>37</v>
      </c>
      <c r="AA105" s="28">
        <v>36</v>
      </c>
      <c r="AB105" s="28">
        <v>9</v>
      </c>
      <c r="AC105" s="28">
        <v>28</v>
      </c>
      <c r="AD105" s="28">
        <v>37</v>
      </c>
      <c r="AE105" s="28">
        <v>33.5</v>
      </c>
      <c r="AF105" s="28">
        <v>13.1339255365636</v>
      </c>
    </row>
    <row r="106" spans="1:32" x14ac:dyDescent="0.25">
      <c r="B106" s="28" t="s">
        <v>570</v>
      </c>
      <c r="C106" s="28">
        <v>26</v>
      </c>
      <c r="D106" s="28">
        <v>29</v>
      </c>
      <c r="E106" s="28">
        <v>25</v>
      </c>
      <c r="F106" s="28">
        <v>20</v>
      </c>
      <c r="G106" s="28">
        <v>21</v>
      </c>
      <c r="H106" s="28">
        <v>7</v>
      </c>
      <c r="I106" s="28">
        <v>36</v>
      </c>
      <c r="J106" s="28">
        <v>17</v>
      </c>
      <c r="K106" s="28">
        <v>33</v>
      </c>
      <c r="L106" s="28">
        <v>23.7777777777777</v>
      </c>
      <c r="M106" s="28">
        <v>8.7860369020648008</v>
      </c>
      <c r="Q106" s="28">
        <f t="shared" si="4"/>
        <v>0.44591126841296835</v>
      </c>
      <c r="T106" s="28" t="s">
        <v>570</v>
      </c>
      <c r="U106" s="28">
        <v>35</v>
      </c>
      <c r="V106" s="28">
        <v>25</v>
      </c>
      <c r="W106" s="28">
        <v>4</v>
      </c>
      <c r="X106" s="28">
        <v>33</v>
      </c>
      <c r="Y106" s="28">
        <v>21</v>
      </c>
      <c r="Z106" s="28">
        <v>21</v>
      </c>
      <c r="AA106" s="28">
        <v>26</v>
      </c>
      <c r="AB106" s="28">
        <v>6</v>
      </c>
      <c r="AC106" s="28">
        <v>12</v>
      </c>
      <c r="AD106" s="28">
        <v>22</v>
      </c>
      <c r="AE106" s="28">
        <v>20.5</v>
      </c>
      <c r="AF106" s="28">
        <v>10.405660852525299</v>
      </c>
    </row>
    <row r="107" spans="1:32" x14ac:dyDescent="0.25">
      <c r="B107" s="28" t="s">
        <v>571</v>
      </c>
      <c r="C107" s="28">
        <v>9</v>
      </c>
      <c r="D107" s="28">
        <v>13</v>
      </c>
      <c r="E107" s="28">
        <v>13</v>
      </c>
      <c r="F107" s="28">
        <v>11</v>
      </c>
      <c r="G107" s="28">
        <v>9</v>
      </c>
      <c r="H107" s="28">
        <v>9</v>
      </c>
      <c r="I107" s="28">
        <v>19</v>
      </c>
      <c r="J107" s="28">
        <v>4</v>
      </c>
      <c r="K107" s="28">
        <v>10</v>
      </c>
      <c r="L107" s="28">
        <v>10.7777777777777</v>
      </c>
      <c r="M107" s="28">
        <v>4.0858835573770804</v>
      </c>
      <c r="Q107" s="28">
        <f t="shared" si="4"/>
        <v>0.17102685912490692</v>
      </c>
      <c r="T107" s="28" t="s">
        <v>571</v>
      </c>
      <c r="U107" s="28">
        <v>19</v>
      </c>
      <c r="V107" s="28">
        <v>16</v>
      </c>
      <c r="W107" s="28">
        <v>12</v>
      </c>
      <c r="X107" s="28">
        <v>11</v>
      </c>
      <c r="Y107" s="28">
        <v>15</v>
      </c>
      <c r="Z107" s="28">
        <v>17</v>
      </c>
      <c r="AA107" s="28">
        <v>10</v>
      </c>
      <c r="AB107" s="28">
        <v>3</v>
      </c>
      <c r="AC107" s="28">
        <v>16</v>
      </c>
      <c r="AD107" s="28">
        <v>16</v>
      </c>
      <c r="AE107" s="28">
        <v>13.5</v>
      </c>
      <c r="AF107" s="28">
        <v>4.6487752269937799</v>
      </c>
    </row>
    <row r="108" spans="1:32" x14ac:dyDescent="0.25">
      <c r="B108" s="28" t="s">
        <v>572</v>
      </c>
      <c r="C108" s="28">
        <v>1.71428571428571</v>
      </c>
      <c r="D108" s="28">
        <v>1.28571428571428</v>
      </c>
      <c r="E108" s="28">
        <v>1.1052631578947301</v>
      </c>
      <c r="F108" s="28">
        <v>1.32258064516129</v>
      </c>
      <c r="G108" s="28">
        <v>1.4666666666666599</v>
      </c>
      <c r="H108" s="28">
        <v>1.125</v>
      </c>
      <c r="I108" s="28">
        <v>1.3454545454545399</v>
      </c>
      <c r="J108" s="28">
        <v>1.38095238095238</v>
      </c>
      <c r="K108" s="28">
        <v>1.3953488372092999</v>
      </c>
      <c r="L108" s="28">
        <v>1.3490295814821001</v>
      </c>
      <c r="M108" s="28">
        <v>0.181916031927988</v>
      </c>
      <c r="Q108" s="28">
        <f t="shared" si="4"/>
        <v>0.78703824164560088</v>
      </c>
      <c r="T108" s="28" t="s">
        <v>572</v>
      </c>
      <c r="U108" s="28">
        <v>1.15094339622641</v>
      </c>
      <c r="V108" s="28">
        <v>1.2926829268292599</v>
      </c>
      <c r="W108" s="28">
        <v>1.6</v>
      </c>
      <c r="X108" s="28">
        <v>1.0681818181818099</v>
      </c>
      <c r="Y108" s="28">
        <v>1.0857142857142801</v>
      </c>
      <c r="Z108" s="28">
        <v>1.2432432432432401</v>
      </c>
      <c r="AA108" s="28">
        <v>1.30555555555555</v>
      </c>
      <c r="AB108" s="28">
        <v>1.3333333333333299</v>
      </c>
      <c r="AC108" s="28">
        <v>1.71428571428571</v>
      </c>
      <c r="AD108" s="28">
        <v>1.4594594594594501</v>
      </c>
      <c r="AE108" s="28">
        <v>1.3253399732829001</v>
      </c>
      <c r="AF108" s="28">
        <v>0.21263729734912301</v>
      </c>
    </row>
    <row r="109" spans="1:32" x14ac:dyDescent="0.25">
      <c r="B109" s="28" t="s">
        <v>573</v>
      </c>
      <c r="C109" s="28">
        <v>1.6923076923076901</v>
      </c>
      <c r="D109" s="28">
        <v>1.27586206896551</v>
      </c>
      <c r="E109" s="28">
        <v>1.1200000000000001</v>
      </c>
      <c r="F109" s="28">
        <v>1.35</v>
      </c>
      <c r="G109" s="28">
        <v>1.4285714285714199</v>
      </c>
      <c r="H109" s="28">
        <v>1</v>
      </c>
      <c r="I109" s="28">
        <v>1.2777777777777699</v>
      </c>
      <c r="J109" s="28">
        <v>1.4117647058823499</v>
      </c>
      <c r="K109" s="28">
        <v>1.3333333333333299</v>
      </c>
      <c r="L109" s="28">
        <v>1.3210685563153399</v>
      </c>
      <c r="M109" s="28">
        <v>0.195582434209008</v>
      </c>
      <c r="Q109" s="28">
        <f t="shared" si="4"/>
        <v>0.88931176220207542</v>
      </c>
      <c r="T109" s="28" t="s">
        <v>573</v>
      </c>
      <c r="U109" s="28">
        <v>1.1428571428571399</v>
      </c>
      <c r="V109" s="28">
        <v>1.48</v>
      </c>
      <c r="W109" s="28">
        <v>1</v>
      </c>
      <c r="X109" s="28">
        <v>1.0303030303030301</v>
      </c>
      <c r="Y109" s="28">
        <v>1.0476190476190399</v>
      </c>
      <c r="Z109" s="28">
        <v>1.2380952380952299</v>
      </c>
      <c r="AA109" s="28">
        <v>1.3076923076922999</v>
      </c>
      <c r="AB109" s="28">
        <v>1.1666666666666601</v>
      </c>
      <c r="AC109" s="28">
        <v>2.0833333333333299</v>
      </c>
      <c r="AD109" s="28">
        <v>1.5454545454545401</v>
      </c>
      <c r="AE109" s="28">
        <v>1.3042021312021299</v>
      </c>
      <c r="AF109" s="28">
        <v>0.32979422759424598</v>
      </c>
    </row>
    <row r="110" spans="1:32" x14ac:dyDescent="0.25">
      <c r="B110" s="28" t="s">
        <v>574</v>
      </c>
      <c r="C110" s="28">
        <v>1.7777777777777699</v>
      </c>
      <c r="D110" s="28">
        <v>1.3076923076922999</v>
      </c>
      <c r="E110" s="28">
        <v>1.07692307692307</v>
      </c>
      <c r="F110" s="28">
        <v>1.27272727272727</v>
      </c>
      <c r="G110" s="28">
        <v>1.55555555555555</v>
      </c>
      <c r="H110" s="28">
        <v>1.2222222222222201</v>
      </c>
      <c r="I110" s="28">
        <v>1.4736842105263099</v>
      </c>
      <c r="J110" s="28">
        <v>1.25</v>
      </c>
      <c r="K110" s="28">
        <v>1.6</v>
      </c>
      <c r="L110" s="28">
        <v>1.3929536026027201</v>
      </c>
      <c r="M110" s="28">
        <v>0.22223264030750001</v>
      </c>
      <c r="Q110" s="28">
        <f t="shared" si="4"/>
        <v>0.461310094451579</v>
      </c>
      <c r="T110" s="28" t="s">
        <v>574</v>
      </c>
      <c r="U110" s="28">
        <v>1.1578947368421</v>
      </c>
      <c r="V110" s="28">
        <v>1</v>
      </c>
      <c r="W110" s="28">
        <v>1.75</v>
      </c>
      <c r="X110" s="28">
        <v>1.1818181818181801</v>
      </c>
      <c r="Y110" s="28">
        <v>1.13333333333333</v>
      </c>
      <c r="Z110" s="28">
        <v>1.23529411764705</v>
      </c>
      <c r="AA110" s="28">
        <v>1.3</v>
      </c>
      <c r="AB110" s="28">
        <v>1.6666666666666601</v>
      </c>
      <c r="AC110" s="28">
        <v>1.4375</v>
      </c>
      <c r="AD110" s="28">
        <v>1.3125</v>
      </c>
      <c r="AE110" s="28">
        <v>1.31750070363073</v>
      </c>
      <c r="AF110" s="28">
        <v>0.237830395946243</v>
      </c>
    </row>
    <row r="111" spans="1:32" x14ac:dyDescent="0.25">
      <c r="B111" s="28" t="s">
        <v>575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0</v>
      </c>
      <c r="Q111" s="28" t="e">
        <f t="shared" si="4"/>
        <v>#DIV/0!</v>
      </c>
      <c r="T111" s="28" t="s">
        <v>575</v>
      </c>
      <c r="U111" s="28">
        <v>100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100</v>
      </c>
      <c r="AF111" s="28">
        <v>0</v>
      </c>
    </row>
    <row r="112" spans="1:32" x14ac:dyDescent="0.25">
      <c r="B112" s="28" t="s">
        <v>576</v>
      </c>
      <c r="C112" s="28">
        <v>100</v>
      </c>
      <c r="D112" s="28">
        <v>100</v>
      </c>
      <c r="E112" s="28">
        <v>100</v>
      </c>
      <c r="F112" s="28">
        <v>100</v>
      </c>
      <c r="G112" s="28">
        <v>100</v>
      </c>
      <c r="H112" s="28">
        <v>100</v>
      </c>
      <c r="I112" s="28">
        <v>100</v>
      </c>
      <c r="J112" s="28">
        <v>100</v>
      </c>
      <c r="K112" s="28">
        <v>100</v>
      </c>
      <c r="L112" s="28">
        <v>100</v>
      </c>
      <c r="M112" s="28">
        <v>0</v>
      </c>
      <c r="Q112" s="28" t="e">
        <f t="shared" si="4"/>
        <v>#DIV/0!</v>
      </c>
      <c r="T112" s="28" t="s">
        <v>576</v>
      </c>
      <c r="U112" s="28">
        <v>100</v>
      </c>
      <c r="V112" s="28">
        <v>100</v>
      </c>
      <c r="W112" s="28">
        <v>100</v>
      </c>
      <c r="X112" s="28">
        <v>100</v>
      </c>
      <c r="Y112" s="28">
        <v>100</v>
      </c>
      <c r="Z112" s="28">
        <v>100</v>
      </c>
      <c r="AA112" s="28">
        <v>100</v>
      </c>
      <c r="AB112" s="28">
        <v>100</v>
      </c>
      <c r="AC112" s="28">
        <v>100</v>
      </c>
      <c r="AD112" s="28">
        <v>100</v>
      </c>
      <c r="AE112" s="28">
        <v>100</v>
      </c>
      <c r="AF112" s="28">
        <v>0</v>
      </c>
    </row>
    <row r="113" spans="2:32" x14ac:dyDescent="0.25">
      <c r="B113" s="28" t="s">
        <v>577</v>
      </c>
      <c r="C113" s="28">
        <v>100</v>
      </c>
      <c r="D113" s="28">
        <v>100</v>
      </c>
      <c r="E113" s="28">
        <v>100</v>
      </c>
      <c r="F113" s="28">
        <v>100</v>
      </c>
      <c r="G113" s="28">
        <v>100</v>
      </c>
      <c r="H113" s="28">
        <v>100</v>
      </c>
      <c r="I113" s="28">
        <v>100</v>
      </c>
      <c r="J113" s="28">
        <v>100</v>
      </c>
      <c r="K113" s="28">
        <v>100</v>
      </c>
      <c r="L113" s="28">
        <v>100</v>
      </c>
      <c r="M113" s="28">
        <v>0</v>
      </c>
      <c r="Q113" s="28" t="e">
        <f t="shared" si="4"/>
        <v>#DIV/0!</v>
      </c>
      <c r="T113" s="28" t="s">
        <v>577</v>
      </c>
      <c r="U113" s="28">
        <v>100</v>
      </c>
      <c r="V113" s="28">
        <v>100</v>
      </c>
      <c r="W113" s="28">
        <v>100</v>
      </c>
      <c r="X113" s="28">
        <v>100</v>
      </c>
      <c r="Y113" s="28">
        <v>100</v>
      </c>
      <c r="Z113" s="28">
        <v>100</v>
      </c>
      <c r="AA113" s="28">
        <v>100</v>
      </c>
      <c r="AB113" s="28">
        <v>100</v>
      </c>
      <c r="AC113" s="28">
        <v>100</v>
      </c>
      <c r="AD113" s="28">
        <v>100</v>
      </c>
      <c r="AE113" s="28">
        <v>100</v>
      </c>
      <c r="AF113" s="28">
        <v>0</v>
      </c>
    </row>
    <row r="114" spans="2:32" x14ac:dyDescent="0.25">
      <c r="B114" s="28" t="s">
        <v>578</v>
      </c>
      <c r="C114" s="28">
        <v>136</v>
      </c>
      <c r="D114" s="28">
        <v>94</v>
      </c>
      <c r="E114" s="28">
        <v>87</v>
      </c>
      <c r="F114" s="28">
        <v>139</v>
      </c>
      <c r="G114" s="28">
        <v>70</v>
      </c>
      <c r="H114" s="28">
        <v>114</v>
      </c>
      <c r="I114" s="28">
        <v>140</v>
      </c>
      <c r="J114" s="28">
        <v>78</v>
      </c>
      <c r="K114" s="28">
        <v>99</v>
      </c>
      <c r="L114" s="28">
        <v>106.333333333333</v>
      </c>
      <c r="M114" s="28">
        <v>27.0231382337433</v>
      </c>
      <c r="Q114" s="28">
        <f t="shared" si="4"/>
        <v>0.25860938788151011</v>
      </c>
      <c r="T114" s="28" t="s">
        <v>578</v>
      </c>
      <c r="U114" s="28">
        <v>146</v>
      </c>
      <c r="V114" s="28">
        <v>163</v>
      </c>
      <c r="W114" s="28">
        <v>80</v>
      </c>
      <c r="X114" s="28">
        <v>132</v>
      </c>
      <c r="Y114" s="28">
        <v>112</v>
      </c>
      <c r="Z114" s="28">
        <v>127</v>
      </c>
      <c r="AA114" s="28">
        <v>134</v>
      </c>
      <c r="AB114" s="28">
        <v>87</v>
      </c>
      <c r="AC114" s="28">
        <v>81</v>
      </c>
      <c r="AD114" s="28">
        <v>145</v>
      </c>
      <c r="AE114" s="28">
        <v>120.7</v>
      </c>
      <c r="AF114" s="28">
        <v>29.454484661366301</v>
      </c>
    </row>
    <row r="115" spans="2:32" x14ac:dyDescent="0.25">
      <c r="B115" s="28" t="s">
        <v>579</v>
      </c>
      <c r="C115" s="28">
        <v>82</v>
      </c>
      <c r="D115" s="28">
        <v>48</v>
      </c>
      <c r="E115" s="28">
        <v>45</v>
      </c>
      <c r="F115" s="28">
        <v>55</v>
      </c>
      <c r="G115" s="28">
        <v>48</v>
      </c>
      <c r="H115" s="28">
        <v>34</v>
      </c>
      <c r="I115" s="28">
        <v>70</v>
      </c>
      <c r="J115" s="28">
        <v>33</v>
      </c>
      <c r="K115" s="28">
        <v>56</v>
      </c>
      <c r="L115" s="28">
        <v>52.3333333333333</v>
      </c>
      <c r="M115" s="28">
        <v>15.8666316526224</v>
      </c>
      <c r="Q115" s="28">
        <f t="shared" si="4"/>
        <v>0.71578419692913642</v>
      </c>
      <c r="T115" s="28" t="s">
        <v>579</v>
      </c>
      <c r="U115" s="28">
        <v>76</v>
      </c>
      <c r="V115" s="28">
        <v>82</v>
      </c>
      <c r="W115" s="28">
        <v>22</v>
      </c>
      <c r="X115" s="28">
        <v>62</v>
      </c>
      <c r="Y115" s="28">
        <v>68</v>
      </c>
      <c r="Z115" s="28">
        <v>47</v>
      </c>
      <c r="AA115" s="28">
        <v>70</v>
      </c>
      <c r="AB115" s="28">
        <v>22</v>
      </c>
      <c r="AC115" s="28">
        <v>34</v>
      </c>
      <c r="AD115" s="28">
        <v>72</v>
      </c>
      <c r="AE115" s="28">
        <v>55.5</v>
      </c>
      <c r="AF115" s="28">
        <v>22.564721728101699</v>
      </c>
    </row>
    <row r="116" spans="2:32" x14ac:dyDescent="0.25">
      <c r="B116" s="28" t="s">
        <v>580</v>
      </c>
      <c r="C116" s="28">
        <v>53</v>
      </c>
      <c r="D116" s="28">
        <v>45</v>
      </c>
      <c r="E116" s="28">
        <v>41</v>
      </c>
      <c r="F116" s="28">
        <v>83</v>
      </c>
      <c r="G116" s="28">
        <v>21</v>
      </c>
      <c r="H116" s="28">
        <v>79</v>
      </c>
      <c r="I116" s="28">
        <v>69</v>
      </c>
      <c r="J116" s="28">
        <v>44</v>
      </c>
      <c r="K116" s="28">
        <v>42</v>
      </c>
      <c r="L116" s="28">
        <v>53</v>
      </c>
      <c r="M116" s="28">
        <v>20.2051973511767</v>
      </c>
      <c r="Q116" s="28">
        <f t="shared" si="4"/>
        <v>0.13761632184739775</v>
      </c>
      <c r="T116" s="28" t="s">
        <v>580</v>
      </c>
      <c r="U116" s="28">
        <v>69</v>
      </c>
      <c r="V116" s="28">
        <v>80</v>
      </c>
      <c r="W116" s="28">
        <v>57</v>
      </c>
      <c r="X116" s="28">
        <v>69</v>
      </c>
      <c r="Y116" s="28">
        <v>43</v>
      </c>
      <c r="Z116" s="28">
        <v>79</v>
      </c>
      <c r="AA116" s="28">
        <v>63</v>
      </c>
      <c r="AB116" s="28">
        <v>64</v>
      </c>
      <c r="AC116" s="28">
        <v>46</v>
      </c>
      <c r="AD116" s="28">
        <v>72</v>
      </c>
      <c r="AE116" s="28">
        <v>64.2</v>
      </c>
      <c r="AF116" s="28">
        <v>12.5148800322744</v>
      </c>
    </row>
    <row r="117" spans="2:32" x14ac:dyDescent="0.25">
      <c r="B117" s="28" t="s">
        <v>581</v>
      </c>
      <c r="C117" s="28">
        <v>5.4411764705882297E-3</v>
      </c>
      <c r="D117" s="28">
        <v>7.34042553191489E-3</v>
      </c>
      <c r="E117" s="28">
        <v>5.9770114942528704E-3</v>
      </c>
      <c r="F117" s="28">
        <v>5.6115107913669001E-3</v>
      </c>
      <c r="G117" s="28">
        <v>7.2857142857142799E-3</v>
      </c>
      <c r="H117" s="28">
        <v>8.5087719298245594E-3</v>
      </c>
      <c r="I117" s="28">
        <v>6.6428571428571396E-3</v>
      </c>
      <c r="J117" s="28">
        <v>6.9230769230769198E-3</v>
      </c>
      <c r="K117" s="28">
        <v>6.86868686868686E-3</v>
      </c>
      <c r="L117" s="28">
        <v>6.7332479375869598E-3</v>
      </c>
      <c r="M117" s="28">
        <v>9.6102515879584302E-4</v>
      </c>
      <c r="Q117" s="28">
        <f t="shared" si="4"/>
        <v>8.5251570996879869E-2</v>
      </c>
      <c r="T117" s="28" t="s">
        <v>581</v>
      </c>
      <c r="U117" s="28">
        <v>5.4109589041095802E-3</v>
      </c>
      <c r="V117" s="28">
        <v>5.3987730061349597E-3</v>
      </c>
      <c r="W117" s="28">
        <v>5.1250000000000002E-3</v>
      </c>
      <c r="X117" s="28">
        <v>6.6666666666666602E-3</v>
      </c>
      <c r="Y117" s="28">
        <v>5.4464285714285699E-3</v>
      </c>
      <c r="Z117" s="28">
        <v>6.6141732283464504E-3</v>
      </c>
      <c r="AA117" s="28">
        <v>4.7761194029850703E-3</v>
      </c>
      <c r="AB117" s="28">
        <v>6.6666666666666602E-3</v>
      </c>
      <c r="AC117" s="28">
        <v>8.0246913580246902E-3</v>
      </c>
      <c r="AD117" s="28">
        <v>5.4482758620689603E-3</v>
      </c>
      <c r="AE117" s="28">
        <v>5.9577753666431596E-3</v>
      </c>
      <c r="AF117" s="28">
        <v>9.9612785989889609E-4</v>
      </c>
    </row>
    <row r="118" spans="2:32" x14ac:dyDescent="0.25">
      <c r="B118" s="28" t="s">
        <v>582</v>
      </c>
      <c r="C118" s="28">
        <v>58.536585365853597</v>
      </c>
      <c r="D118" s="28">
        <v>81.25</v>
      </c>
      <c r="E118" s="28">
        <v>71.1111111111111</v>
      </c>
      <c r="F118" s="28">
        <v>67.272727272727195</v>
      </c>
      <c r="G118" s="28">
        <v>77.0833333333333</v>
      </c>
      <c r="H118" s="28">
        <v>88.235294117647001</v>
      </c>
      <c r="I118" s="28">
        <v>67.142857142857096</v>
      </c>
      <c r="J118" s="28">
        <v>75.757575757575694</v>
      </c>
      <c r="K118" s="28">
        <v>82.142857142857096</v>
      </c>
      <c r="L118" s="28">
        <v>74.281371249329098</v>
      </c>
      <c r="M118" s="28">
        <v>9.1728893192362406</v>
      </c>
      <c r="Q118" s="28">
        <f t="shared" si="4"/>
        <v>4.6647194579107739E-3</v>
      </c>
      <c r="T118" s="28" t="s">
        <v>582</v>
      </c>
      <c r="U118" s="28">
        <v>53.947368421052602</v>
      </c>
      <c r="V118" s="28">
        <v>59.756097560975597</v>
      </c>
      <c r="W118" s="28">
        <v>45.454545454545404</v>
      </c>
      <c r="X118" s="28">
        <v>75.806451612903203</v>
      </c>
      <c r="Y118" s="28">
        <v>51.470588235294102</v>
      </c>
      <c r="Z118" s="28">
        <v>63.829787234042499</v>
      </c>
      <c r="AA118" s="28">
        <v>52.857142857142797</v>
      </c>
      <c r="AB118" s="28">
        <v>63.636363636363598</v>
      </c>
      <c r="AC118" s="28">
        <v>79.411764705882305</v>
      </c>
      <c r="AD118" s="28">
        <v>55.5555555555555</v>
      </c>
      <c r="AE118" s="28">
        <v>60.1725665273757</v>
      </c>
      <c r="AF118" s="28">
        <v>10.780855383898601</v>
      </c>
    </row>
    <row r="119" spans="2:32" x14ac:dyDescent="0.25">
      <c r="B119" s="28" t="s">
        <v>583</v>
      </c>
      <c r="C119" s="28">
        <v>52.830188679245197</v>
      </c>
      <c r="D119" s="28">
        <v>71.1111111111111</v>
      </c>
      <c r="E119" s="28">
        <v>53.658536585365802</v>
      </c>
      <c r="F119" s="28">
        <v>51.807228915662598</v>
      </c>
      <c r="G119" s="28">
        <v>76.190476190476105</v>
      </c>
      <c r="H119" s="28">
        <v>87.341772151898695</v>
      </c>
      <c r="I119" s="28">
        <v>68.115942028985501</v>
      </c>
      <c r="J119" s="28">
        <v>68.181818181818102</v>
      </c>
      <c r="K119" s="28">
        <v>54.761904761904702</v>
      </c>
      <c r="L119" s="28">
        <v>64.8887754007187</v>
      </c>
      <c r="M119" s="28">
        <v>12.4350806475691</v>
      </c>
      <c r="Q119" s="28">
        <f t="shared" si="4"/>
        <v>0.47970306940712315</v>
      </c>
      <c r="T119" s="28" t="s">
        <v>583</v>
      </c>
      <c r="U119" s="28">
        <v>56.521739130434703</v>
      </c>
      <c r="V119" s="28">
        <v>51.249999999999901</v>
      </c>
      <c r="W119" s="28">
        <v>54.385964912280699</v>
      </c>
      <c r="X119" s="28">
        <v>62.318840579710098</v>
      </c>
      <c r="Y119" s="28">
        <v>60.465116279069697</v>
      </c>
      <c r="Z119" s="28">
        <v>69.6202531645569</v>
      </c>
      <c r="AA119" s="28">
        <v>44.4444444444444</v>
      </c>
      <c r="AB119" s="28">
        <v>70.3125</v>
      </c>
      <c r="AC119" s="28">
        <v>86.956521739130395</v>
      </c>
      <c r="AD119" s="28">
        <v>54.1666666666666</v>
      </c>
      <c r="AE119" s="28">
        <v>61.044204691629297</v>
      </c>
      <c r="AF119" s="28">
        <v>12.0941766838516</v>
      </c>
    </row>
    <row r="120" spans="2:32" x14ac:dyDescent="0.25">
      <c r="B120" s="28" t="s">
        <v>584</v>
      </c>
      <c r="C120" s="28">
        <v>22.987222222222201</v>
      </c>
      <c r="D120" s="28">
        <v>22.981944444444402</v>
      </c>
      <c r="E120" s="28">
        <v>22.9516666666666</v>
      </c>
      <c r="F120" s="28">
        <v>23.078611111111101</v>
      </c>
      <c r="G120" s="28">
        <v>22.805</v>
      </c>
      <c r="H120" s="28">
        <v>21.634444444444402</v>
      </c>
      <c r="I120" s="28">
        <v>22.9169444444444</v>
      </c>
      <c r="J120" s="28">
        <v>22.8327777777777</v>
      </c>
      <c r="K120" s="28">
        <v>22.587222222222199</v>
      </c>
      <c r="L120" s="28">
        <v>22.752870370370299</v>
      </c>
      <c r="M120" s="28">
        <v>0.44262873467417202</v>
      </c>
      <c r="Q120" s="28">
        <f t="shared" si="4"/>
        <v>0.19569755173569509</v>
      </c>
      <c r="T120" s="28" t="s">
        <v>584</v>
      </c>
      <c r="U120" s="28">
        <v>22.127777777777698</v>
      </c>
      <c r="V120" s="28">
        <v>23.108333333333299</v>
      </c>
      <c r="W120" s="28">
        <v>20.953333333333301</v>
      </c>
      <c r="X120" s="28">
        <v>22.939722222222201</v>
      </c>
      <c r="Y120" s="28">
        <v>23.153888888888801</v>
      </c>
      <c r="Z120" s="28">
        <v>22.95</v>
      </c>
      <c r="AA120" s="28">
        <v>21.8822222222222</v>
      </c>
      <c r="AB120" s="28">
        <v>18.4861111111111</v>
      </c>
      <c r="AC120" s="28">
        <v>23.038611111111098</v>
      </c>
      <c r="AD120" s="28">
        <v>22.4658333333333</v>
      </c>
      <c r="AE120" s="28">
        <v>22.110583333333299</v>
      </c>
      <c r="AF120" s="28">
        <v>1.45266009632421</v>
      </c>
    </row>
    <row r="121" spans="2:32" x14ac:dyDescent="0.25">
      <c r="B121" s="28" t="s">
        <v>585</v>
      </c>
      <c r="C121" s="28">
        <v>-3.00000000000002E-2</v>
      </c>
      <c r="D121" s="28">
        <v>-5.9999999999999602E-2</v>
      </c>
      <c r="E121" s="28">
        <v>-4.9999999999999302E-2</v>
      </c>
      <c r="F121" s="28">
        <v>-4.9999999999999802E-2</v>
      </c>
      <c r="G121" s="28">
        <v>-5.0000000000000197E-2</v>
      </c>
      <c r="H121" s="28">
        <v>-5.0000000000000697E-2</v>
      </c>
      <c r="I121" s="28">
        <v>-3.00000000000002E-2</v>
      </c>
      <c r="J121" s="28">
        <v>-0.04</v>
      </c>
      <c r="K121" s="28">
        <v>-0.04</v>
      </c>
      <c r="L121" s="28">
        <v>-4.4444444444444398E-2</v>
      </c>
      <c r="M121" s="28">
        <v>1.0137937550496801E-2</v>
      </c>
      <c r="Q121" s="28">
        <f t="shared" si="4"/>
        <v>0.70407744042626441</v>
      </c>
      <c r="T121" s="28" t="s">
        <v>585</v>
      </c>
      <c r="U121" s="28">
        <v>-4.9999999999999302E-2</v>
      </c>
      <c r="V121" s="28">
        <v>-0.04</v>
      </c>
      <c r="W121" s="28">
        <v>-4.9999999999999802E-2</v>
      </c>
      <c r="X121" s="28">
        <v>-0.04</v>
      </c>
      <c r="Y121" s="28">
        <v>-0.04</v>
      </c>
      <c r="Z121" s="28">
        <v>-4.9999999999999802E-2</v>
      </c>
      <c r="AA121" s="28">
        <v>-0.06</v>
      </c>
      <c r="AB121" s="28">
        <v>-2.9999999999999801E-2</v>
      </c>
      <c r="AC121" s="28">
        <v>-5.0000000000000197E-2</v>
      </c>
      <c r="AD121" s="28">
        <v>-4.9999999999999802E-2</v>
      </c>
      <c r="AE121" s="28">
        <v>-4.5999999999999902E-2</v>
      </c>
      <c r="AF121" s="28">
        <v>8.4327404271156703E-3</v>
      </c>
    </row>
    <row r="122" spans="2:32" x14ac:dyDescent="0.25">
      <c r="B122" s="28" t="s">
        <v>586</v>
      </c>
      <c r="C122" s="28">
        <v>-1.30507286656839E-3</v>
      </c>
      <c r="D122" s="28">
        <v>-2.6107451501782598E-3</v>
      </c>
      <c r="E122" s="28">
        <v>-2.17849103187855E-3</v>
      </c>
      <c r="F122" s="28">
        <v>-2.1665081906045601E-3</v>
      </c>
      <c r="G122" s="28">
        <v>-2.1925016443762402E-3</v>
      </c>
      <c r="H122" s="28">
        <v>-2.31112937188642E-3</v>
      </c>
      <c r="I122" s="28">
        <v>-1.30907504151465E-3</v>
      </c>
      <c r="J122" s="28">
        <v>-1.75186744203022E-3</v>
      </c>
      <c r="K122" s="28">
        <v>-1.7709127579506601E-3</v>
      </c>
      <c r="L122" s="28">
        <v>-1.9551448329986599E-3</v>
      </c>
      <c r="M122" s="28">
        <v>4.5037427621023201E-4</v>
      </c>
      <c r="Q122" s="28">
        <f t="shared" si="4"/>
        <v>0.4919809658674793</v>
      </c>
      <c r="T122" s="28" t="s">
        <v>586</v>
      </c>
      <c r="U122" s="28">
        <v>-2.25960331408483E-3</v>
      </c>
      <c r="V122" s="28">
        <v>-1.73097728092318E-3</v>
      </c>
      <c r="W122" s="28">
        <v>-2.3862551702195198E-3</v>
      </c>
      <c r="X122" s="28">
        <v>-1.7437002772967801E-3</v>
      </c>
      <c r="Y122" s="28">
        <v>-1.7275715622525601E-3</v>
      </c>
      <c r="Z122" s="28">
        <v>-2.1786492374727502E-3</v>
      </c>
      <c r="AA122" s="28">
        <v>-2.7419518635117299E-3</v>
      </c>
      <c r="AB122" s="28">
        <v>-1.62283996994739E-3</v>
      </c>
      <c r="AC122" s="28">
        <v>-2.1702697162975298E-3</v>
      </c>
      <c r="AD122" s="28">
        <v>-2.2256018398308401E-3</v>
      </c>
      <c r="AE122" s="28">
        <v>-2.0787420231837099E-3</v>
      </c>
      <c r="AF122" s="28">
        <v>3.6077226927426801E-4</v>
      </c>
    </row>
    <row r="123" spans="2:32" x14ac:dyDescent="0.25">
      <c r="B123" s="28" t="s">
        <v>587</v>
      </c>
      <c r="C123" s="28">
        <v>1.2459016393442599</v>
      </c>
      <c r="D123" s="28">
        <v>1.2909090909090899</v>
      </c>
      <c r="E123" s="28">
        <v>1.48837209302325</v>
      </c>
      <c r="F123" s="28">
        <v>1.4523809523809501</v>
      </c>
      <c r="G123" s="28">
        <v>1.3555555555555501</v>
      </c>
      <c r="H123" s="28">
        <v>1.42105263157894</v>
      </c>
      <c r="I123" s="28">
        <v>1.45333333333333</v>
      </c>
      <c r="J123" s="28">
        <v>1.36666666666666</v>
      </c>
      <c r="K123" s="28">
        <v>1.44262295081967</v>
      </c>
      <c r="L123" s="28">
        <v>1.3907549904012999</v>
      </c>
      <c r="M123" s="28">
        <v>8.1870388273858993E-2</v>
      </c>
      <c r="Q123" s="28">
        <f t="shared" si="4"/>
        <v>0.17518089671470471</v>
      </c>
      <c r="T123" s="28" t="s">
        <v>587</v>
      </c>
      <c r="U123" s="28">
        <v>1.2903225806451599</v>
      </c>
      <c r="V123" s="28">
        <v>1.44444444444444</v>
      </c>
      <c r="W123" s="28">
        <v>1.44</v>
      </c>
      <c r="X123" s="28">
        <v>1.4375</v>
      </c>
      <c r="Y123" s="28">
        <v>1.4871794871794799</v>
      </c>
      <c r="Z123" s="28">
        <v>1.3829787234042501</v>
      </c>
      <c r="AA123" s="28">
        <v>1.4583333333333299</v>
      </c>
      <c r="AB123" s="28">
        <v>2.07692307692307</v>
      </c>
      <c r="AC123" s="28">
        <v>1.30612244897959</v>
      </c>
      <c r="AD123" s="28">
        <v>1.6545454545454501</v>
      </c>
      <c r="AE123" s="28">
        <v>1.4978349549454799</v>
      </c>
      <c r="AF123" s="28">
        <v>0.22716071417303299</v>
      </c>
    </row>
    <row r="124" spans="2:32" x14ac:dyDescent="0.25">
      <c r="B124" s="28" t="s">
        <v>588</v>
      </c>
      <c r="C124" s="28">
        <v>1</v>
      </c>
      <c r="D124" s="28">
        <v>1</v>
      </c>
      <c r="E124" s="28">
        <v>1</v>
      </c>
      <c r="F124" s="28">
        <v>1</v>
      </c>
      <c r="G124" s="28">
        <v>1</v>
      </c>
      <c r="H124" s="28">
        <v>1</v>
      </c>
      <c r="I124" s="28">
        <v>1</v>
      </c>
      <c r="J124" s="28">
        <v>1</v>
      </c>
      <c r="K124" s="28">
        <v>1</v>
      </c>
      <c r="L124" s="28">
        <v>1</v>
      </c>
      <c r="M124" s="28">
        <v>0</v>
      </c>
      <c r="Q124" s="28">
        <f t="shared" si="4"/>
        <v>0.15095045218426734</v>
      </c>
      <c r="T124" s="28" t="s">
        <v>588</v>
      </c>
      <c r="U124" s="28">
        <v>1</v>
      </c>
      <c r="V124" s="28">
        <v>1</v>
      </c>
      <c r="W124" s="28">
        <v>1</v>
      </c>
      <c r="X124" s="28">
        <v>1</v>
      </c>
      <c r="Y124" s="28">
        <v>1</v>
      </c>
      <c r="Z124" s="28">
        <v>1</v>
      </c>
      <c r="AA124" s="28">
        <v>1</v>
      </c>
      <c r="AB124" s="28">
        <v>2</v>
      </c>
      <c r="AC124" s="28">
        <v>1</v>
      </c>
      <c r="AD124" s="28">
        <v>2</v>
      </c>
      <c r="AE124" s="28">
        <v>1.2</v>
      </c>
      <c r="AF124" s="28">
        <v>0.42163702135578301</v>
      </c>
    </row>
    <row r="125" spans="2:32" x14ac:dyDescent="0.25">
      <c r="B125" s="28" t="s">
        <v>589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Q125" s="28" t="e">
        <f t="shared" si="4"/>
        <v>#DIV/0!</v>
      </c>
      <c r="T125" s="28" t="s">
        <v>589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6316-6837-4774-A702-06954408A159}">
  <dimension ref="A1:AG124"/>
  <sheetViews>
    <sheetView topLeftCell="S64" workbookViewId="0">
      <selection activeCell="C84" sqref="C84"/>
    </sheetView>
  </sheetViews>
  <sheetFormatPr defaultRowHeight="15" x14ac:dyDescent="0.25"/>
  <cols>
    <col min="1" max="1" width="11.7109375" bestFit="1" customWidth="1"/>
    <col min="2" max="2" width="30.5703125" bestFit="1" customWidth="1"/>
    <col min="3" max="12" width="21.7109375" bestFit="1" customWidth="1"/>
    <col min="13" max="13" width="12.7109375" bestFit="1" customWidth="1"/>
    <col min="14" max="14" width="12" bestFit="1" customWidth="1"/>
    <col min="16" max="18" width="12" bestFit="1" customWidth="1"/>
    <col min="20" max="20" width="11.42578125" bestFit="1" customWidth="1"/>
    <col min="21" max="21" width="30.5703125" bestFit="1" customWidth="1"/>
    <col min="22" max="31" width="21.7109375" bestFit="1" customWidth="1"/>
    <col min="32" max="32" width="12.7109375" bestFit="1" customWidth="1"/>
    <col min="33" max="33" width="12" bestFit="1" customWidth="1"/>
  </cols>
  <sheetData>
    <row r="1" spans="1:33" x14ac:dyDescent="0.25">
      <c r="A1" s="49" t="s">
        <v>600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 t="s">
        <v>129</v>
      </c>
      <c r="Q1" s="28" t="s">
        <v>594</v>
      </c>
      <c r="R1" s="28" t="s">
        <v>13</v>
      </c>
      <c r="S1" s="28"/>
      <c r="T1" s="56" t="s">
        <v>601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x14ac:dyDescent="0.25">
      <c r="A2" s="28"/>
      <c r="B2" s="28" t="s">
        <v>558</v>
      </c>
      <c r="C2" s="28" t="s">
        <v>204</v>
      </c>
      <c r="D2" s="28" t="s">
        <v>146</v>
      </c>
      <c r="E2" s="28" t="s">
        <v>192</v>
      </c>
      <c r="F2" s="28" t="s">
        <v>157</v>
      </c>
      <c r="G2" s="28" t="s">
        <v>215</v>
      </c>
      <c r="H2" s="28" t="s">
        <v>169</v>
      </c>
      <c r="I2" s="28" t="s">
        <v>226</v>
      </c>
      <c r="J2" s="28" t="s">
        <v>181</v>
      </c>
      <c r="K2" s="28" t="s">
        <v>237</v>
      </c>
      <c r="L2" s="28" t="s">
        <v>135</v>
      </c>
      <c r="M2" s="28" t="s">
        <v>559</v>
      </c>
      <c r="N2" s="28" t="s">
        <v>560</v>
      </c>
      <c r="O2" s="28"/>
      <c r="P2" s="28">
        <f>_xlfn.T.TEST(C3:L3,C35:L35,2,2)</f>
        <v>8.5044106206218413E-13</v>
      </c>
      <c r="Q2" s="28">
        <f>_xlfn.T.TEST(C3:L3,V3:AE3,2,2)</f>
        <v>0.29114689177208336</v>
      </c>
      <c r="R2" s="28">
        <f t="shared" ref="R2:R29" si="0">_xlfn.T.TEST(V3:AE3,V35:AE35,2,2)</f>
        <v>1.7358294848411252E-8</v>
      </c>
      <c r="S2" s="28"/>
      <c r="T2" s="28"/>
      <c r="U2" s="28" t="s">
        <v>558</v>
      </c>
      <c r="V2" s="28" t="s">
        <v>23</v>
      </c>
      <c r="W2" s="28" t="s">
        <v>79</v>
      </c>
      <c r="X2" s="28" t="s">
        <v>35</v>
      </c>
      <c r="Y2" s="28" t="s">
        <v>90</v>
      </c>
      <c r="Z2" s="28" t="s">
        <v>46</v>
      </c>
      <c r="AA2" s="28" t="s">
        <v>101</v>
      </c>
      <c r="AB2" s="28" t="s">
        <v>57</v>
      </c>
      <c r="AC2" s="28" t="s">
        <v>112</v>
      </c>
      <c r="AD2" s="28" t="s">
        <v>68</v>
      </c>
      <c r="AE2" s="28" t="s">
        <v>123</v>
      </c>
      <c r="AF2" s="28" t="s">
        <v>559</v>
      </c>
      <c r="AG2" s="28" t="s">
        <v>560</v>
      </c>
    </row>
    <row r="3" spans="1:33" x14ac:dyDescent="0.25">
      <c r="A3" s="28"/>
      <c r="B3" s="28" t="s">
        <v>563</v>
      </c>
      <c r="C3" s="28">
        <v>154</v>
      </c>
      <c r="D3" s="28">
        <v>136</v>
      </c>
      <c r="E3" s="28">
        <v>136</v>
      </c>
      <c r="F3" s="28">
        <v>98</v>
      </c>
      <c r="G3" s="28">
        <v>143</v>
      </c>
      <c r="H3" s="28">
        <v>134</v>
      </c>
      <c r="I3" s="28">
        <v>139</v>
      </c>
      <c r="J3" s="28">
        <v>142</v>
      </c>
      <c r="K3" s="28">
        <v>145</v>
      </c>
      <c r="L3" s="28">
        <v>147</v>
      </c>
      <c r="M3" s="28">
        <v>137.4</v>
      </c>
      <c r="N3" s="28">
        <v>15.0864177325168</v>
      </c>
      <c r="O3" s="28"/>
      <c r="P3" s="28">
        <f t="shared" ref="P3:P29" si="1">_xlfn.T.TEST(C4:L4,C36:L36,2,2)</f>
        <v>2.3538345304967522E-11</v>
      </c>
      <c r="Q3" s="28">
        <f t="shared" ref="Q3:Q65" si="2">_xlfn.T.TEST(C4:L4,V4:AE4,2,2)</f>
        <v>0.12399948061042973</v>
      </c>
      <c r="R3" s="28">
        <f t="shared" si="0"/>
        <v>1.8112555284798518E-8</v>
      </c>
      <c r="S3" s="28"/>
      <c r="T3" s="28"/>
      <c r="U3" s="28" t="s">
        <v>563</v>
      </c>
      <c r="V3" s="28">
        <v>197</v>
      </c>
      <c r="W3" s="28">
        <v>205</v>
      </c>
      <c r="X3" s="28">
        <v>124</v>
      </c>
      <c r="Y3" s="28">
        <v>173</v>
      </c>
      <c r="Z3" s="28">
        <v>123</v>
      </c>
      <c r="AA3" s="28">
        <v>134</v>
      </c>
      <c r="AB3" s="28">
        <v>144</v>
      </c>
      <c r="AC3" s="28">
        <v>186</v>
      </c>
      <c r="AD3" s="28">
        <v>126</v>
      </c>
      <c r="AE3" s="28">
        <v>98</v>
      </c>
      <c r="AF3" s="28">
        <v>151</v>
      </c>
      <c r="AG3" s="28">
        <v>36.5543735033473</v>
      </c>
    </row>
    <row r="4" spans="1:33" x14ac:dyDescent="0.25">
      <c r="A4" s="28"/>
      <c r="B4" s="28" t="s">
        <v>564</v>
      </c>
      <c r="C4" s="28">
        <v>106</v>
      </c>
      <c r="D4" s="28">
        <v>87</v>
      </c>
      <c r="E4" s="28">
        <v>84</v>
      </c>
      <c r="F4" s="28">
        <v>65</v>
      </c>
      <c r="G4" s="28">
        <v>95</v>
      </c>
      <c r="H4" s="28">
        <v>78</v>
      </c>
      <c r="I4" s="28">
        <v>93</v>
      </c>
      <c r="J4" s="28">
        <v>94</v>
      </c>
      <c r="K4" s="28">
        <v>83</v>
      </c>
      <c r="L4" s="28">
        <v>85</v>
      </c>
      <c r="M4" s="28">
        <v>87</v>
      </c>
      <c r="N4" s="28">
        <v>11.0754984838907</v>
      </c>
      <c r="O4" s="28"/>
      <c r="P4" s="28">
        <f t="shared" si="1"/>
        <v>1.9849482558508792E-10</v>
      </c>
      <c r="Q4" s="28">
        <f t="shared" si="2"/>
        <v>0.9735825716247859</v>
      </c>
      <c r="R4" s="28">
        <f t="shared" si="0"/>
        <v>1.5223747159760114E-6</v>
      </c>
      <c r="S4" s="28"/>
      <c r="T4" s="28"/>
      <c r="U4" s="28" t="s">
        <v>564</v>
      </c>
      <c r="V4" s="28">
        <v>127</v>
      </c>
      <c r="W4" s="28">
        <v>144</v>
      </c>
      <c r="X4" s="28">
        <v>76</v>
      </c>
      <c r="Y4" s="28">
        <v>111</v>
      </c>
      <c r="Z4" s="28">
        <v>82</v>
      </c>
      <c r="AA4" s="28">
        <v>108</v>
      </c>
      <c r="AB4" s="28">
        <v>91</v>
      </c>
      <c r="AC4" s="28">
        <v>112</v>
      </c>
      <c r="AD4" s="28">
        <v>80</v>
      </c>
      <c r="AE4" s="28">
        <v>73</v>
      </c>
      <c r="AF4" s="28">
        <v>100.4</v>
      </c>
      <c r="AG4" s="28">
        <v>23.810361890011901</v>
      </c>
    </row>
    <row r="5" spans="1:33" x14ac:dyDescent="0.25">
      <c r="A5" s="28"/>
      <c r="B5" s="28" t="s">
        <v>565</v>
      </c>
      <c r="C5" s="28">
        <v>48</v>
      </c>
      <c r="D5" s="28">
        <v>49</v>
      </c>
      <c r="E5" s="28">
        <v>52</v>
      </c>
      <c r="F5" s="28">
        <v>33</v>
      </c>
      <c r="G5" s="28">
        <v>48</v>
      </c>
      <c r="H5" s="28">
        <v>56</v>
      </c>
      <c r="I5" s="28">
        <v>46</v>
      </c>
      <c r="J5" s="28">
        <v>48</v>
      </c>
      <c r="K5" s="28">
        <v>62</v>
      </c>
      <c r="L5" s="28">
        <v>62</v>
      </c>
      <c r="M5" s="28">
        <v>50.4</v>
      </c>
      <c r="N5" s="28">
        <v>8.4616783205224699</v>
      </c>
      <c r="O5" s="28"/>
      <c r="P5" s="28">
        <f t="shared" si="1"/>
        <v>2.2966220915180984E-12</v>
      </c>
      <c r="Q5" s="28">
        <f t="shared" si="2"/>
        <v>0.24436176661247969</v>
      </c>
      <c r="R5" s="28">
        <f t="shared" si="0"/>
        <v>1.9851775651387685E-8</v>
      </c>
      <c r="S5" s="28"/>
      <c r="T5" s="28"/>
      <c r="U5" s="28" t="s">
        <v>565</v>
      </c>
      <c r="V5" s="28">
        <v>70</v>
      </c>
      <c r="W5" s="28">
        <v>61</v>
      </c>
      <c r="X5" s="28">
        <v>48</v>
      </c>
      <c r="Y5" s="28">
        <v>62</v>
      </c>
      <c r="Z5" s="28">
        <v>41</v>
      </c>
      <c r="AA5" s="28">
        <v>26</v>
      </c>
      <c r="AB5" s="28">
        <v>53</v>
      </c>
      <c r="AC5" s="28">
        <v>74</v>
      </c>
      <c r="AD5" s="28">
        <v>46</v>
      </c>
      <c r="AE5" s="28">
        <v>25</v>
      </c>
      <c r="AF5" s="28">
        <v>50.6</v>
      </c>
      <c r="AG5" s="28">
        <v>16.827226615088801</v>
      </c>
    </row>
    <row r="6" spans="1:33" x14ac:dyDescent="0.25">
      <c r="A6" s="28"/>
      <c r="B6" s="28" t="s">
        <v>566</v>
      </c>
      <c r="C6" s="28">
        <v>6.9066038793586699</v>
      </c>
      <c r="D6" s="28">
        <v>6.4169440876562902</v>
      </c>
      <c r="E6" s="28">
        <v>6.0582062957830098</v>
      </c>
      <c r="F6" s="28">
        <v>4.3083761769267399</v>
      </c>
      <c r="G6" s="28">
        <v>6.4096019522641496</v>
      </c>
      <c r="H6" s="28">
        <v>5.8857979502196196</v>
      </c>
      <c r="I6" s="28">
        <v>6.2198578034107204</v>
      </c>
      <c r="J6" s="28">
        <v>6.27046918123275</v>
      </c>
      <c r="K6" s="28">
        <v>6.5310412131221298</v>
      </c>
      <c r="L6" s="28">
        <v>6.5818439610462196</v>
      </c>
      <c r="M6" s="28">
        <v>6.1588742501020297</v>
      </c>
      <c r="N6" s="28">
        <v>0.70955352853692499</v>
      </c>
      <c r="O6" s="28"/>
      <c r="P6" s="28">
        <f t="shared" si="1"/>
        <v>5.0035648656874055E-11</v>
      </c>
      <c r="Q6" s="28">
        <f t="shared" si="2"/>
        <v>0.16280120886873103</v>
      </c>
      <c r="R6" s="28">
        <f t="shared" si="0"/>
        <v>3.6796469302973893E-8</v>
      </c>
      <c r="S6" s="28"/>
      <c r="T6" s="28"/>
      <c r="U6" s="28" t="s">
        <v>566</v>
      </c>
      <c r="V6" s="28">
        <v>8.6678073820581698</v>
      </c>
      <c r="W6" s="28">
        <v>9.6552626414600606</v>
      </c>
      <c r="X6" s="28">
        <v>5.4970630610661599</v>
      </c>
      <c r="Y6" s="28">
        <v>7.6936380481778803</v>
      </c>
      <c r="Z6" s="28">
        <v>5.4918886739098003</v>
      </c>
      <c r="AA6" s="28">
        <v>6.61909989023051</v>
      </c>
      <c r="AB6" s="28">
        <v>6.3769328232443101</v>
      </c>
      <c r="AC6" s="28">
        <v>8.2943143812708993</v>
      </c>
      <c r="AD6" s="28">
        <v>5.5434025443924302</v>
      </c>
      <c r="AE6" s="28">
        <v>4.6049024982379203</v>
      </c>
      <c r="AF6" s="28">
        <v>6.8444311944048097</v>
      </c>
      <c r="AG6" s="28">
        <v>1.65566546173965</v>
      </c>
    </row>
    <row r="7" spans="1:33" x14ac:dyDescent="0.25">
      <c r="A7" s="28"/>
      <c r="B7" s="28" t="s">
        <v>567</v>
      </c>
      <c r="C7" s="28">
        <v>8.8562940958039302</v>
      </c>
      <c r="D7" s="28">
        <v>7.4025053178917499</v>
      </c>
      <c r="E7" s="28">
        <v>6.9629288510246301</v>
      </c>
      <c r="F7" s="28">
        <v>5.4199286607680497</v>
      </c>
      <c r="G7" s="28">
        <v>8.0550190776767607</v>
      </c>
      <c r="H7" s="28">
        <v>6.5903116785580096</v>
      </c>
      <c r="I7" s="28">
        <v>7.6543209876543203</v>
      </c>
      <c r="J7" s="28">
        <v>7.9764289923394198</v>
      </c>
      <c r="K7" s="28">
        <v>6.5317186202072302</v>
      </c>
      <c r="L7" s="28">
        <v>7.1035587436450998</v>
      </c>
      <c r="M7" s="28">
        <v>7.2553015025569199</v>
      </c>
      <c r="N7" s="28">
        <v>0.96301151528351103</v>
      </c>
      <c r="O7" s="28"/>
      <c r="P7" s="28">
        <f t="shared" si="1"/>
        <v>9.4605349494875617E-10</v>
      </c>
      <c r="Q7" s="28">
        <f t="shared" si="2"/>
        <v>0.79027311735507644</v>
      </c>
      <c r="R7" s="28">
        <f t="shared" si="0"/>
        <v>8.2028551587121942E-7</v>
      </c>
      <c r="S7" s="28"/>
      <c r="T7" s="28"/>
      <c r="U7" s="28" t="s">
        <v>567</v>
      </c>
      <c r="V7" s="28">
        <v>10.545739724131501</v>
      </c>
      <c r="W7" s="28">
        <v>12.323198706824799</v>
      </c>
      <c r="X7" s="28">
        <v>6.1559230509618601</v>
      </c>
      <c r="Y7" s="28">
        <v>8.1896993421187396</v>
      </c>
      <c r="Z7" s="28">
        <v>6.7431129791219302</v>
      </c>
      <c r="AA7" s="28">
        <v>9.3324692158133509</v>
      </c>
      <c r="AB7" s="28">
        <v>7.53987433542774</v>
      </c>
      <c r="AC7" s="28">
        <v>9.3311733395047405</v>
      </c>
      <c r="AD7" s="28">
        <v>6.7613569667801299</v>
      </c>
      <c r="AE7" s="28">
        <v>6.0958919997216396</v>
      </c>
      <c r="AF7" s="28">
        <v>8.30184396604065</v>
      </c>
      <c r="AG7" s="28">
        <v>2.0600751539568201</v>
      </c>
    </row>
    <row r="8" spans="1:33" x14ac:dyDescent="0.25">
      <c r="A8" s="28"/>
      <c r="B8" s="28" t="s">
        <v>568</v>
      </c>
      <c r="C8" s="28">
        <v>4.6472850496194402</v>
      </c>
      <c r="D8" s="28">
        <v>5.1900670824997004</v>
      </c>
      <c r="E8" s="28">
        <v>5.0072219547424099</v>
      </c>
      <c r="F8" s="28">
        <v>3.0687366001084899</v>
      </c>
      <c r="G8" s="28">
        <v>4.5643043926146998</v>
      </c>
      <c r="H8" s="28">
        <v>5.1229924781459601</v>
      </c>
      <c r="I8" s="28">
        <v>4.5107866637611602</v>
      </c>
      <c r="J8" s="28">
        <v>4.4194373401534497</v>
      </c>
      <c r="K8" s="28">
        <v>6.5301345816266796</v>
      </c>
      <c r="L8" s="28">
        <v>5.9797460215399401</v>
      </c>
      <c r="M8" s="28">
        <v>4.9040712164811904</v>
      </c>
      <c r="N8" s="28">
        <v>0.93576439938096201</v>
      </c>
      <c r="O8" s="28"/>
      <c r="P8" s="28">
        <f t="shared" si="1"/>
        <v>1.5552781748273188E-10</v>
      </c>
      <c r="Q8" s="28">
        <f t="shared" si="2"/>
        <v>0.27636146614775886</v>
      </c>
      <c r="R8" s="28">
        <f t="shared" si="0"/>
        <v>1.1263137021496162E-6</v>
      </c>
      <c r="S8" s="28"/>
      <c r="T8" s="28"/>
      <c r="U8" s="28" t="s">
        <v>568</v>
      </c>
      <c r="V8" s="28">
        <v>6.55124005615348</v>
      </c>
      <c r="W8" s="28">
        <v>6.3896648044692697</v>
      </c>
      <c r="X8" s="28">
        <v>4.70050595723845</v>
      </c>
      <c r="Y8" s="28">
        <v>6.9409459837671399</v>
      </c>
      <c r="Z8" s="28">
        <v>4.0054274084124799</v>
      </c>
      <c r="AA8" s="28">
        <v>2.99817418879528</v>
      </c>
      <c r="AB8" s="28">
        <v>5.0417503435154796</v>
      </c>
      <c r="AC8" s="28">
        <v>7.1002132196162</v>
      </c>
      <c r="AD8" s="28">
        <v>4.2210440456769902</v>
      </c>
      <c r="AE8" s="28">
        <v>2.6863265976181201</v>
      </c>
      <c r="AF8" s="28">
        <v>5.0635292605262903</v>
      </c>
      <c r="AG8" s="28">
        <v>1.61668725669906</v>
      </c>
    </row>
    <row r="9" spans="1:33" x14ac:dyDescent="0.25">
      <c r="A9" s="28"/>
      <c r="B9" s="28" t="s">
        <v>569</v>
      </c>
      <c r="C9" s="28">
        <v>100</v>
      </c>
      <c r="D9" s="28">
        <v>89</v>
      </c>
      <c r="E9" s="28">
        <v>94</v>
      </c>
      <c r="F9" s="28">
        <v>79</v>
      </c>
      <c r="G9" s="28">
        <v>121</v>
      </c>
      <c r="H9" s="28">
        <v>100</v>
      </c>
      <c r="I9" s="28">
        <v>86</v>
      </c>
      <c r="J9" s="28">
        <v>97</v>
      </c>
      <c r="K9" s="28">
        <v>99</v>
      </c>
      <c r="L9" s="28">
        <v>83</v>
      </c>
      <c r="M9" s="28">
        <v>94.8</v>
      </c>
      <c r="N9" s="28">
        <v>11.8490505948789</v>
      </c>
      <c r="O9" s="28"/>
      <c r="P9" s="28">
        <f t="shared" si="1"/>
        <v>1.3334410888240748E-8</v>
      </c>
      <c r="Q9" s="28">
        <f t="shared" si="2"/>
        <v>0.11978030970953971</v>
      </c>
      <c r="R9" s="28">
        <f t="shared" si="0"/>
        <v>7.8500085073261215E-7</v>
      </c>
      <c r="S9" s="28"/>
      <c r="T9" s="28"/>
      <c r="U9" s="28" t="s">
        <v>569</v>
      </c>
      <c r="V9" s="28">
        <v>155</v>
      </c>
      <c r="W9" s="28">
        <v>130</v>
      </c>
      <c r="X9" s="28">
        <v>89</v>
      </c>
      <c r="Y9" s="28">
        <v>143</v>
      </c>
      <c r="Z9" s="28">
        <v>74</v>
      </c>
      <c r="AA9" s="28">
        <v>94</v>
      </c>
      <c r="AB9" s="28">
        <v>100</v>
      </c>
      <c r="AC9" s="28">
        <v>141</v>
      </c>
      <c r="AD9" s="28">
        <v>72</v>
      </c>
      <c r="AE9" s="28">
        <v>72</v>
      </c>
      <c r="AF9" s="28">
        <v>107</v>
      </c>
      <c r="AG9" s="28">
        <v>32.2593655651605</v>
      </c>
    </row>
    <row r="10" spans="1:33" x14ac:dyDescent="0.25">
      <c r="A10" s="28"/>
      <c r="B10" s="28" t="s">
        <v>570</v>
      </c>
      <c r="C10" s="28">
        <v>67</v>
      </c>
      <c r="D10" s="28">
        <v>54</v>
      </c>
      <c r="E10" s="28">
        <v>59</v>
      </c>
      <c r="F10" s="28">
        <v>50</v>
      </c>
      <c r="G10" s="28">
        <v>81</v>
      </c>
      <c r="H10" s="28">
        <v>55</v>
      </c>
      <c r="I10" s="28">
        <v>55</v>
      </c>
      <c r="J10" s="28">
        <v>60</v>
      </c>
      <c r="K10" s="28">
        <v>56</v>
      </c>
      <c r="L10" s="28">
        <v>48</v>
      </c>
      <c r="M10" s="28">
        <v>58.5</v>
      </c>
      <c r="N10" s="28">
        <v>9.5131487952202196</v>
      </c>
      <c r="O10" s="28"/>
      <c r="P10" s="28">
        <f t="shared" si="1"/>
        <v>4.9639869339284612E-10</v>
      </c>
      <c r="Q10" s="28">
        <f t="shared" si="2"/>
        <v>0.84375014289438766</v>
      </c>
      <c r="R10" s="28">
        <f t="shared" si="0"/>
        <v>3.0338914399087386E-5</v>
      </c>
      <c r="S10" s="28"/>
      <c r="T10" s="28"/>
      <c r="U10" s="28" t="s">
        <v>570</v>
      </c>
      <c r="V10" s="28">
        <v>99</v>
      </c>
      <c r="W10" s="28">
        <v>86</v>
      </c>
      <c r="X10" s="28">
        <v>57</v>
      </c>
      <c r="Y10" s="28">
        <v>89</v>
      </c>
      <c r="Z10" s="28">
        <v>47</v>
      </c>
      <c r="AA10" s="28">
        <v>74</v>
      </c>
      <c r="AB10" s="28">
        <v>63</v>
      </c>
      <c r="AC10" s="28">
        <v>83</v>
      </c>
      <c r="AD10" s="28">
        <v>43</v>
      </c>
      <c r="AE10" s="28">
        <v>55</v>
      </c>
      <c r="AF10" s="28">
        <v>69.599999999999994</v>
      </c>
      <c r="AG10" s="28">
        <v>19.2711644115704</v>
      </c>
    </row>
    <row r="11" spans="1:33" x14ac:dyDescent="0.25">
      <c r="A11" s="28"/>
      <c r="B11" s="28" t="s">
        <v>571</v>
      </c>
      <c r="C11" s="28">
        <v>33</v>
      </c>
      <c r="D11" s="28">
        <v>35</v>
      </c>
      <c r="E11" s="28">
        <v>35</v>
      </c>
      <c r="F11" s="28">
        <v>29</v>
      </c>
      <c r="G11" s="28">
        <v>40</v>
      </c>
      <c r="H11" s="28">
        <v>45</v>
      </c>
      <c r="I11" s="28">
        <v>31</v>
      </c>
      <c r="J11" s="28">
        <v>38</v>
      </c>
      <c r="K11" s="28">
        <v>43</v>
      </c>
      <c r="L11" s="28">
        <v>35</v>
      </c>
      <c r="M11" s="28">
        <v>36.4</v>
      </c>
      <c r="N11" s="28">
        <v>5.1033757890678997</v>
      </c>
      <c r="O11" s="28"/>
      <c r="P11" s="28">
        <f t="shared" si="1"/>
        <v>2.7700054559073169E-6</v>
      </c>
      <c r="Q11" s="28">
        <f t="shared" si="2"/>
        <v>0.81906945844392687</v>
      </c>
      <c r="R11" s="28">
        <f t="shared" si="0"/>
        <v>2.8410387336096008E-5</v>
      </c>
      <c r="S11" s="28"/>
      <c r="T11" s="28"/>
      <c r="U11" s="28" t="s">
        <v>571</v>
      </c>
      <c r="V11" s="28">
        <v>56</v>
      </c>
      <c r="W11" s="28">
        <v>44</v>
      </c>
      <c r="X11" s="28">
        <v>32</v>
      </c>
      <c r="Y11" s="28">
        <v>54</v>
      </c>
      <c r="Z11" s="28">
        <v>27</v>
      </c>
      <c r="AA11" s="28">
        <v>20</v>
      </c>
      <c r="AB11" s="28">
        <v>37</v>
      </c>
      <c r="AC11" s="28">
        <v>58</v>
      </c>
      <c r="AD11" s="28">
        <v>29</v>
      </c>
      <c r="AE11" s="28">
        <v>17</v>
      </c>
      <c r="AF11" s="28">
        <v>37.4</v>
      </c>
      <c r="AG11" s="28">
        <v>14.968114258130299</v>
      </c>
    </row>
    <row r="12" spans="1:33" x14ac:dyDescent="0.25">
      <c r="A12" s="28"/>
      <c r="B12" s="28" t="s">
        <v>572</v>
      </c>
      <c r="C12" s="28">
        <v>1.53</v>
      </c>
      <c r="D12" s="28">
        <v>1.51685393258426</v>
      </c>
      <c r="E12" s="28">
        <v>1.4361702127659499</v>
      </c>
      <c r="F12" s="28">
        <v>1.22784810126582</v>
      </c>
      <c r="G12" s="28">
        <v>1.1735537190082601</v>
      </c>
      <c r="H12" s="28">
        <v>1.33</v>
      </c>
      <c r="I12" s="28">
        <v>1.6046511627906901</v>
      </c>
      <c r="J12" s="28">
        <v>1.4536082474226799</v>
      </c>
      <c r="K12" s="28">
        <v>1.4545454545454499</v>
      </c>
      <c r="L12" s="28">
        <v>1.75903614457831</v>
      </c>
      <c r="M12" s="28">
        <v>1.4486266974961399</v>
      </c>
      <c r="N12" s="28">
        <v>0.173419807121794</v>
      </c>
      <c r="O12" s="28"/>
      <c r="P12" s="28">
        <f t="shared" si="1"/>
        <v>1.2249460081361666E-6</v>
      </c>
      <c r="Q12" s="28">
        <f t="shared" si="2"/>
        <v>0.72867304019417989</v>
      </c>
      <c r="R12" s="28">
        <f t="shared" si="0"/>
        <v>7.6664295114562016E-5</v>
      </c>
      <c r="S12" s="28"/>
      <c r="T12" s="28"/>
      <c r="U12" s="28" t="s">
        <v>572</v>
      </c>
      <c r="V12" s="28">
        <v>1.26451612903225</v>
      </c>
      <c r="W12" s="28">
        <v>1.5692307692307601</v>
      </c>
      <c r="X12" s="28">
        <v>1.38202247191011</v>
      </c>
      <c r="Y12" s="28">
        <v>1.2027972027972</v>
      </c>
      <c r="Z12" s="28">
        <v>1.64864864864864</v>
      </c>
      <c r="AA12" s="28">
        <v>1.41489361702127</v>
      </c>
      <c r="AB12" s="28">
        <v>1.43</v>
      </c>
      <c r="AC12" s="28">
        <v>1.31205673758865</v>
      </c>
      <c r="AD12" s="28">
        <v>1.7361111111111101</v>
      </c>
      <c r="AE12" s="28">
        <v>1.3472222222222201</v>
      </c>
      <c r="AF12" s="28">
        <v>1.43074989095622</v>
      </c>
      <c r="AG12" s="28">
        <v>0.171006715233742</v>
      </c>
    </row>
    <row r="13" spans="1:33" x14ac:dyDescent="0.25">
      <c r="A13" s="28"/>
      <c r="B13" s="28" t="s">
        <v>573</v>
      </c>
      <c r="C13" s="28">
        <v>1.5820895522388001</v>
      </c>
      <c r="D13" s="28">
        <v>1.6111111111111101</v>
      </c>
      <c r="E13" s="28">
        <v>1.42372881355932</v>
      </c>
      <c r="F13" s="28">
        <v>1.3</v>
      </c>
      <c r="G13" s="28">
        <v>1.1728395061728301</v>
      </c>
      <c r="H13" s="28">
        <v>1.41818181818181</v>
      </c>
      <c r="I13" s="28">
        <v>1.69090909090909</v>
      </c>
      <c r="J13" s="28">
        <v>1.5833333333333299</v>
      </c>
      <c r="K13" s="28">
        <v>1.4821428571428501</v>
      </c>
      <c r="L13" s="28">
        <v>1.7708333333333299</v>
      </c>
      <c r="M13" s="28">
        <v>1.5035169415982499</v>
      </c>
      <c r="N13" s="28">
        <v>0.181220087103142</v>
      </c>
      <c r="O13" s="28"/>
      <c r="P13" s="28">
        <f t="shared" si="1"/>
        <v>1.1304588476663357E-4</v>
      </c>
      <c r="Q13" s="28">
        <f t="shared" si="2"/>
        <v>0.94509869987122985</v>
      </c>
      <c r="R13" s="28">
        <f t="shared" si="0"/>
        <v>7.4405292641309355E-5</v>
      </c>
      <c r="S13" s="28"/>
      <c r="T13" s="28"/>
      <c r="U13" s="28" t="s">
        <v>573</v>
      </c>
      <c r="V13" s="28">
        <v>1.28282828282828</v>
      </c>
      <c r="W13" s="28">
        <v>1.67441860465116</v>
      </c>
      <c r="X13" s="28">
        <v>1.3333333333333299</v>
      </c>
      <c r="Y13" s="28">
        <v>1.2471910112359501</v>
      </c>
      <c r="Z13" s="28">
        <v>1.7446808510638201</v>
      </c>
      <c r="AA13" s="28">
        <v>1.4594594594594501</v>
      </c>
      <c r="AB13" s="28">
        <v>1.44444444444444</v>
      </c>
      <c r="AC13" s="28">
        <v>1.3493975903614399</v>
      </c>
      <c r="AD13" s="28">
        <v>1.86046511627906</v>
      </c>
      <c r="AE13" s="28">
        <v>1.3272727272727201</v>
      </c>
      <c r="AF13" s="28">
        <v>1.47234914209297</v>
      </c>
      <c r="AG13" s="28">
        <v>0.213093468845129</v>
      </c>
    </row>
    <row r="14" spans="1:33" x14ac:dyDescent="0.25">
      <c r="A14" s="28"/>
      <c r="B14" s="28" t="s">
        <v>574</v>
      </c>
      <c r="C14" s="28">
        <v>1.4242424242424201</v>
      </c>
      <c r="D14" s="28">
        <v>1.3714285714285701</v>
      </c>
      <c r="E14" s="28">
        <v>1.45714285714285</v>
      </c>
      <c r="F14" s="28">
        <v>1.1034482758620601</v>
      </c>
      <c r="G14" s="28">
        <v>1.175</v>
      </c>
      <c r="H14" s="28">
        <v>1.2222222222222201</v>
      </c>
      <c r="I14" s="28">
        <v>1.4516129032258001</v>
      </c>
      <c r="J14" s="28">
        <v>1.23684210526315</v>
      </c>
      <c r="K14" s="28">
        <v>1.4186046511627901</v>
      </c>
      <c r="L14" s="28">
        <v>1.74285714285714</v>
      </c>
      <c r="M14" s="28">
        <v>1.3603401153407</v>
      </c>
      <c r="N14" s="28">
        <v>0.184479649730597</v>
      </c>
      <c r="O14" s="28"/>
      <c r="P14" s="28" t="e">
        <f t="shared" si="1"/>
        <v>#DIV/0!</v>
      </c>
      <c r="Q14" s="28" t="e">
        <f t="shared" si="2"/>
        <v>#DIV/0!</v>
      </c>
      <c r="R14" s="28" t="e">
        <f t="shared" si="0"/>
        <v>#DIV/0!</v>
      </c>
      <c r="S14" s="28"/>
      <c r="T14" s="28"/>
      <c r="U14" s="28" t="s">
        <v>574</v>
      </c>
      <c r="V14" s="28">
        <v>1.2321428571428501</v>
      </c>
      <c r="W14" s="28">
        <v>1.36363636363636</v>
      </c>
      <c r="X14" s="28">
        <v>1.46875</v>
      </c>
      <c r="Y14" s="28">
        <v>1.12962962962962</v>
      </c>
      <c r="Z14" s="28">
        <v>1.4814814814814801</v>
      </c>
      <c r="AA14" s="28">
        <v>1.25</v>
      </c>
      <c r="AB14" s="28">
        <v>1.4054054054053999</v>
      </c>
      <c r="AC14" s="28">
        <v>1.2586206896551699</v>
      </c>
      <c r="AD14" s="28">
        <v>1.55172413793103</v>
      </c>
      <c r="AE14" s="28">
        <v>1.4117647058823499</v>
      </c>
      <c r="AF14" s="28">
        <v>1.3553155270764199</v>
      </c>
      <c r="AG14" s="28">
        <v>0.13319709493345</v>
      </c>
    </row>
    <row r="15" spans="1:33" x14ac:dyDescent="0.25">
      <c r="A15" s="28"/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O15" s="28"/>
      <c r="P15" s="28" t="e">
        <f t="shared" si="1"/>
        <v>#DIV/0!</v>
      </c>
      <c r="Q15" s="28" t="e">
        <f t="shared" si="2"/>
        <v>#DIV/0!</v>
      </c>
      <c r="R15" s="28" t="e">
        <f t="shared" si="0"/>
        <v>#DIV/0!</v>
      </c>
      <c r="S15" s="28"/>
      <c r="T15" s="28"/>
      <c r="U15" s="28" t="s">
        <v>575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100</v>
      </c>
      <c r="AE15" s="28">
        <v>100</v>
      </c>
      <c r="AF15" s="28">
        <v>100</v>
      </c>
      <c r="AG15" s="28">
        <v>0</v>
      </c>
    </row>
    <row r="16" spans="1:33" x14ac:dyDescent="0.25">
      <c r="A16" s="28"/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O16" s="28"/>
      <c r="P16" s="28" t="e">
        <f t="shared" si="1"/>
        <v>#DIV/0!</v>
      </c>
      <c r="Q16" s="28" t="e">
        <f t="shared" si="2"/>
        <v>#DIV/0!</v>
      </c>
      <c r="R16" s="28" t="e">
        <f t="shared" si="0"/>
        <v>#DIV/0!</v>
      </c>
      <c r="S16" s="28"/>
      <c r="T16" s="28"/>
      <c r="U16" s="28" t="s">
        <v>576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100</v>
      </c>
      <c r="AE16" s="28">
        <v>100</v>
      </c>
      <c r="AF16" s="28">
        <v>100</v>
      </c>
      <c r="AG16" s="28">
        <v>0</v>
      </c>
    </row>
    <row r="17" spans="1:33" x14ac:dyDescent="0.25">
      <c r="A17" s="28"/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O17" s="28"/>
      <c r="P17" s="28">
        <f t="shared" si="1"/>
        <v>3.7715675970219624E-4</v>
      </c>
      <c r="Q17" s="28">
        <f t="shared" si="2"/>
        <v>0.50615786046054212</v>
      </c>
      <c r="R17" s="28">
        <f t="shared" si="0"/>
        <v>1.3896790414921133E-6</v>
      </c>
      <c r="S17" s="28"/>
      <c r="T17" s="28"/>
      <c r="U17" s="28" t="s">
        <v>577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100</v>
      </c>
      <c r="AE17" s="28">
        <v>100</v>
      </c>
      <c r="AF17" s="28">
        <v>100</v>
      </c>
      <c r="AG17" s="28">
        <v>0</v>
      </c>
    </row>
    <row r="18" spans="1:33" x14ac:dyDescent="0.25">
      <c r="A18" s="28"/>
      <c r="B18" s="28" t="s">
        <v>578</v>
      </c>
      <c r="C18" s="28">
        <v>179</v>
      </c>
      <c r="D18" s="28">
        <v>211</v>
      </c>
      <c r="E18" s="28">
        <v>305</v>
      </c>
      <c r="F18" s="28">
        <v>147</v>
      </c>
      <c r="G18" s="28">
        <v>182</v>
      </c>
      <c r="H18" s="28">
        <v>186</v>
      </c>
      <c r="I18" s="28">
        <v>159</v>
      </c>
      <c r="J18" s="28">
        <v>172</v>
      </c>
      <c r="K18" s="28">
        <v>201</v>
      </c>
      <c r="L18" s="28">
        <v>168</v>
      </c>
      <c r="M18" s="28">
        <v>191</v>
      </c>
      <c r="N18" s="28">
        <v>44.2166383967744</v>
      </c>
      <c r="O18" s="28"/>
      <c r="P18" s="28">
        <f t="shared" si="1"/>
        <v>6.6707092406823374E-5</v>
      </c>
      <c r="Q18" s="28">
        <f t="shared" si="2"/>
        <v>7.8858047132847858E-2</v>
      </c>
      <c r="R18" s="28">
        <f t="shared" si="0"/>
        <v>1.2592359029409847E-6</v>
      </c>
      <c r="S18" s="28"/>
      <c r="T18" s="28"/>
      <c r="U18" s="28" t="s">
        <v>578</v>
      </c>
      <c r="V18" s="28">
        <v>250</v>
      </c>
      <c r="W18" s="28">
        <v>287</v>
      </c>
      <c r="X18" s="28">
        <v>195</v>
      </c>
      <c r="Y18" s="28">
        <v>230</v>
      </c>
      <c r="Z18" s="28">
        <v>195</v>
      </c>
      <c r="AA18" s="28">
        <v>163</v>
      </c>
      <c r="AB18" s="28">
        <v>194</v>
      </c>
      <c r="AC18" s="28">
        <v>239</v>
      </c>
      <c r="AD18" s="28">
        <v>162</v>
      </c>
      <c r="AE18" s="28">
        <v>133</v>
      </c>
      <c r="AF18" s="28">
        <v>204.8</v>
      </c>
      <c r="AG18" s="28">
        <v>46.723298970285299</v>
      </c>
    </row>
    <row r="19" spans="1:33" x14ac:dyDescent="0.25">
      <c r="A19" s="28"/>
      <c r="B19" s="28" t="s">
        <v>579</v>
      </c>
      <c r="C19" s="28">
        <v>124</v>
      </c>
      <c r="D19" s="28">
        <v>106</v>
      </c>
      <c r="E19" s="28">
        <v>116</v>
      </c>
      <c r="F19" s="28">
        <v>104</v>
      </c>
      <c r="G19" s="28">
        <v>112</v>
      </c>
      <c r="H19" s="28">
        <v>111</v>
      </c>
      <c r="I19" s="28">
        <v>102</v>
      </c>
      <c r="J19" s="28">
        <v>112</v>
      </c>
      <c r="K19" s="28">
        <v>104</v>
      </c>
      <c r="L19" s="28">
        <v>97</v>
      </c>
      <c r="M19" s="28">
        <v>108.8</v>
      </c>
      <c r="N19" s="28">
        <v>7.8002848950820001</v>
      </c>
      <c r="O19" s="28"/>
      <c r="P19" s="28">
        <f t="shared" si="1"/>
        <v>2.8363076459985721E-2</v>
      </c>
      <c r="Q19" s="28">
        <f t="shared" si="2"/>
        <v>0.80819878160038583</v>
      </c>
      <c r="R19" s="28">
        <f t="shared" si="0"/>
        <v>2.0905409334639071E-5</v>
      </c>
      <c r="S19" s="28"/>
      <c r="T19" s="28"/>
      <c r="U19" s="28" t="s">
        <v>579</v>
      </c>
      <c r="V19" s="28">
        <v>158</v>
      </c>
      <c r="W19" s="28">
        <v>185</v>
      </c>
      <c r="X19" s="28">
        <v>122</v>
      </c>
      <c r="Y19" s="28">
        <v>130</v>
      </c>
      <c r="Z19" s="28">
        <v>114</v>
      </c>
      <c r="AA19" s="28">
        <v>122</v>
      </c>
      <c r="AB19" s="28">
        <v>120</v>
      </c>
      <c r="AC19" s="28">
        <v>134</v>
      </c>
      <c r="AD19" s="28">
        <v>93</v>
      </c>
      <c r="AE19" s="28">
        <v>86</v>
      </c>
      <c r="AF19" s="28">
        <v>126.4</v>
      </c>
      <c r="AG19" s="28">
        <v>28.837475617674901</v>
      </c>
    </row>
    <row r="20" spans="1:33" x14ac:dyDescent="0.25">
      <c r="A20" s="28"/>
      <c r="B20" s="28" t="s">
        <v>580</v>
      </c>
      <c r="C20" s="28">
        <v>54</v>
      </c>
      <c r="D20" s="28">
        <v>104</v>
      </c>
      <c r="E20" s="28">
        <v>188</v>
      </c>
      <c r="F20" s="28">
        <v>42</v>
      </c>
      <c r="G20" s="28">
        <v>69</v>
      </c>
      <c r="H20" s="28">
        <v>74</v>
      </c>
      <c r="I20" s="28">
        <v>56</v>
      </c>
      <c r="J20" s="28">
        <v>59</v>
      </c>
      <c r="K20" s="28">
        <v>96</v>
      </c>
      <c r="L20" s="28">
        <v>70</v>
      </c>
      <c r="M20" s="28">
        <v>81.2</v>
      </c>
      <c r="N20" s="28">
        <v>41.999470896138099</v>
      </c>
      <c r="O20" s="28"/>
      <c r="P20" s="28">
        <f t="shared" si="1"/>
        <v>1.4128823117516459E-4</v>
      </c>
      <c r="Q20" s="28">
        <f t="shared" si="2"/>
        <v>0.6035483279221503</v>
      </c>
      <c r="R20" s="28">
        <f t="shared" si="0"/>
        <v>1.0262706392308803E-4</v>
      </c>
      <c r="S20" s="28"/>
      <c r="T20" s="28"/>
      <c r="U20" s="28" t="s">
        <v>580</v>
      </c>
      <c r="V20" s="28">
        <v>91</v>
      </c>
      <c r="W20" s="28">
        <v>101</v>
      </c>
      <c r="X20" s="28">
        <v>72</v>
      </c>
      <c r="Y20" s="28">
        <v>99</v>
      </c>
      <c r="Z20" s="28">
        <v>80</v>
      </c>
      <c r="AA20" s="28">
        <v>40</v>
      </c>
      <c r="AB20" s="28">
        <v>73</v>
      </c>
      <c r="AC20" s="28">
        <v>104</v>
      </c>
      <c r="AD20" s="28">
        <v>69</v>
      </c>
      <c r="AE20" s="28">
        <v>46</v>
      </c>
      <c r="AF20" s="28">
        <v>77.5</v>
      </c>
      <c r="AG20" s="28">
        <v>22.177315737783299</v>
      </c>
    </row>
    <row r="21" spans="1:33" x14ac:dyDescent="0.25">
      <c r="A21" s="28"/>
      <c r="B21" s="28" t="s">
        <v>581</v>
      </c>
      <c r="C21" s="28">
        <v>9.4972067039106097E-3</v>
      </c>
      <c r="D21" s="28">
        <v>8.2938388625592406E-3</v>
      </c>
      <c r="E21" s="28">
        <v>5.83606557377049E-3</v>
      </c>
      <c r="F21" s="28">
        <v>7.9591836734693808E-3</v>
      </c>
      <c r="G21" s="28">
        <v>9.2857142857142808E-3</v>
      </c>
      <c r="H21" s="28">
        <v>8.2795698924731098E-3</v>
      </c>
      <c r="I21" s="28">
        <v>9.2452830188679194E-3</v>
      </c>
      <c r="J21" s="28">
        <v>9.6511627906976701E-3</v>
      </c>
      <c r="K21" s="28">
        <v>8.7562189054726305E-3</v>
      </c>
      <c r="L21" s="28">
        <v>9.3452380952380905E-3</v>
      </c>
      <c r="M21" s="28">
        <v>8.6149481802173401E-3</v>
      </c>
      <c r="N21" s="28">
        <v>1.1362930077423799E-3</v>
      </c>
      <c r="O21" s="28"/>
      <c r="P21" s="28">
        <f t="shared" si="1"/>
        <v>7.672317892660116E-5</v>
      </c>
      <c r="Q21" s="28">
        <f t="shared" si="2"/>
        <v>0.45210576230603672</v>
      </c>
      <c r="R21" s="28">
        <f t="shared" si="0"/>
        <v>1.4666711892573829E-3</v>
      </c>
      <c r="S21" s="28"/>
      <c r="T21" s="28"/>
      <c r="U21" s="28" t="s">
        <v>581</v>
      </c>
      <c r="V21" s="28">
        <v>8.7600000000000004E-3</v>
      </c>
      <c r="W21" s="28">
        <v>7.5261324041811803E-3</v>
      </c>
      <c r="X21" s="28">
        <v>8.2564102564102494E-3</v>
      </c>
      <c r="Y21" s="28">
        <v>8.7826086956521703E-3</v>
      </c>
      <c r="Z21" s="28">
        <v>7.5384615384615303E-3</v>
      </c>
      <c r="AA21" s="28">
        <v>9.0184049079754594E-3</v>
      </c>
      <c r="AB21" s="28">
        <v>8.04123711340206E-3</v>
      </c>
      <c r="AC21" s="28">
        <v>8.6610878661087798E-3</v>
      </c>
      <c r="AD21" s="28">
        <v>8.8888888888888802E-3</v>
      </c>
      <c r="AE21" s="28">
        <v>8.5714285714285701E-3</v>
      </c>
      <c r="AF21" s="28">
        <v>8.4044660242508906E-3</v>
      </c>
      <c r="AG21" s="28">
        <v>5.4262770991183402E-4</v>
      </c>
    </row>
    <row r="22" spans="1:33" x14ac:dyDescent="0.25">
      <c r="A22" s="28"/>
      <c r="B22" s="28" t="s">
        <v>582</v>
      </c>
      <c r="C22" s="28">
        <v>96.774193548387103</v>
      </c>
      <c r="D22" s="28">
        <v>88.679245283018801</v>
      </c>
      <c r="E22" s="28">
        <v>86.2068965517241</v>
      </c>
      <c r="F22" s="28">
        <v>76.923076923076906</v>
      </c>
      <c r="G22" s="28">
        <v>95.535714285714207</v>
      </c>
      <c r="H22" s="28">
        <v>83.783783783783704</v>
      </c>
      <c r="I22" s="28">
        <v>93.137254901960702</v>
      </c>
      <c r="J22" s="28">
        <v>97.321428571428498</v>
      </c>
      <c r="K22" s="28">
        <v>97.115384615384599</v>
      </c>
      <c r="L22" s="28">
        <v>97.9381443298969</v>
      </c>
      <c r="M22" s="28">
        <v>91.341512279437595</v>
      </c>
      <c r="N22" s="28">
        <v>7.1601139438252597</v>
      </c>
      <c r="O22" s="28"/>
      <c r="P22" s="28">
        <f t="shared" si="1"/>
        <v>6.0163891429907794E-3</v>
      </c>
      <c r="Q22" s="28">
        <f t="shared" si="2"/>
        <v>0.3107427668656052</v>
      </c>
      <c r="R22" s="28">
        <f t="shared" si="0"/>
        <v>1.6685086223630199E-4</v>
      </c>
      <c r="S22" s="28"/>
      <c r="T22" s="28"/>
      <c r="U22" s="28" t="s">
        <v>582</v>
      </c>
      <c r="V22" s="28">
        <v>86.708860759493604</v>
      </c>
      <c r="W22" s="28">
        <v>79.459459459459396</v>
      </c>
      <c r="X22" s="28">
        <v>81.967213114754102</v>
      </c>
      <c r="Y22" s="28">
        <v>94.615384615384599</v>
      </c>
      <c r="Z22" s="28">
        <v>88.596491228070093</v>
      </c>
      <c r="AA22" s="28">
        <v>96.721311475409806</v>
      </c>
      <c r="AB22" s="28">
        <v>83.3333333333333</v>
      </c>
      <c r="AC22" s="28">
        <v>90.298507462686501</v>
      </c>
      <c r="AD22" s="28">
        <v>93.548387096774107</v>
      </c>
      <c r="AE22" s="28">
        <v>95.348837209302303</v>
      </c>
      <c r="AF22" s="28">
        <v>89.059778575466794</v>
      </c>
      <c r="AG22" s="28">
        <v>6.0718146277115599</v>
      </c>
    </row>
    <row r="23" spans="1:33" x14ac:dyDescent="0.25">
      <c r="A23" s="28"/>
      <c r="B23" s="28" t="s">
        <v>583</v>
      </c>
      <c r="C23" s="28">
        <v>96.296296296296205</v>
      </c>
      <c r="D23" s="28">
        <v>79.807692307692307</v>
      </c>
      <c r="E23" s="28">
        <v>42.021276595744602</v>
      </c>
      <c r="F23" s="28">
        <v>92.857142857142804</v>
      </c>
      <c r="G23" s="28">
        <v>92.753623188405797</v>
      </c>
      <c r="H23" s="28">
        <v>85.135135135135101</v>
      </c>
      <c r="I23" s="28">
        <v>96.428571428571402</v>
      </c>
      <c r="J23" s="28">
        <v>98.305084745762699</v>
      </c>
      <c r="K23" s="28">
        <v>80.2083333333333</v>
      </c>
      <c r="L23" s="28">
        <v>91.428571428571402</v>
      </c>
      <c r="M23" s="28">
        <v>85.524172731665601</v>
      </c>
      <c r="N23" s="28">
        <v>16.6426000142046</v>
      </c>
      <c r="O23" s="28"/>
      <c r="P23" s="28">
        <f t="shared" si="1"/>
        <v>0.23541732970210139</v>
      </c>
      <c r="Q23" s="28">
        <f t="shared" si="2"/>
        <v>0.39537137584023641</v>
      </c>
      <c r="R23" s="28">
        <f t="shared" si="0"/>
        <v>0.59472411570250727</v>
      </c>
      <c r="S23" s="28"/>
      <c r="T23" s="28"/>
      <c r="U23" s="28" t="s">
        <v>583</v>
      </c>
      <c r="V23" s="28">
        <v>92.307692307692307</v>
      </c>
      <c r="W23" s="28">
        <v>70.297029702970207</v>
      </c>
      <c r="X23" s="28">
        <v>87.5</v>
      </c>
      <c r="Y23" s="28">
        <v>81.818181818181799</v>
      </c>
      <c r="Z23" s="28">
        <v>60</v>
      </c>
      <c r="AA23" s="28">
        <v>75</v>
      </c>
      <c r="AB23" s="28">
        <v>79.452054794520507</v>
      </c>
      <c r="AC23" s="28">
        <v>84.615384615384599</v>
      </c>
      <c r="AD23" s="28">
        <v>86.956521739130395</v>
      </c>
      <c r="AE23" s="28">
        <v>73.913043478260803</v>
      </c>
      <c r="AF23" s="28">
        <v>79.1859908456141</v>
      </c>
      <c r="AG23" s="28">
        <v>9.6067271112849095</v>
      </c>
    </row>
    <row r="24" spans="1:33" x14ac:dyDescent="0.25">
      <c r="A24" s="28"/>
      <c r="B24" s="28" t="s">
        <v>584</v>
      </c>
      <c r="C24" s="28">
        <v>22.297499999999999</v>
      </c>
      <c r="D24" s="28">
        <v>21.1938888888888</v>
      </c>
      <c r="E24" s="28">
        <v>22.448888888888799</v>
      </c>
      <c r="F24" s="28">
        <v>22.746388888888799</v>
      </c>
      <c r="G24" s="28">
        <v>22.310277777777699</v>
      </c>
      <c r="H24" s="28">
        <v>22.766666666666602</v>
      </c>
      <c r="I24" s="28">
        <v>22.347777777777701</v>
      </c>
      <c r="J24" s="28">
        <v>22.6458333333333</v>
      </c>
      <c r="K24" s="28">
        <v>22.2016666666666</v>
      </c>
      <c r="L24" s="28">
        <v>22.334166666666601</v>
      </c>
      <c r="M24" s="28">
        <v>22.3293055555555</v>
      </c>
      <c r="N24" s="28">
        <v>0.445587558693324</v>
      </c>
      <c r="O24" s="28"/>
      <c r="P24" s="28">
        <f t="shared" si="1"/>
        <v>1.7295281988461848E-4</v>
      </c>
      <c r="Q24" s="28">
        <f t="shared" si="2"/>
        <v>8.9738025760913859E-3</v>
      </c>
      <c r="R24" s="28">
        <f t="shared" si="0"/>
        <v>0.14512928949520329</v>
      </c>
      <c r="S24" s="28"/>
      <c r="T24" s="28"/>
      <c r="U24" s="28" t="s">
        <v>584</v>
      </c>
      <c r="V24" s="28">
        <v>22.7277777777777</v>
      </c>
      <c r="W24" s="28">
        <v>21.231944444444402</v>
      </c>
      <c r="X24" s="28">
        <v>22.557500000000001</v>
      </c>
      <c r="Y24" s="28">
        <v>22.4861111111111</v>
      </c>
      <c r="Z24" s="28">
        <v>22.396666666666601</v>
      </c>
      <c r="AA24" s="28">
        <v>20.244444444444401</v>
      </c>
      <c r="AB24" s="28">
        <v>22.581388888888799</v>
      </c>
      <c r="AC24" s="28">
        <v>22.425000000000001</v>
      </c>
      <c r="AD24" s="28">
        <v>22.7297222222222</v>
      </c>
      <c r="AE24" s="28">
        <v>21.281666666666599</v>
      </c>
      <c r="AF24" s="28">
        <v>22.066222222222201</v>
      </c>
      <c r="AG24" s="28">
        <v>0.845200920098929</v>
      </c>
    </row>
    <row r="25" spans="1:33" x14ac:dyDescent="0.25">
      <c r="A25" s="28"/>
      <c r="B25" s="28" t="s">
        <v>585</v>
      </c>
      <c r="C25" s="28">
        <v>-0.04</v>
      </c>
      <c r="D25" s="28">
        <v>-5.0000000000000197E-2</v>
      </c>
      <c r="E25" s="28">
        <v>-5.0000000000000197E-2</v>
      </c>
      <c r="F25" s="28">
        <v>-5.0000000000000197E-2</v>
      </c>
      <c r="G25" s="28">
        <v>-4.9999999999999802E-2</v>
      </c>
      <c r="H25" s="28">
        <v>-0.06</v>
      </c>
      <c r="I25" s="28">
        <v>-4.9999999999999802E-2</v>
      </c>
      <c r="J25" s="28">
        <v>-4.9999999999999802E-2</v>
      </c>
      <c r="K25" s="28">
        <v>-0.06</v>
      </c>
      <c r="L25" s="28">
        <v>-4.9999999999999802E-2</v>
      </c>
      <c r="M25" s="28">
        <v>-5.0999999999999997E-2</v>
      </c>
      <c r="N25" s="28">
        <v>5.6764621219754698E-3</v>
      </c>
      <c r="O25" s="28"/>
      <c r="P25" s="28">
        <f t="shared" si="1"/>
        <v>3.0098279591165872E-4</v>
      </c>
      <c r="Q25" s="28">
        <f t="shared" si="2"/>
        <v>1.2488100090122202E-2</v>
      </c>
      <c r="R25" s="28">
        <f t="shared" si="0"/>
        <v>0.15573155472410832</v>
      </c>
      <c r="S25" s="28"/>
      <c r="T25" s="28"/>
      <c r="U25" s="28" t="s">
        <v>585</v>
      </c>
      <c r="V25" s="28">
        <v>-0.04</v>
      </c>
      <c r="W25" s="28">
        <v>-0.04</v>
      </c>
      <c r="X25" s="28">
        <v>-0.04</v>
      </c>
      <c r="Y25" s="28">
        <v>-4.9999999999999802E-2</v>
      </c>
      <c r="Z25" s="28">
        <v>-0.04</v>
      </c>
      <c r="AA25" s="28">
        <v>-0.04</v>
      </c>
      <c r="AB25" s="28">
        <v>-0.04</v>
      </c>
      <c r="AC25" s="28">
        <v>-0.06</v>
      </c>
      <c r="AD25" s="28">
        <v>-2.9999999999999801E-2</v>
      </c>
      <c r="AE25" s="28">
        <v>-0.04</v>
      </c>
      <c r="AF25" s="28">
        <v>-4.1999999999999899E-2</v>
      </c>
      <c r="AG25" s="28">
        <v>7.8881063774661701E-3</v>
      </c>
    </row>
    <row r="26" spans="1:33" x14ac:dyDescent="0.25">
      <c r="A26" s="28"/>
      <c r="B26" s="28" t="s">
        <v>586</v>
      </c>
      <c r="C26" s="28">
        <v>-1.7939230855477E-3</v>
      </c>
      <c r="D26" s="28">
        <v>-2.3591706204618801E-3</v>
      </c>
      <c r="E26" s="28">
        <v>-2.2272817263908201E-3</v>
      </c>
      <c r="F26" s="28">
        <v>-2.1981511106769201E-3</v>
      </c>
      <c r="G26" s="28">
        <v>-2.2411195637287102E-3</v>
      </c>
      <c r="H26" s="28">
        <v>-2.6354319180087798E-3</v>
      </c>
      <c r="I26" s="28">
        <v>-2.2373589220901799E-3</v>
      </c>
      <c r="J26" s="28">
        <v>-2.2079116835326501E-3</v>
      </c>
      <c r="K26" s="28">
        <v>-2.7024998123263999E-3</v>
      </c>
      <c r="L26" s="28">
        <v>-2.2387224357300001E-3</v>
      </c>
      <c r="M26" s="28">
        <v>-2.2841570878493998E-3</v>
      </c>
      <c r="N26" s="28">
        <v>2.5097871743725002E-4</v>
      </c>
      <c r="O26" s="28"/>
      <c r="P26" s="28">
        <f t="shared" si="1"/>
        <v>0.11567917016931206</v>
      </c>
      <c r="Q26" s="28">
        <f t="shared" si="2"/>
        <v>5.1512619255818189E-2</v>
      </c>
      <c r="R26" s="28">
        <f t="shared" si="0"/>
        <v>0.16080268751644405</v>
      </c>
      <c r="S26" s="28"/>
      <c r="T26" s="28"/>
      <c r="U26" s="28" t="s">
        <v>586</v>
      </c>
      <c r="V26" s="28">
        <v>-1.759960889758E-3</v>
      </c>
      <c r="W26" s="28">
        <v>-1.8839536861385499E-3</v>
      </c>
      <c r="X26" s="28">
        <v>-1.7732461487310199E-3</v>
      </c>
      <c r="Y26" s="28">
        <v>-2.2235948116120902E-3</v>
      </c>
      <c r="Z26" s="28">
        <v>-1.78598005655603E-3</v>
      </c>
      <c r="AA26" s="28">
        <v>-1.9758507135016401E-3</v>
      </c>
      <c r="AB26" s="28">
        <v>-1.7713702286789701E-3</v>
      </c>
      <c r="AC26" s="28">
        <v>-2.6755852842809298E-3</v>
      </c>
      <c r="AD26" s="28">
        <v>-1.31985774866485E-3</v>
      </c>
      <c r="AE26" s="28">
        <v>-1.8795520400971099E-3</v>
      </c>
      <c r="AF26" s="28">
        <v>-1.9048951608019199E-3</v>
      </c>
      <c r="AG26" s="28">
        <v>3.5185605198405302E-4</v>
      </c>
    </row>
    <row r="27" spans="1:33" x14ac:dyDescent="0.25">
      <c r="A27" s="28"/>
      <c r="B27" s="28" t="s">
        <v>587</v>
      </c>
      <c r="C27" s="28">
        <v>1.5909090909090899</v>
      </c>
      <c r="D27" s="28">
        <v>1.54411764705882</v>
      </c>
      <c r="E27" s="28">
        <v>1.69117647058823</v>
      </c>
      <c r="F27" s="28">
        <v>1.43877551020408</v>
      </c>
      <c r="G27" s="28">
        <v>1.29370629370629</v>
      </c>
      <c r="H27" s="28">
        <v>1.4925373134328299</v>
      </c>
      <c r="I27" s="28">
        <v>1.4316546762589899</v>
      </c>
      <c r="J27" s="28">
        <v>1.4366197183098499</v>
      </c>
      <c r="K27" s="28">
        <v>1.66896551724137</v>
      </c>
      <c r="L27" s="28">
        <v>1.53061224489795</v>
      </c>
      <c r="M27" s="28">
        <v>1.51190744826075</v>
      </c>
      <c r="N27" s="28">
        <v>0.120128274631912</v>
      </c>
      <c r="O27" s="28"/>
      <c r="P27" s="28">
        <f t="shared" si="1"/>
        <v>0.62783650317020545</v>
      </c>
      <c r="Q27" s="28">
        <f t="shared" si="2"/>
        <v>2.3938919824614963E-2</v>
      </c>
      <c r="R27" s="28">
        <f t="shared" si="0"/>
        <v>2.3938919824614963E-2</v>
      </c>
      <c r="S27" s="28"/>
      <c r="T27" s="28"/>
      <c r="U27" s="28" t="s">
        <v>587</v>
      </c>
      <c r="V27" s="28">
        <v>1.3248730964466999</v>
      </c>
      <c r="W27" s="28">
        <v>1.6390243902438999</v>
      </c>
      <c r="X27" s="28">
        <v>2.19354838709677</v>
      </c>
      <c r="Y27" s="28">
        <v>2.0751445086705198</v>
      </c>
      <c r="Z27" s="28">
        <v>1.6260162601626</v>
      </c>
      <c r="AA27" s="28">
        <v>1.6194029850746201</v>
      </c>
      <c r="AB27" s="28">
        <v>1.6111111111111101</v>
      </c>
      <c r="AC27" s="28">
        <v>1.7526881720430101</v>
      </c>
      <c r="AD27" s="28">
        <v>1.4682539682539599</v>
      </c>
      <c r="AE27" s="28">
        <v>1.6938775510204001</v>
      </c>
      <c r="AF27" s="28">
        <v>1.7003940430123601</v>
      </c>
      <c r="AG27" s="28">
        <v>0.259304740727759</v>
      </c>
    </row>
    <row r="28" spans="1:33" x14ac:dyDescent="0.25">
      <c r="A28" s="28"/>
      <c r="B28" s="28" t="s">
        <v>588</v>
      </c>
      <c r="C28" s="28">
        <v>2</v>
      </c>
      <c r="D28" s="28">
        <v>1</v>
      </c>
      <c r="E28" s="28">
        <v>2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2</v>
      </c>
      <c r="L28" s="28">
        <v>1</v>
      </c>
      <c r="M28" s="28">
        <v>1.3</v>
      </c>
      <c r="N28" s="28">
        <v>0.483045891539647</v>
      </c>
      <c r="O28" s="28"/>
      <c r="P28" s="28" t="e">
        <f t="shared" si="1"/>
        <v>#DIV/0!</v>
      </c>
      <c r="Q28" s="28" t="e">
        <f t="shared" si="2"/>
        <v>#DIV/0!</v>
      </c>
      <c r="R28" s="28" t="e">
        <f t="shared" si="0"/>
        <v>#DIV/0!</v>
      </c>
      <c r="S28" s="28"/>
      <c r="T28" s="28"/>
      <c r="U28" s="28" t="s">
        <v>588</v>
      </c>
      <c r="V28" s="28">
        <v>1</v>
      </c>
      <c r="W28" s="28">
        <v>2</v>
      </c>
      <c r="X28" s="28">
        <v>2</v>
      </c>
      <c r="Y28" s="28">
        <v>2</v>
      </c>
      <c r="Z28" s="28">
        <v>2</v>
      </c>
      <c r="AA28" s="28">
        <v>2</v>
      </c>
      <c r="AB28" s="28">
        <v>2</v>
      </c>
      <c r="AC28" s="28">
        <v>2</v>
      </c>
      <c r="AD28" s="28">
        <v>1</v>
      </c>
      <c r="AE28" s="28">
        <v>2</v>
      </c>
      <c r="AF28" s="28">
        <v>1.8</v>
      </c>
      <c r="AG28" s="28">
        <v>0.42163702135578301</v>
      </c>
    </row>
    <row r="29" spans="1:33" x14ac:dyDescent="0.25">
      <c r="A29" s="28"/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/>
      <c r="P29" s="28" t="e">
        <f t="shared" si="1"/>
        <v>#DIV/0!</v>
      </c>
      <c r="Q29" s="28" t="e">
        <f t="shared" si="2"/>
        <v>#DIV/0!</v>
      </c>
      <c r="R29" s="28" t="e">
        <f t="shared" si="0"/>
        <v>#DIV/0!</v>
      </c>
      <c r="S29" s="28"/>
      <c r="T29" s="28"/>
      <c r="U29" s="28" t="s">
        <v>589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</row>
    <row r="30" spans="1:33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 t="e">
        <f t="shared" si="2"/>
        <v>#DIV/0!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 t="e">
        <f t="shared" si="2"/>
        <v>#DIV/0!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 t="e">
        <f t="shared" si="2"/>
        <v>#DIV/0!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x14ac:dyDescent="0.25">
      <c r="A33" s="49" t="s">
        <v>590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 t="e">
        <f t="shared" si="2"/>
        <v>#DIV/0!</v>
      </c>
      <c r="R33" s="28"/>
      <c r="S33" s="28"/>
      <c r="T33" s="56" t="s">
        <v>591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28"/>
      <c r="B34" s="28" t="s">
        <v>558</v>
      </c>
      <c r="C34" s="28" t="s">
        <v>147</v>
      </c>
      <c r="D34" s="28" t="s">
        <v>136</v>
      </c>
      <c r="E34" s="28" t="s">
        <v>193</v>
      </c>
      <c r="F34" s="28" t="s">
        <v>205</v>
      </c>
      <c r="G34" s="28" t="s">
        <v>158</v>
      </c>
      <c r="H34" s="28" t="s">
        <v>216</v>
      </c>
      <c r="I34" s="28" t="s">
        <v>170</v>
      </c>
      <c r="J34" s="28" t="s">
        <v>227</v>
      </c>
      <c r="K34" s="28" t="s">
        <v>182</v>
      </c>
      <c r="L34" s="28" t="s">
        <v>238</v>
      </c>
      <c r="M34" s="28" t="s">
        <v>559</v>
      </c>
      <c r="N34" s="28" t="s">
        <v>560</v>
      </c>
      <c r="O34" s="28"/>
      <c r="P34" s="28"/>
      <c r="Q34" s="28">
        <f t="shared" si="2"/>
        <v>0.82300437250020386</v>
      </c>
      <c r="R34" s="28"/>
      <c r="S34" s="28"/>
      <c r="T34" s="28"/>
      <c r="U34" s="28" t="s">
        <v>558</v>
      </c>
      <c r="V34" s="28" t="s">
        <v>24</v>
      </c>
      <c r="W34" s="28" t="s">
        <v>80</v>
      </c>
      <c r="X34" s="28" t="s">
        <v>36</v>
      </c>
      <c r="Y34" s="28" t="s">
        <v>91</v>
      </c>
      <c r="Z34" s="28" t="s">
        <v>47</v>
      </c>
      <c r="AA34" s="28" t="s">
        <v>102</v>
      </c>
      <c r="AB34" s="28" t="s">
        <v>58</v>
      </c>
      <c r="AC34" s="28" t="s">
        <v>113</v>
      </c>
      <c r="AD34" s="28" t="s">
        <v>69</v>
      </c>
      <c r="AE34" s="28" t="s">
        <v>124</v>
      </c>
      <c r="AF34" s="28" t="s">
        <v>559</v>
      </c>
      <c r="AG34" s="28" t="s">
        <v>560</v>
      </c>
    </row>
    <row r="35" spans="1:33" x14ac:dyDescent="0.25">
      <c r="A35" s="28"/>
      <c r="B35" s="28" t="s">
        <v>563</v>
      </c>
      <c r="C35" s="28">
        <v>47</v>
      </c>
      <c r="D35" s="28">
        <v>11</v>
      </c>
      <c r="E35" s="28">
        <v>30</v>
      </c>
      <c r="F35" s="28">
        <v>25</v>
      </c>
      <c r="G35" s="28">
        <v>27</v>
      </c>
      <c r="H35" s="28">
        <v>52</v>
      </c>
      <c r="I35" s="28">
        <v>24</v>
      </c>
      <c r="J35" s="28">
        <v>35</v>
      </c>
      <c r="K35" s="28">
        <v>30</v>
      </c>
      <c r="L35" s="28">
        <v>32</v>
      </c>
      <c r="M35" s="28">
        <v>31.3</v>
      </c>
      <c r="N35" s="28">
        <v>11.6242084557281</v>
      </c>
      <c r="O35" s="28"/>
      <c r="P35" s="28"/>
      <c r="Q35" s="28">
        <f t="shared" si="2"/>
        <v>0.74242335301371687</v>
      </c>
      <c r="R35" s="28"/>
      <c r="S35" s="28"/>
      <c r="T35" s="28"/>
      <c r="U35" s="28" t="s">
        <v>563</v>
      </c>
      <c r="V35" s="28">
        <v>21</v>
      </c>
      <c r="W35" s="28">
        <v>33</v>
      </c>
      <c r="X35" s="28">
        <v>33</v>
      </c>
      <c r="Y35" s="28">
        <v>19</v>
      </c>
      <c r="Z35" s="28">
        <v>36</v>
      </c>
      <c r="AA35" s="28">
        <v>25</v>
      </c>
      <c r="AB35" s="28">
        <v>27</v>
      </c>
      <c r="AC35" s="28">
        <v>22</v>
      </c>
      <c r="AD35" s="28">
        <v>45</v>
      </c>
      <c r="AE35" s="28">
        <v>65</v>
      </c>
      <c r="AF35" s="28">
        <v>32.6</v>
      </c>
      <c r="AG35" s="28">
        <v>13.8900443963773</v>
      </c>
    </row>
    <row r="36" spans="1:33" x14ac:dyDescent="0.25">
      <c r="A36" s="28"/>
      <c r="B36" s="28" t="s">
        <v>564</v>
      </c>
      <c r="C36" s="28">
        <v>38</v>
      </c>
      <c r="D36" s="28">
        <v>4</v>
      </c>
      <c r="E36" s="28">
        <v>21</v>
      </c>
      <c r="F36" s="28">
        <v>14</v>
      </c>
      <c r="G36" s="28">
        <v>17</v>
      </c>
      <c r="H36" s="28">
        <v>31</v>
      </c>
      <c r="I36" s="28">
        <v>11</v>
      </c>
      <c r="J36" s="28">
        <v>24</v>
      </c>
      <c r="K36" s="28">
        <v>15</v>
      </c>
      <c r="L36" s="28">
        <v>15</v>
      </c>
      <c r="M36" s="28">
        <v>19</v>
      </c>
      <c r="N36" s="28">
        <v>9.9107124982123302</v>
      </c>
      <c r="O36" s="28"/>
      <c r="P36" s="28"/>
      <c r="Q36" s="28">
        <f t="shared" si="2"/>
        <v>0.87976895547019562</v>
      </c>
      <c r="R36" s="28"/>
      <c r="S36" s="28"/>
      <c r="T36" s="28"/>
      <c r="U36" s="28" t="s">
        <v>564</v>
      </c>
      <c r="V36" s="28">
        <v>10</v>
      </c>
      <c r="W36" s="28">
        <v>25</v>
      </c>
      <c r="X36" s="28">
        <v>20</v>
      </c>
      <c r="Y36" s="28">
        <v>10</v>
      </c>
      <c r="Z36" s="28">
        <v>18</v>
      </c>
      <c r="AA36" s="28">
        <v>18</v>
      </c>
      <c r="AB36" s="28">
        <v>13</v>
      </c>
      <c r="AC36" s="28">
        <v>16</v>
      </c>
      <c r="AD36" s="28">
        <v>27</v>
      </c>
      <c r="AE36" s="28">
        <v>49</v>
      </c>
      <c r="AF36" s="28">
        <v>20.6</v>
      </c>
      <c r="AG36" s="28">
        <v>11.471704319759899</v>
      </c>
    </row>
    <row r="37" spans="1:33" x14ac:dyDescent="0.25">
      <c r="A37" s="28"/>
      <c r="B37" s="28" t="s">
        <v>565</v>
      </c>
      <c r="C37" s="28">
        <v>9</v>
      </c>
      <c r="D37" s="28">
        <v>7</v>
      </c>
      <c r="E37" s="28">
        <v>9</v>
      </c>
      <c r="F37" s="28">
        <v>11</v>
      </c>
      <c r="G37" s="28">
        <v>10</v>
      </c>
      <c r="H37" s="28">
        <v>21</v>
      </c>
      <c r="I37" s="28">
        <v>13</v>
      </c>
      <c r="J37" s="28">
        <v>11</v>
      </c>
      <c r="K37" s="28">
        <v>15</v>
      </c>
      <c r="L37" s="28">
        <v>17</v>
      </c>
      <c r="M37" s="28">
        <v>12.3</v>
      </c>
      <c r="N37" s="28">
        <v>4.2700507413066298</v>
      </c>
      <c r="O37" s="28"/>
      <c r="P37" s="28"/>
      <c r="Q37" s="28">
        <f t="shared" si="2"/>
        <v>0.82557263634549671</v>
      </c>
      <c r="R37" s="28"/>
      <c r="S37" s="28"/>
      <c r="T37" s="28"/>
      <c r="U37" s="28" t="s">
        <v>565</v>
      </c>
      <c r="V37" s="28">
        <v>11</v>
      </c>
      <c r="W37" s="28">
        <v>8</v>
      </c>
      <c r="X37" s="28">
        <v>13</v>
      </c>
      <c r="Y37" s="28">
        <v>9</v>
      </c>
      <c r="Z37" s="28">
        <v>18</v>
      </c>
      <c r="AA37" s="28">
        <v>7</v>
      </c>
      <c r="AB37" s="28">
        <v>14</v>
      </c>
      <c r="AC37" s="28">
        <v>6</v>
      </c>
      <c r="AD37" s="28">
        <v>18</v>
      </c>
      <c r="AE37" s="28">
        <v>16</v>
      </c>
      <c r="AF37" s="28">
        <v>12</v>
      </c>
      <c r="AG37" s="28">
        <v>4.4721359549995796</v>
      </c>
    </row>
    <row r="38" spans="1:33" x14ac:dyDescent="0.25">
      <c r="A38" s="28"/>
      <c r="B38" s="28" t="s">
        <v>566</v>
      </c>
      <c r="C38" s="28">
        <v>2.2235948116121</v>
      </c>
      <c r="D38" s="28">
        <v>0.489674786694695</v>
      </c>
      <c r="E38" s="28">
        <v>1.4123000876149101</v>
      </c>
      <c r="F38" s="28">
        <v>1.1235814783835401</v>
      </c>
      <c r="G38" s="28">
        <v>1.18957287969648</v>
      </c>
      <c r="H38" s="28">
        <v>2.32607264006759</v>
      </c>
      <c r="I38" s="28">
        <v>1.0644720144886399</v>
      </c>
      <c r="J38" s="28">
        <v>1.77925892453682</v>
      </c>
      <c r="K38" s="28">
        <v>1.32986910640184</v>
      </c>
      <c r="L38" s="28">
        <v>1.4368210334634599</v>
      </c>
      <c r="M38" s="28">
        <v>1.43752177629601</v>
      </c>
      <c r="N38" s="28">
        <v>0.55116650652784005</v>
      </c>
      <c r="O38" s="28"/>
      <c r="P38" s="28"/>
      <c r="Q38" s="28">
        <f t="shared" si="2"/>
        <v>0.79732042134267544</v>
      </c>
      <c r="R38" s="28"/>
      <c r="S38" s="28"/>
      <c r="T38" s="28"/>
      <c r="U38" s="28" t="s">
        <v>566</v>
      </c>
      <c r="V38" s="28">
        <v>0.92439749092109602</v>
      </c>
      <c r="W38" s="28">
        <v>1.5567261577167999</v>
      </c>
      <c r="X38" s="28">
        <v>1.4839612271410001</v>
      </c>
      <c r="Y38" s="28">
        <v>0.84380898335821097</v>
      </c>
      <c r="Z38" s="28">
        <v>1.59625569651434</v>
      </c>
      <c r="AA38" s="28">
        <v>1.2705583398037601</v>
      </c>
      <c r="AB38" s="28">
        <v>1.22478295384382</v>
      </c>
      <c r="AC38" s="28">
        <v>1.00202429149797</v>
      </c>
      <c r="AD38" s="28">
        <v>2.0025216939850101</v>
      </c>
      <c r="AE38" s="28">
        <v>3.0768421606269398</v>
      </c>
      <c r="AF38" s="28">
        <v>1.4981878995408899</v>
      </c>
      <c r="AG38" s="28">
        <v>0.65743096609766605</v>
      </c>
    </row>
    <row r="39" spans="1:33" x14ac:dyDescent="0.25">
      <c r="A39" s="28"/>
      <c r="B39" s="28" t="s">
        <v>567</v>
      </c>
      <c r="C39" s="28">
        <v>3.26460481099656</v>
      </c>
      <c r="D39" s="28">
        <v>0.35878908683194199</v>
      </c>
      <c r="E39" s="28">
        <v>1.7376114737519499</v>
      </c>
      <c r="F39" s="28">
        <v>1.17452401482137</v>
      </c>
      <c r="G39" s="28">
        <v>1.5385002136805801</v>
      </c>
      <c r="H39" s="28">
        <v>2.59843069687303</v>
      </c>
      <c r="I39" s="28">
        <v>0.96240309135538404</v>
      </c>
      <c r="J39" s="28">
        <v>2.2224508694310101</v>
      </c>
      <c r="K39" s="28">
        <v>1.3142843235086501</v>
      </c>
      <c r="L39" s="28">
        <v>1.2648147280648301</v>
      </c>
      <c r="M39" s="28">
        <v>1.6436413309315301</v>
      </c>
      <c r="N39" s="28">
        <v>0.84859612033555398</v>
      </c>
      <c r="O39" s="28"/>
      <c r="P39" s="28"/>
      <c r="Q39" s="28">
        <f t="shared" si="2"/>
        <v>0.96521193085441181</v>
      </c>
      <c r="R39" s="28"/>
      <c r="S39" s="28"/>
      <c r="T39" s="28"/>
      <c r="U39" s="28" t="s">
        <v>567</v>
      </c>
      <c r="V39" s="28">
        <v>0.82188027943929498</v>
      </c>
      <c r="W39" s="28">
        <v>2.1601382488479199</v>
      </c>
      <c r="X39" s="28">
        <v>1.7187462700818701</v>
      </c>
      <c r="Y39" s="28">
        <v>0.72</v>
      </c>
      <c r="Z39" s="28">
        <v>1.5620103651922299</v>
      </c>
      <c r="AA39" s="28">
        <v>1.66307360640591</v>
      </c>
      <c r="AB39" s="28">
        <v>1.0908073839268999</v>
      </c>
      <c r="AC39" s="28">
        <v>1.37437365783822</v>
      </c>
      <c r="AD39" s="28">
        <v>2.3253588516746402</v>
      </c>
      <c r="AE39" s="28">
        <v>4.0589047399907896</v>
      </c>
      <c r="AF39" s="28">
        <v>1.74952934033978</v>
      </c>
      <c r="AG39" s="28">
        <v>0.96448601398489497</v>
      </c>
    </row>
    <row r="40" spans="1:33" x14ac:dyDescent="0.25">
      <c r="A40" s="28"/>
      <c r="B40" s="28" t="s">
        <v>568</v>
      </c>
      <c r="C40" s="28">
        <v>0.94767322823130196</v>
      </c>
      <c r="D40" s="28">
        <v>0.61863262550632103</v>
      </c>
      <c r="E40" s="28">
        <v>0.98292024390983801</v>
      </c>
      <c r="F40" s="28">
        <v>1.0648023662274799</v>
      </c>
      <c r="G40" s="28">
        <v>0.85855333762609998</v>
      </c>
      <c r="H40" s="28">
        <v>2.0143884892086299</v>
      </c>
      <c r="I40" s="28">
        <v>1.1694152923538199</v>
      </c>
      <c r="J40" s="28">
        <v>1.2398246712586001</v>
      </c>
      <c r="K40" s="28">
        <v>1.34582793340643</v>
      </c>
      <c r="L40" s="28">
        <v>1.6327401755462401</v>
      </c>
      <c r="M40" s="28">
        <v>1.1874778363274701</v>
      </c>
      <c r="N40" s="28">
        <v>0.40226532258726999</v>
      </c>
      <c r="O40" s="28"/>
      <c r="P40" s="28"/>
      <c r="Q40" s="28">
        <f t="shared" si="2"/>
        <v>0.97004299571340735</v>
      </c>
      <c r="R40" s="28"/>
      <c r="S40" s="28"/>
      <c r="T40" s="28"/>
      <c r="U40" s="28" t="s">
        <v>568</v>
      </c>
      <c r="V40" s="28">
        <v>1.04262657644611</v>
      </c>
      <c r="W40" s="28">
        <v>0.831168831168831</v>
      </c>
      <c r="X40" s="28">
        <v>1.2262544215904601</v>
      </c>
      <c r="Y40" s="28">
        <v>1.04310872154792</v>
      </c>
      <c r="Z40" s="28">
        <v>1.6320362674726101</v>
      </c>
      <c r="AA40" s="28">
        <v>0.790687458818361</v>
      </c>
      <c r="AB40" s="28">
        <v>1.38245055819184</v>
      </c>
      <c r="AC40" s="28">
        <v>0.58173983301912202</v>
      </c>
      <c r="AD40" s="28">
        <v>1.6573737787099001</v>
      </c>
      <c r="AE40" s="28">
        <v>1.7673048600883601</v>
      </c>
      <c r="AF40" s="28">
        <v>1.1954751307053499</v>
      </c>
      <c r="AG40" s="28">
        <v>0.40642803925031601</v>
      </c>
    </row>
    <row r="41" spans="1:33" x14ac:dyDescent="0.25">
      <c r="A41" s="28"/>
      <c r="B41" s="28" t="s">
        <v>569</v>
      </c>
      <c r="C41" s="28">
        <v>43</v>
      </c>
      <c r="D41" s="28">
        <v>9</v>
      </c>
      <c r="E41" s="28">
        <v>28</v>
      </c>
      <c r="F41" s="28">
        <v>21</v>
      </c>
      <c r="G41" s="28">
        <v>25</v>
      </c>
      <c r="H41" s="28">
        <v>49</v>
      </c>
      <c r="I41" s="28">
        <v>23</v>
      </c>
      <c r="J41" s="28">
        <v>30</v>
      </c>
      <c r="K41" s="28">
        <v>28</v>
      </c>
      <c r="L41" s="28">
        <v>29</v>
      </c>
      <c r="M41" s="28">
        <v>28.5</v>
      </c>
      <c r="N41" s="28">
        <v>11.1180533867719</v>
      </c>
      <c r="O41" s="28"/>
      <c r="P41" s="28"/>
      <c r="Q41" s="28">
        <f t="shared" si="2"/>
        <v>0.78505607448567249</v>
      </c>
      <c r="R41" s="28"/>
      <c r="S41" s="28"/>
      <c r="T41" s="28"/>
      <c r="U41" s="28" t="s">
        <v>569</v>
      </c>
      <c r="V41" s="28">
        <v>17</v>
      </c>
      <c r="W41" s="28">
        <v>27</v>
      </c>
      <c r="X41" s="28">
        <v>31</v>
      </c>
      <c r="Y41" s="28">
        <v>18</v>
      </c>
      <c r="Z41" s="28">
        <v>33</v>
      </c>
      <c r="AA41" s="28">
        <v>22</v>
      </c>
      <c r="AB41" s="28">
        <v>25</v>
      </c>
      <c r="AC41" s="28">
        <v>20</v>
      </c>
      <c r="AD41" s="28">
        <v>35</v>
      </c>
      <c r="AE41" s="28">
        <v>59</v>
      </c>
      <c r="AF41" s="28">
        <v>28.7</v>
      </c>
      <c r="AG41" s="28">
        <v>12.3382872933536</v>
      </c>
    </row>
    <row r="42" spans="1:33" x14ac:dyDescent="0.25">
      <c r="A42" s="28"/>
      <c r="B42" s="28" t="s">
        <v>570</v>
      </c>
      <c r="C42" s="28">
        <v>35</v>
      </c>
      <c r="D42" s="28">
        <v>4</v>
      </c>
      <c r="E42" s="28">
        <v>20</v>
      </c>
      <c r="F42" s="28">
        <v>12</v>
      </c>
      <c r="G42" s="28">
        <v>16</v>
      </c>
      <c r="H42" s="28">
        <v>30</v>
      </c>
      <c r="I42" s="28">
        <v>11</v>
      </c>
      <c r="J42" s="28">
        <v>21</v>
      </c>
      <c r="K42" s="28">
        <v>15</v>
      </c>
      <c r="L42" s="28">
        <v>13</v>
      </c>
      <c r="M42" s="28">
        <v>17.7</v>
      </c>
      <c r="N42" s="28">
        <v>9.2141195998315499</v>
      </c>
      <c r="O42" s="28"/>
      <c r="P42" s="28"/>
      <c r="Q42" s="28">
        <f t="shared" si="2"/>
        <v>0.71398879938133852</v>
      </c>
      <c r="R42" s="28"/>
      <c r="S42" s="28"/>
      <c r="T42" s="28"/>
      <c r="U42" s="28" t="s">
        <v>570</v>
      </c>
      <c r="V42" s="28">
        <v>9</v>
      </c>
      <c r="W42" s="28">
        <v>21</v>
      </c>
      <c r="X42" s="28">
        <v>21</v>
      </c>
      <c r="Y42" s="28">
        <v>11</v>
      </c>
      <c r="Z42" s="28">
        <v>16</v>
      </c>
      <c r="AA42" s="28">
        <v>16</v>
      </c>
      <c r="AB42" s="28">
        <v>13</v>
      </c>
      <c r="AC42" s="28">
        <v>15</v>
      </c>
      <c r="AD42" s="28">
        <v>22</v>
      </c>
      <c r="AE42" s="28">
        <v>45</v>
      </c>
      <c r="AF42" s="28">
        <v>18.899999999999999</v>
      </c>
      <c r="AG42" s="28">
        <v>10.148344145174001</v>
      </c>
    </row>
    <row r="43" spans="1:33" x14ac:dyDescent="0.25">
      <c r="A43" s="28"/>
      <c r="B43" s="28" t="s">
        <v>571</v>
      </c>
      <c r="C43" s="28">
        <v>8</v>
      </c>
      <c r="D43" s="28">
        <v>5</v>
      </c>
      <c r="E43" s="28">
        <v>8</v>
      </c>
      <c r="F43" s="28">
        <v>9</v>
      </c>
      <c r="G43" s="28">
        <v>9</v>
      </c>
      <c r="H43" s="28">
        <v>19</v>
      </c>
      <c r="I43" s="28">
        <v>13</v>
      </c>
      <c r="J43" s="28">
        <v>9</v>
      </c>
      <c r="K43" s="28">
        <v>14</v>
      </c>
      <c r="L43" s="28">
        <v>16</v>
      </c>
      <c r="M43" s="28">
        <v>11</v>
      </c>
      <c r="N43" s="28">
        <v>4.3204937989385703</v>
      </c>
      <c r="O43" s="28"/>
      <c r="P43" s="28"/>
      <c r="Q43" s="28">
        <f t="shared" si="2"/>
        <v>0.32994254229182485</v>
      </c>
      <c r="R43" s="28"/>
      <c r="S43" s="28"/>
      <c r="T43" s="28"/>
      <c r="U43" s="28" t="s">
        <v>571</v>
      </c>
      <c r="V43" s="28">
        <v>8</v>
      </c>
      <c r="W43" s="28">
        <v>7</v>
      </c>
      <c r="X43" s="28">
        <v>11</v>
      </c>
      <c r="Y43" s="28">
        <v>8</v>
      </c>
      <c r="Z43" s="28">
        <v>17</v>
      </c>
      <c r="AA43" s="28">
        <v>6</v>
      </c>
      <c r="AB43" s="28">
        <v>13</v>
      </c>
      <c r="AC43" s="28">
        <v>5</v>
      </c>
      <c r="AD43" s="28">
        <v>13</v>
      </c>
      <c r="AE43" s="28">
        <v>15</v>
      </c>
      <c r="AF43" s="28">
        <v>10.3</v>
      </c>
      <c r="AG43" s="28">
        <v>4.0838435055444702</v>
      </c>
    </row>
    <row r="44" spans="1:33" x14ac:dyDescent="0.25">
      <c r="A44" s="28"/>
      <c r="B44" s="28" t="s">
        <v>572</v>
      </c>
      <c r="C44" s="28">
        <v>1.0697674418604599</v>
      </c>
      <c r="D44" s="28">
        <v>1.1111111111111101</v>
      </c>
      <c r="E44" s="28">
        <v>1.03571428571428</v>
      </c>
      <c r="F44" s="28">
        <v>1.1428571428571399</v>
      </c>
      <c r="G44" s="28">
        <v>1.04</v>
      </c>
      <c r="H44" s="28">
        <v>1.0408163265306101</v>
      </c>
      <c r="I44" s="28">
        <v>1</v>
      </c>
      <c r="J44" s="28">
        <v>1.13333333333333</v>
      </c>
      <c r="K44" s="28">
        <v>1.03571428571428</v>
      </c>
      <c r="L44" s="28">
        <v>1.0689655172413699</v>
      </c>
      <c r="M44" s="28">
        <v>1.0678279444362599</v>
      </c>
      <c r="N44" s="28">
        <v>4.7100425832805902E-2</v>
      </c>
      <c r="O44" s="28"/>
      <c r="P44" s="28"/>
      <c r="Q44" s="28">
        <f t="shared" si="2"/>
        <v>0.28084969082249961</v>
      </c>
      <c r="R44" s="28"/>
      <c r="S44" s="28"/>
      <c r="T44" s="28"/>
      <c r="U44" s="28" t="s">
        <v>572</v>
      </c>
      <c r="V44" s="28">
        <v>1.1764705882352899</v>
      </c>
      <c r="W44" s="28">
        <v>1.18518518518518</v>
      </c>
      <c r="X44" s="28">
        <v>1.0322580645161199</v>
      </c>
      <c r="Y44" s="28">
        <v>1</v>
      </c>
      <c r="Z44" s="28">
        <v>1.0606060606060601</v>
      </c>
      <c r="AA44" s="28">
        <v>1.0909090909090899</v>
      </c>
      <c r="AB44" s="28">
        <v>1.04</v>
      </c>
      <c r="AC44" s="28">
        <v>1.05</v>
      </c>
      <c r="AD44" s="28">
        <v>1.25714285714285</v>
      </c>
      <c r="AE44" s="28">
        <v>1.08474576271186</v>
      </c>
      <c r="AF44" s="28">
        <v>1.0977317609306401</v>
      </c>
      <c r="AG44" s="28">
        <v>8.1855484967760503E-2</v>
      </c>
    </row>
    <row r="45" spans="1:33" x14ac:dyDescent="0.25">
      <c r="A45" s="28"/>
      <c r="B45" s="28" t="s">
        <v>573</v>
      </c>
      <c r="C45" s="28">
        <v>1.0857142857142801</v>
      </c>
      <c r="D45" s="28">
        <v>1</v>
      </c>
      <c r="E45" s="28">
        <v>1.05</v>
      </c>
      <c r="F45" s="28">
        <v>1.1666666666666601</v>
      </c>
      <c r="G45" s="28">
        <v>1.0625</v>
      </c>
      <c r="H45" s="28">
        <v>1.0333333333333301</v>
      </c>
      <c r="I45" s="28">
        <v>1</v>
      </c>
      <c r="J45" s="28">
        <v>1.1428571428571399</v>
      </c>
      <c r="K45" s="28">
        <v>1</v>
      </c>
      <c r="L45" s="28">
        <v>1.15384615384615</v>
      </c>
      <c r="M45" s="28">
        <v>1.06949175824175</v>
      </c>
      <c r="N45" s="28">
        <v>6.5343396629439193E-2</v>
      </c>
      <c r="O45" s="28"/>
      <c r="P45" s="28"/>
      <c r="Q45" s="28">
        <f t="shared" si="2"/>
        <v>0.69459526755130896</v>
      </c>
      <c r="R45" s="28"/>
      <c r="S45" s="28"/>
      <c r="T45" s="28"/>
      <c r="U45" s="28" t="s">
        <v>573</v>
      </c>
      <c r="V45" s="28">
        <v>1.1111111111111101</v>
      </c>
      <c r="W45" s="28">
        <v>1.2380952380952299</v>
      </c>
      <c r="X45" s="28">
        <v>1</v>
      </c>
      <c r="Y45" s="28">
        <v>1</v>
      </c>
      <c r="Z45" s="28">
        <v>1.125</v>
      </c>
      <c r="AA45" s="28">
        <v>1.125</v>
      </c>
      <c r="AB45" s="28">
        <v>1.07692307692307</v>
      </c>
      <c r="AC45" s="28">
        <v>1.06666666666666</v>
      </c>
      <c r="AD45" s="28">
        <v>1.22727272727272</v>
      </c>
      <c r="AE45" s="28">
        <v>1.0888888888888799</v>
      </c>
      <c r="AF45" s="28">
        <v>1.10589577089577</v>
      </c>
      <c r="AG45" s="28">
        <v>8.0319922682510703E-2</v>
      </c>
    </row>
    <row r="46" spans="1:33" x14ac:dyDescent="0.25">
      <c r="A46" s="28"/>
      <c r="B46" s="28" t="s">
        <v>574</v>
      </c>
      <c r="C46" s="28">
        <v>1</v>
      </c>
      <c r="D46" s="28">
        <v>1.2</v>
      </c>
      <c r="E46" s="28">
        <v>1</v>
      </c>
      <c r="F46" s="28">
        <v>1.1111111111111101</v>
      </c>
      <c r="G46" s="28">
        <v>1</v>
      </c>
      <c r="H46" s="28">
        <v>1.0526315789473599</v>
      </c>
      <c r="I46" s="28">
        <v>1</v>
      </c>
      <c r="J46" s="28">
        <v>1.1111111111111101</v>
      </c>
      <c r="K46" s="28">
        <v>1.0714285714285701</v>
      </c>
      <c r="L46" s="28">
        <v>1</v>
      </c>
      <c r="M46" s="28">
        <v>1.0546282372598099</v>
      </c>
      <c r="N46" s="28">
        <v>6.8896894690837499E-2</v>
      </c>
      <c r="O46" s="28"/>
      <c r="P46" s="28"/>
      <c r="Q46" s="28" t="e">
        <f t="shared" si="2"/>
        <v>#DIV/0!</v>
      </c>
      <c r="R46" s="28"/>
      <c r="S46" s="28"/>
      <c r="T46" s="28"/>
      <c r="U46" s="28" t="s">
        <v>574</v>
      </c>
      <c r="V46" s="28">
        <v>1.25</v>
      </c>
      <c r="W46" s="28">
        <v>1</v>
      </c>
      <c r="X46" s="28">
        <v>1.0909090909090899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1.3076923076922999</v>
      </c>
      <c r="AE46" s="28">
        <v>1.06666666666666</v>
      </c>
      <c r="AF46" s="28">
        <v>1.0715268065268</v>
      </c>
      <c r="AG46" s="28">
        <v>0.114853831236899</v>
      </c>
    </row>
    <row r="47" spans="1:33" x14ac:dyDescent="0.25">
      <c r="A47" s="28"/>
      <c r="B47" s="28" t="s">
        <v>575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O47" s="28"/>
      <c r="P47" s="28"/>
      <c r="Q47" s="28" t="e">
        <f t="shared" si="2"/>
        <v>#DIV/0!</v>
      </c>
      <c r="R47" s="28"/>
      <c r="S47" s="28"/>
      <c r="T47" s="28"/>
      <c r="U47" s="28" t="s">
        <v>575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100</v>
      </c>
      <c r="AE47" s="28">
        <v>100</v>
      </c>
      <c r="AF47" s="28">
        <v>100</v>
      </c>
      <c r="AG47" s="28">
        <v>0</v>
      </c>
    </row>
    <row r="48" spans="1:33" x14ac:dyDescent="0.25">
      <c r="A48" s="28"/>
      <c r="B48" s="28" t="s">
        <v>576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O48" s="28"/>
      <c r="P48" s="28"/>
      <c r="Q48" s="28" t="e">
        <f t="shared" si="2"/>
        <v>#DIV/0!</v>
      </c>
      <c r="R48" s="28"/>
      <c r="S48" s="28"/>
      <c r="T48" s="28"/>
      <c r="U48" s="28" t="s">
        <v>576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100</v>
      </c>
      <c r="AE48" s="28">
        <v>100</v>
      </c>
      <c r="AF48" s="28">
        <v>100</v>
      </c>
      <c r="AG48" s="28">
        <v>0</v>
      </c>
    </row>
    <row r="49" spans="1:33" x14ac:dyDescent="0.25">
      <c r="A49" s="28"/>
      <c r="B49" s="28" t="s">
        <v>577</v>
      </c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  <c r="M49" s="28">
        <v>100</v>
      </c>
      <c r="N49" s="28">
        <v>0</v>
      </c>
      <c r="O49" s="28"/>
      <c r="P49" s="28"/>
      <c r="Q49" s="28">
        <f t="shared" si="2"/>
        <v>0.52482262968483095</v>
      </c>
      <c r="R49" s="28"/>
      <c r="S49" s="28"/>
      <c r="T49" s="28"/>
      <c r="U49" s="28" t="s">
        <v>577</v>
      </c>
      <c r="V49" s="28">
        <v>100</v>
      </c>
      <c r="W49" s="28">
        <v>100</v>
      </c>
      <c r="X49" s="28">
        <v>100</v>
      </c>
      <c r="Y49" s="28">
        <v>100</v>
      </c>
      <c r="Z49" s="28">
        <v>100</v>
      </c>
      <c r="AA49" s="28">
        <v>100</v>
      </c>
      <c r="AB49" s="28">
        <v>100</v>
      </c>
      <c r="AC49" s="28">
        <v>100</v>
      </c>
      <c r="AD49" s="28">
        <v>100</v>
      </c>
      <c r="AE49" s="28">
        <v>100</v>
      </c>
      <c r="AF49" s="28">
        <v>100</v>
      </c>
      <c r="AG49" s="28">
        <v>0</v>
      </c>
    </row>
    <row r="50" spans="1:33" x14ac:dyDescent="0.25">
      <c r="A50" s="28"/>
      <c r="B50" s="28" t="s">
        <v>578</v>
      </c>
      <c r="C50" s="28">
        <v>121</v>
      </c>
      <c r="D50" s="28">
        <v>43</v>
      </c>
      <c r="E50" s="28">
        <v>210</v>
      </c>
      <c r="F50" s="28">
        <v>47</v>
      </c>
      <c r="G50" s="28">
        <v>60</v>
      </c>
      <c r="H50" s="28">
        <v>99</v>
      </c>
      <c r="I50" s="28">
        <v>75</v>
      </c>
      <c r="J50" s="28">
        <v>64</v>
      </c>
      <c r="K50" s="28">
        <v>82</v>
      </c>
      <c r="L50" s="28">
        <v>156</v>
      </c>
      <c r="M50" s="28">
        <v>95.7</v>
      </c>
      <c r="N50" s="28">
        <v>53.120512882396802</v>
      </c>
      <c r="O50" s="28"/>
      <c r="P50" s="28"/>
      <c r="Q50" s="28">
        <f t="shared" si="2"/>
        <v>0.85655734257859228</v>
      </c>
      <c r="R50" s="28"/>
      <c r="S50" s="28"/>
      <c r="T50" s="28"/>
      <c r="U50" s="28" t="s">
        <v>578</v>
      </c>
      <c r="V50" s="28">
        <v>86</v>
      </c>
      <c r="W50" s="28">
        <v>62</v>
      </c>
      <c r="X50" s="28">
        <v>78</v>
      </c>
      <c r="Y50" s="28">
        <v>65</v>
      </c>
      <c r="Z50" s="28">
        <v>123</v>
      </c>
      <c r="AA50" s="28">
        <v>42</v>
      </c>
      <c r="AB50" s="28">
        <v>57</v>
      </c>
      <c r="AC50" s="28">
        <v>96</v>
      </c>
      <c r="AD50" s="28">
        <v>125</v>
      </c>
      <c r="AE50" s="28">
        <v>100</v>
      </c>
      <c r="AF50" s="28">
        <v>83.4</v>
      </c>
      <c r="AG50" s="28">
        <v>27.8416155342242</v>
      </c>
    </row>
    <row r="51" spans="1:33" x14ac:dyDescent="0.25">
      <c r="A51" s="28"/>
      <c r="B51" s="28" t="s">
        <v>579</v>
      </c>
      <c r="C51" s="28">
        <v>59</v>
      </c>
      <c r="D51" s="28">
        <v>28</v>
      </c>
      <c r="E51" s="28">
        <v>142</v>
      </c>
      <c r="F51" s="28">
        <v>25</v>
      </c>
      <c r="G51" s="28">
        <v>40</v>
      </c>
      <c r="H51" s="28">
        <v>63</v>
      </c>
      <c r="I51" s="28">
        <v>45</v>
      </c>
      <c r="J51" s="28">
        <v>36</v>
      </c>
      <c r="K51" s="28">
        <v>46</v>
      </c>
      <c r="L51" s="28">
        <v>42</v>
      </c>
      <c r="M51" s="28">
        <v>52.6</v>
      </c>
      <c r="N51" s="28">
        <v>33.592988686463798</v>
      </c>
      <c r="O51" s="28"/>
      <c r="P51" s="28"/>
      <c r="Q51" s="28">
        <f t="shared" si="2"/>
        <v>0.33856992411909326</v>
      </c>
      <c r="R51" s="28"/>
      <c r="S51" s="28"/>
      <c r="T51" s="28"/>
      <c r="U51" s="28" t="s">
        <v>579</v>
      </c>
      <c r="V51" s="28">
        <v>56</v>
      </c>
      <c r="W51" s="28">
        <v>43</v>
      </c>
      <c r="X51" s="28">
        <v>44</v>
      </c>
      <c r="Y51" s="28">
        <v>43</v>
      </c>
      <c r="Z51" s="28">
        <v>73</v>
      </c>
      <c r="AA51" s="28">
        <v>23</v>
      </c>
      <c r="AB51" s="28">
        <v>27</v>
      </c>
      <c r="AC51" s="28">
        <v>55</v>
      </c>
      <c r="AD51" s="28">
        <v>73</v>
      </c>
      <c r="AE51" s="28">
        <v>67</v>
      </c>
      <c r="AF51" s="28">
        <v>50.4</v>
      </c>
      <c r="AG51" s="28">
        <v>17.633301827318999</v>
      </c>
    </row>
    <row r="52" spans="1:33" x14ac:dyDescent="0.25">
      <c r="A52" s="28"/>
      <c r="B52" s="28" t="s">
        <v>580</v>
      </c>
      <c r="C52" s="28">
        <v>61</v>
      </c>
      <c r="D52" s="28">
        <v>15</v>
      </c>
      <c r="E52" s="28">
        <v>67</v>
      </c>
      <c r="F52" s="28">
        <v>21</v>
      </c>
      <c r="G52" s="28">
        <v>19</v>
      </c>
      <c r="H52" s="28">
        <v>35</v>
      </c>
      <c r="I52" s="28">
        <v>29</v>
      </c>
      <c r="J52" s="28">
        <v>27</v>
      </c>
      <c r="K52" s="28">
        <v>35</v>
      </c>
      <c r="L52" s="28">
        <v>113</v>
      </c>
      <c r="M52" s="28">
        <v>42.2</v>
      </c>
      <c r="N52" s="28">
        <v>30.216993011659198</v>
      </c>
      <c r="O52" s="28"/>
      <c r="P52" s="28"/>
      <c r="Q52" s="28">
        <f t="shared" si="2"/>
        <v>0.71023169470444503</v>
      </c>
      <c r="R52" s="28"/>
      <c r="S52" s="28"/>
      <c r="T52" s="28"/>
      <c r="U52" s="28" t="s">
        <v>580</v>
      </c>
      <c r="V52" s="28">
        <v>29</v>
      </c>
      <c r="W52" s="28">
        <v>18</v>
      </c>
      <c r="X52" s="28">
        <v>33</v>
      </c>
      <c r="Y52" s="28">
        <v>21</v>
      </c>
      <c r="Z52" s="28">
        <v>50</v>
      </c>
      <c r="AA52" s="28">
        <v>18</v>
      </c>
      <c r="AB52" s="28">
        <v>29</v>
      </c>
      <c r="AC52" s="28">
        <v>40</v>
      </c>
      <c r="AD52" s="28">
        <v>51</v>
      </c>
      <c r="AE52" s="28">
        <v>32</v>
      </c>
      <c r="AF52" s="28">
        <v>32.1</v>
      </c>
      <c r="AG52" s="28">
        <v>11.9298877707303</v>
      </c>
    </row>
    <row r="53" spans="1:33" x14ac:dyDescent="0.25">
      <c r="A53" s="28"/>
      <c r="B53" s="28" t="s">
        <v>581</v>
      </c>
      <c r="C53" s="28">
        <v>6.5289256198347101E-3</v>
      </c>
      <c r="D53" s="28">
        <v>6.27906976744186E-3</v>
      </c>
      <c r="E53" s="28">
        <v>2.4761904761904699E-3</v>
      </c>
      <c r="F53" s="28">
        <v>7.4468085106382904E-3</v>
      </c>
      <c r="G53" s="28">
        <v>5.1666666666666597E-3</v>
      </c>
      <c r="H53" s="28">
        <v>7.2727272727272701E-3</v>
      </c>
      <c r="I53" s="28">
        <v>5.4666666666666596E-3</v>
      </c>
      <c r="J53" s="28">
        <v>7.0312500000000002E-3</v>
      </c>
      <c r="K53" s="28">
        <v>4.5121951219512096E-3</v>
      </c>
      <c r="L53" s="28">
        <v>5.1282051282051204E-3</v>
      </c>
      <c r="M53" s="28">
        <v>5.7308705230322303E-3</v>
      </c>
      <c r="N53" s="28">
        <v>1.5194887201146301E-3</v>
      </c>
      <c r="O53" s="28"/>
      <c r="P53" s="28"/>
      <c r="Q53" s="28">
        <f t="shared" si="2"/>
        <v>0.78002605233548739</v>
      </c>
      <c r="R53" s="28"/>
      <c r="S53" s="28"/>
      <c r="T53" s="28"/>
      <c r="U53" s="28" t="s">
        <v>581</v>
      </c>
      <c r="V53" s="28">
        <v>4.8837209302325501E-3</v>
      </c>
      <c r="W53" s="28">
        <v>6.1290322580645103E-3</v>
      </c>
      <c r="X53" s="28">
        <v>6.2820512820512802E-3</v>
      </c>
      <c r="Y53" s="28">
        <v>8.0000000000000002E-3</v>
      </c>
      <c r="Z53" s="28">
        <v>3.9837398373983703E-3</v>
      </c>
      <c r="AA53" s="28">
        <v>7.6190476190476104E-3</v>
      </c>
      <c r="AB53" s="28">
        <v>5.7894736842105197E-3</v>
      </c>
      <c r="AC53" s="28">
        <v>4.6874999999999998E-3</v>
      </c>
      <c r="AD53" s="28">
        <v>4.64E-3</v>
      </c>
      <c r="AE53" s="28">
        <v>7.7999999999999996E-3</v>
      </c>
      <c r="AF53" s="28">
        <v>5.9814565611004799E-3</v>
      </c>
      <c r="AG53" s="28">
        <v>1.4484489955866799E-3</v>
      </c>
    </row>
    <row r="54" spans="1:33" x14ac:dyDescent="0.25">
      <c r="A54" s="28"/>
      <c r="B54" s="28" t="s">
        <v>582</v>
      </c>
      <c r="C54" s="28">
        <v>74.576271186440593</v>
      </c>
      <c r="D54" s="28">
        <v>57.142857142857103</v>
      </c>
      <c r="E54" s="28">
        <v>23.943661971830899</v>
      </c>
      <c r="F54" s="28">
        <v>84</v>
      </c>
      <c r="G54" s="28">
        <v>55</v>
      </c>
      <c r="H54" s="28">
        <v>69.841269841269806</v>
      </c>
      <c r="I54" s="28">
        <v>57.7777777777777</v>
      </c>
      <c r="J54" s="28">
        <v>75</v>
      </c>
      <c r="K54" s="28">
        <v>41.304347826086897</v>
      </c>
      <c r="L54" s="28">
        <v>66.6666666666666</v>
      </c>
      <c r="M54" s="28">
        <v>60.525285241292998</v>
      </c>
      <c r="N54" s="28">
        <v>17.762919966126599</v>
      </c>
      <c r="O54" s="28"/>
      <c r="P54" s="28"/>
      <c r="Q54" s="28">
        <f t="shared" si="2"/>
        <v>0.70415102948710762</v>
      </c>
      <c r="R54" s="28"/>
      <c r="S54" s="28"/>
      <c r="T54" s="28"/>
      <c r="U54" s="28" t="s">
        <v>582</v>
      </c>
      <c r="V54" s="28">
        <v>48.214285714285701</v>
      </c>
      <c r="W54" s="28">
        <v>67.441860465116207</v>
      </c>
      <c r="X54" s="28">
        <v>68.181818181818102</v>
      </c>
      <c r="Y54" s="28">
        <v>83.720930232558104</v>
      </c>
      <c r="Z54" s="28">
        <v>35.616438356164302</v>
      </c>
      <c r="AA54" s="28">
        <v>95.652173913043399</v>
      </c>
      <c r="AB54" s="28">
        <v>51.851851851851798</v>
      </c>
      <c r="AC54" s="28">
        <v>41.818181818181799</v>
      </c>
      <c r="AD54" s="28">
        <v>47.945205479452</v>
      </c>
      <c r="AE54" s="28">
        <v>89.552238805970106</v>
      </c>
      <c r="AF54" s="28">
        <v>62.9994984818441</v>
      </c>
      <c r="AG54" s="28">
        <v>21.121864448486999</v>
      </c>
    </row>
    <row r="55" spans="1:33" x14ac:dyDescent="0.25">
      <c r="A55" s="28"/>
      <c r="B55" s="28" t="s">
        <v>583</v>
      </c>
      <c r="C55" s="28">
        <v>59.016393442622899</v>
      </c>
      <c r="D55" s="28">
        <v>86.6666666666666</v>
      </c>
      <c r="E55" s="28">
        <v>26.865671641791</v>
      </c>
      <c r="F55" s="28">
        <v>76.190476190476105</v>
      </c>
      <c r="G55" s="28">
        <v>57.894736842105203</v>
      </c>
      <c r="H55" s="28">
        <v>82.857142857142804</v>
      </c>
      <c r="I55" s="28">
        <v>55.172413793103402</v>
      </c>
      <c r="J55" s="28">
        <v>70.370370370370296</v>
      </c>
      <c r="K55" s="28">
        <v>51.428571428571402</v>
      </c>
      <c r="L55" s="28">
        <v>46.017699115044202</v>
      </c>
      <c r="M55" s="28">
        <v>61.248014234789402</v>
      </c>
      <c r="N55" s="28">
        <v>18.206298791732198</v>
      </c>
      <c r="O55" s="28"/>
      <c r="P55" s="28"/>
      <c r="Q55" s="28">
        <f t="shared" si="2"/>
        <v>0.87156607071116454</v>
      </c>
      <c r="R55" s="28"/>
      <c r="S55" s="28"/>
      <c r="T55" s="28"/>
      <c r="U55" s="28" t="s">
        <v>583</v>
      </c>
      <c r="V55" s="28">
        <v>55.172413793103402</v>
      </c>
      <c r="W55" s="28">
        <v>50</v>
      </c>
      <c r="X55" s="28">
        <v>60.606060606060602</v>
      </c>
      <c r="Y55" s="28">
        <v>80.952380952380906</v>
      </c>
      <c r="Z55" s="28">
        <v>50</v>
      </c>
      <c r="AA55" s="28">
        <v>61.1111111111111</v>
      </c>
      <c r="AB55" s="28">
        <v>65.517241379310306</v>
      </c>
      <c r="AC55" s="28">
        <v>57.499999999999901</v>
      </c>
      <c r="AD55" s="28">
        <v>47.058823529411697</v>
      </c>
      <c r="AE55" s="28">
        <v>59.375</v>
      </c>
      <c r="AF55" s="28">
        <v>58.729303137137798</v>
      </c>
      <c r="AG55" s="28">
        <v>9.7314932862660406</v>
      </c>
    </row>
    <row r="56" spans="1:33" x14ac:dyDescent="0.25">
      <c r="A56" s="28"/>
      <c r="B56" s="28" t="s">
        <v>584</v>
      </c>
      <c r="C56" s="28">
        <v>21.136944444444399</v>
      </c>
      <c r="D56" s="28">
        <v>22.4638888888888</v>
      </c>
      <c r="E56" s="28">
        <v>21.2419444444444</v>
      </c>
      <c r="F56" s="28">
        <v>22.250277777777701</v>
      </c>
      <c r="G56" s="28">
        <v>22.697222222222202</v>
      </c>
      <c r="H56" s="28">
        <v>22.355277777777701</v>
      </c>
      <c r="I56" s="28">
        <v>22.546388888888799</v>
      </c>
      <c r="J56" s="28">
        <v>19.671111111111099</v>
      </c>
      <c r="K56" s="28">
        <v>22.558611111111102</v>
      </c>
      <c r="L56" s="28">
        <v>22.271388888888801</v>
      </c>
      <c r="M56" s="28">
        <v>21.9193055555555</v>
      </c>
      <c r="N56" s="28">
        <v>0.95757406180813898</v>
      </c>
      <c r="O56" s="28"/>
      <c r="P56" s="28"/>
      <c r="Q56" s="28">
        <f t="shared" si="2"/>
        <v>0.26425974615131009</v>
      </c>
      <c r="R56" s="28"/>
      <c r="S56" s="28"/>
      <c r="T56" s="28"/>
      <c r="U56" s="28" t="s">
        <v>584</v>
      </c>
      <c r="V56" s="28">
        <v>22.717500000000001</v>
      </c>
      <c r="W56" s="28">
        <v>21.198333333333299</v>
      </c>
      <c r="X56" s="28">
        <v>22.237777777777701</v>
      </c>
      <c r="Y56" s="28">
        <v>22.516944444444398</v>
      </c>
      <c r="Z56" s="28">
        <v>22.552777777777699</v>
      </c>
      <c r="AA56" s="28">
        <v>19.676388888888798</v>
      </c>
      <c r="AB56" s="28">
        <v>22.044722222222202</v>
      </c>
      <c r="AC56" s="28">
        <v>21.955555555555499</v>
      </c>
      <c r="AD56" s="28">
        <v>22.4716666666666</v>
      </c>
      <c r="AE56" s="28">
        <v>21.125555555555501</v>
      </c>
      <c r="AF56" s="28">
        <v>21.849722222222201</v>
      </c>
      <c r="AG56" s="28">
        <v>0.93993151072616299</v>
      </c>
    </row>
    <row r="57" spans="1:33" x14ac:dyDescent="0.25">
      <c r="A57" s="28"/>
      <c r="B57" s="28" t="s">
        <v>585</v>
      </c>
      <c r="C57" s="28">
        <v>-0.04</v>
      </c>
      <c r="D57" s="28">
        <v>-0.04</v>
      </c>
      <c r="E57" s="28">
        <v>-4.9999999999999802E-2</v>
      </c>
      <c r="F57" s="28">
        <v>-0.04</v>
      </c>
      <c r="G57" s="28">
        <v>-0.04</v>
      </c>
      <c r="H57" s="28">
        <v>-0.04</v>
      </c>
      <c r="I57" s="28">
        <v>-3.9999999999999501E-2</v>
      </c>
      <c r="J57" s="28">
        <v>-3.00000000000002E-2</v>
      </c>
      <c r="K57" s="28">
        <v>-0.04</v>
      </c>
      <c r="L57" s="28">
        <v>-0.04</v>
      </c>
      <c r="M57" s="28">
        <v>-3.9999999999999897E-2</v>
      </c>
      <c r="N57" s="28">
        <v>4.7140452079102099E-3</v>
      </c>
      <c r="O57" s="28"/>
      <c r="P57" s="28"/>
      <c r="Q57" s="28">
        <f t="shared" si="2"/>
        <v>0.25299590659860072</v>
      </c>
      <c r="R57" s="28"/>
      <c r="S57" s="28"/>
      <c r="T57" s="28"/>
      <c r="U57" s="28" t="s">
        <v>585</v>
      </c>
      <c r="V57" s="28">
        <v>-0.04</v>
      </c>
      <c r="W57" s="28">
        <v>-0.04</v>
      </c>
      <c r="X57" s="28">
        <v>-0.04</v>
      </c>
      <c r="Y57" s="28">
        <v>-3.00000000000002E-2</v>
      </c>
      <c r="Z57" s="28">
        <v>-0.04</v>
      </c>
      <c r="AA57" s="28">
        <v>-3.00000000000002E-2</v>
      </c>
      <c r="AB57" s="28">
        <v>-2.9999999999999801E-2</v>
      </c>
      <c r="AC57" s="28">
        <v>-5.0000000000000197E-2</v>
      </c>
      <c r="AD57" s="28">
        <v>-0.04</v>
      </c>
      <c r="AE57" s="28">
        <v>-2.9999999999999801E-2</v>
      </c>
      <c r="AF57" s="28">
        <v>-3.6999999999999998E-2</v>
      </c>
      <c r="AG57" s="28">
        <v>6.7494855771055799E-3</v>
      </c>
    </row>
    <row r="58" spans="1:33" x14ac:dyDescent="0.25">
      <c r="A58" s="28"/>
      <c r="B58" s="28" t="s">
        <v>586</v>
      </c>
      <c r="C58" s="28">
        <v>-1.89242111626562E-3</v>
      </c>
      <c r="D58" s="28">
        <v>-1.7806355879807099E-3</v>
      </c>
      <c r="E58" s="28">
        <v>-2.35383347935817E-3</v>
      </c>
      <c r="F58" s="28">
        <v>-1.79773036541366E-3</v>
      </c>
      <c r="G58" s="28">
        <v>-1.7623301921429399E-3</v>
      </c>
      <c r="H58" s="28">
        <v>-1.7892866462058401E-3</v>
      </c>
      <c r="I58" s="28">
        <v>-1.77412002414772E-3</v>
      </c>
      <c r="J58" s="28">
        <v>-1.52507907817443E-3</v>
      </c>
      <c r="K58" s="28">
        <v>-1.7731588085357899E-3</v>
      </c>
      <c r="L58" s="28">
        <v>-1.7960262918293201E-3</v>
      </c>
      <c r="M58" s="28">
        <v>-1.8244621590054199E-3</v>
      </c>
      <c r="N58" s="28">
        <v>2.0768316193144699E-4</v>
      </c>
      <c r="O58" s="28"/>
      <c r="P58" s="28"/>
      <c r="Q58" s="28">
        <f t="shared" si="2"/>
        <v>7.1642736435878221E-2</v>
      </c>
      <c r="R58" s="28"/>
      <c r="S58" s="28"/>
      <c r="T58" s="28"/>
      <c r="U58" s="28" t="s">
        <v>586</v>
      </c>
      <c r="V58" s="28">
        <v>-1.7607571255639899E-3</v>
      </c>
      <c r="W58" s="28">
        <v>-1.88694079723248E-3</v>
      </c>
      <c r="X58" s="28">
        <v>-1.79874088138303E-3</v>
      </c>
      <c r="Y58" s="28">
        <v>-1.3323299737235E-3</v>
      </c>
      <c r="Z58" s="28">
        <v>-1.7736174405715E-3</v>
      </c>
      <c r="AA58" s="28">
        <v>-1.52467000776453E-3</v>
      </c>
      <c r="AB58" s="28">
        <v>-1.36086994871535E-3</v>
      </c>
      <c r="AC58" s="28">
        <v>-2.2773279352226801E-3</v>
      </c>
      <c r="AD58" s="28">
        <v>-1.7800192835422399E-3</v>
      </c>
      <c r="AE58" s="28">
        <v>-1.4200809972124201E-3</v>
      </c>
      <c r="AF58" s="28">
        <v>-1.6915354390931699E-3</v>
      </c>
      <c r="AG58" s="28">
        <v>2.8907657885994401E-4</v>
      </c>
    </row>
    <row r="59" spans="1:33" x14ac:dyDescent="0.25">
      <c r="A59" s="28"/>
      <c r="B59" s="28" t="s">
        <v>587</v>
      </c>
      <c r="C59" s="28">
        <v>1.4680851063829701</v>
      </c>
      <c r="D59" s="28">
        <v>1.0909090909090899</v>
      </c>
      <c r="E59" s="28">
        <v>1.36666666666666</v>
      </c>
      <c r="F59" s="28">
        <v>1.8</v>
      </c>
      <c r="G59" s="28">
        <v>1.3333333333333299</v>
      </c>
      <c r="H59" s="28">
        <v>1.2884615384615301</v>
      </c>
      <c r="I59" s="28">
        <v>1.0833333333333299</v>
      </c>
      <c r="J59" s="28">
        <v>1.5714285714285701</v>
      </c>
      <c r="K59" s="28">
        <v>1.36666666666666</v>
      </c>
      <c r="L59" s="28">
        <v>1.46875</v>
      </c>
      <c r="M59" s="28">
        <v>1.3837634307182101</v>
      </c>
      <c r="N59" s="28">
        <v>0.213706990584527</v>
      </c>
      <c r="O59" s="28"/>
      <c r="P59" s="28"/>
      <c r="Q59" s="28">
        <f t="shared" si="2"/>
        <v>0.62783650317020545</v>
      </c>
      <c r="R59" s="28"/>
      <c r="S59" s="28"/>
      <c r="T59" s="28"/>
      <c r="U59" s="28" t="s">
        <v>587</v>
      </c>
      <c r="V59" s="28">
        <v>1.61904761904761</v>
      </c>
      <c r="W59" s="28">
        <v>1.39393939393939</v>
      </c>
      <c r="X59" s="28">
        <v>1.6060606060606</v>
      </c>
      <c r="Y59" s="28">
        <v>1.73684210526315</v>
      </c>
      <c r="Z59" s="28">
        <v>1.5277777777777699</v>
      </c>
      <c r="AA59" s="28">
        <v>1.92</v>
      </c>
      <c r="AB59" s="28">
        <v>1.44444444444444</v>
      </c>
      <c r="AC59" s="28">
        <v>1.5</v>
      </c>
      <c r="AD59" s="28">
        <v>1.2666666666666599</v>
      </c>
      <c r="AE59" s="28">
        <v>1.5230769230769201</v>
      </c>
      <c r="AF59" s="28">
        <v>1.5537855536276499</v>
      </c>
      <c r="AG59" s="28">
        <v>0.18229109153172199</v>
      </c>
    </row>
    <row r="60" spans="1:33" x14ac:dyDescent="0.25">
      <c r="A60" s="28"/>
      <c r="B60" s="28" t="s">
        <v>588</v>
      </c>
      <c r="C60" s="28">
        <v>1</v>
      </c>
      <c r="D60" s="28">
        <v>1</v>
      </c>
      <c r="E60" s="28">
        <v>1</v>
      </c>
      <c r="F60" s="28">
        <v>2</v>
      </c>
      <c r="G60" s="28">
        <v>1</v>
      </c>
      <c r="H60" s="28">
        <v>1</v>
      </c>
      <c r="I60" s="28">
        <v>1</v>
      </c>
      <c r="J60" s="28">
        <v>2</v>
      </c>
      <c r="K60" s="28">
        <v>1</v>
      </c>
      <c r="L60" s="28">
        <v>1</v>
      </c>
      <c r="M60" s="28">
        <v>1.2</v>
      </c>
      <c r="N60" s="28">
        <v>0.42163702135578301</v>
      </c>
      <c r="O60" s="28"/>
      <c r="P60" s="28"/>
      <c r="Q60" s="28" t="e">
        <f t="shared" si="2"/>
        <v>#DIV/0!</v>
      </c>
      <c r="R60" s="28"/>
      <c r="S60" s="28"/>
      <c r="T60" s="28"/>
      <c r="U60" s="28" t="s">
        <v>588</v>
      </c>
      <c r="V60" s="28">
        <v>1</v>
      </c>
      <c r="W60" s="28">
        <v>1</v>
      </c>
      <c r="X60" s="28">
        <v>2</v>
      </c>
      <c r="Y60" s="28">
        <v>2</v>
      </c>
      <c r="Z60" s="28">
        <v>1</v>
      </c>
      <c r="AA60" s="28">
        <v>2</v>
      </c>
      <c r="AB60" s="28">
        <v>1</v>
      </c>
      <c r="AC60" s="28">
        <v>1</v>
      </c>
      <c r="AD60" s="28">
        <v>1</v>
      </c>
      <c r="AE60" s="28">
        <v>1</v>
      </c>
      <c r="AF60" s="28">
        <v>1.3</v>
      </c>
      <c r="AG60" s="28">
        <v>0.483045891539647</v>
      </c>
    </row>
    <row r="61" spans="1:33" x14ac:dyDescent="0.25">
      <c r="A61" s="28"/>
      <c r="B61" s="28" t="s">
        <v>589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/>
      <c r="P61" s="28"/>
      <c r="Q61" s="28" t="e">
        <f t="shared" si="2"/>
        <v>#DIV/0!</v>
      </c>
      <c r="R61" s="28"/>
      <c r="S61" s="28"/>
      <c r="T61" s="28"/>
      <c r="U61" s="28" t="s">
        <v>589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</row>
    <row r="62" spans="1:33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 t="e">
        <f t="shared" si="2"/>
        <v>#DIV/0!</v>
      </c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 t="e">
        <f t="shared" si="2"/>
        <v>#DIV/0!</v>
      </c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 t="e">
        <f t="shared" si="2"/>
        <v>#DIV/0!</v>
      </c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x14ac:dyDescent="0.25">
      <c r="A65" s="49" t="s">
        <v>604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 t="e">
        <f t="shared" si="2"/>
        <v>#DIV/0!</v>
      </c>
      <c r="R65" s="28"/>
      <c r="S65" s="28"/>
      <c r="T65" s="56" t="s">
        <v>605</v>
      </c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x14ac:dyDescent="0.25">
      <c r="A66" s="28"/>
      <c r="B66" s="28" t="s">
        <v>558</v>
      </c>
      <c r="C66" s="28" t="s">
        <v>360</v>
      </c>
      <c r="D66" s="28" t="s">
        <v>410</v>
      </c>
      <c r="E66" s="28" t="s">
        <v>350</v>
      </c>
      <c r="F66" s="28" t="s">
        <v>400</v>
      </c>
      <c r="G66" s="28" t="s">
        <v>370</v>
      </c>
      <c r="H66" s="28" t="s">
        <v>420</v>
      </c>
      <c r="I66" s="28" t="s">
        <v>380</v>
      </c>
      <c r="J66" s="28" t="s">
        <v>430</v>
      </c>
      <c r="K66" s="28" t="s">
        <v>390</v>
      </c>
      <c r="L66" s="28" t="s">
        <v>440</v>
      </c>
      <c r="M66" s="28" t="s">
        <v>559</v>
      </c>
      <c r="N66" s="28" t="s">
        <v>560</v>
      </c>
      <c r="O66" s="28"/>
      <c r="P66" s="28"/>
      <c r="Q66" s="57">
        <f>_xlfn.T.TEST(C67:L67,V67:AE67,2,2)</f>
        <v>1.2899645010440415E-6</v>
      </c>
      <c r="R66" s="28"/>
      <c r="S66" s="28"/>
      <c r="T66" s="28"/>
      <c r="U66" s="28" t="s">
        <v>558</v>
      </c>
      <c r="V66" s="28" t="s">
        <v>248</v>
      </c>
      <c r="W66" s="28" t="s">
        <v>299</v>
      </c>
      <c r="X66" s="28" t="s">
        <v>258</v>
      </c>
      <c r="Y66" s="28" t="s">
        <v>310</v>
      </c>
      <c r="Z66" s="28" t="s">
        <v>268</v>
      </c>
      <c r="AA66" s="28" t="s">
        <v>320</v>
      </c>
      <c r="AB66" s="28" t="s">
        <v>278</v>
      </c>
      <c r="AC66" s="28" t="s">
        <v>330</v>
      </c>
      <c r="AD66" s="28" t="s">
        <v>289</v>
      </c>
      <c r="AE66" s="28" t="s">
        <v>340</v>
      </c>
      <c r="AF66" s="28" t="s">
        <v>559</v>
      </c>
      <c r="AG66" s="28" t="s">
        <v>560</v>
      </c>
    </row>
    <row r="67" spans="1:33" x14ac:dyDescent="0.25">
      <c r="A67" s="28"/>
      <c r="B67" s="28" t="s">
        <v>563</v>
      </c>
      <c r="C67" s="28">
        <v>122</v>
      </c>
      <c r="D67" s="28">
        <v>138</v>
      </c>
      <c r="E67" s="28">
        <v>136</v>
      </c>
      <c r="F67" s="28">
        <v>134</v>
      </c>
      <c r="G67" s="28">
        <v>119</v>
      </c>
      <c r="H67" s="28">
        <v>132</v>
      </c>
      <c r="I67" s="28">
        <v>140</v>
      </c>
      <c r="J67" s="28">
        <v>130</v>
      </c>
      <c r="K67" s="28">
        <v>156</v>
      </c>
      <c r="L67" s="28">
        <v>118</v>
      </c>
      <c r="M67" s="28">
        <v>132.5</v>
      </c>
      <c r="N67" s="28">
        <v>11.3651514141548</v>
      </c>
      <c r="O67" s="28"/>
      <c r="P67" s="28">
        <f>_xlfn.T.TEST(C67:L67,C98:L98,2,2)</f>
        <v>1.7259770259928511E-14</v>
      </c>
      <c r="Q67" s="28">
        <f t="shared" ref="Q67:Q124" si="3">_xlfn.T.TEST(C68:L68,V68:AE68,2,2)</f>
        <v>2.0473062920316906E-4</v>
      </c>
      <c r="R67" s="28">
        <f>_xlfn.T.TEST(V67:AE67,V98:AE98,2,2)</f>
        <v>1.4409547764027124E-14</v>
      </c>
      <c r="S67" s="28"/>
      <c r="T67" s="28"/>
      <c r="U67" s="28" t="s">
        <v>563</v>
      </c>
      <c r="V67" s="28">
        <v>167</v>
      </c>
      <c r="W67" s="28">
        <v>190</v>
      </c>
      <c r="X67" s="28">
        <v>196</v>
      </c>
      <c r="Y67" s="28">
        <v>151</v>
      </c>
      <c r="Z67" s="28">
        <v>218</v>
      </c>
      <c r="AA67" s="28">
        <v>199</v>
      </c>
      <c r="AB67" s="28">
        <v>193</v>
      </c>
      <c r="AC67" s="28">
        <v>208</v>
      </c>
      <c r="AD67" s="28">
        <v>175</v>
      </c>
      <c r="AE67" s="28">
        <v>165</v>
      </c>
      <c r="AF67" s="28">
        <v>186.2</v>
      </c>
      <c r="AG67" s="28">
        <v>21.054426824040799</v>
      </c>
    </row>
    <row r="68" spans="1:33" x14ac:dyDescent="0.25">
      <c r="A68" s="28"/>
      <c r="B68" s="28" t="s">
        <v>564</v>
      </c>
      <c r="C68" s="28">
        <v>82</v>
      </c>
      <c r="D68" s="28">
        <v>74</v>
      </c>
      <c r="E68" s="28">
        <v>85</v>
      </c>
      <c r="F68" s="28">
        <v>81</v>
      </c>
      <c r="G68" s="28">
        <v>88</v>
      </c>
      <c r="H68" s="28">
        <v>74</v>
      </c>
      <c r="I68" s="28">
        <v>80</v>
      </c>
      <c r="J68" s="28">
        <v>79</v>
      </c>
      <c r="K68" s="28">
        <v>101</v>
      </c>
      <c r="L68" s="28">
        <v>77</v>
      </c>
      <c r="M68" s="28">
        <v>82.1</v>
      </c>
      <c r="N68" s="28">
        <v>7.97844317868815</v>
      </c>
      <c r="O68" s="28"/>
      <c r="P68" s="28">
        <f t="shared" ref="P68:P93" si="4">_xlfn.T.TEST(C68:L68,C99:L99,2,2)</f>
        <v>3.6455631316368512E-13</v>
      </c>
      <c r="Q68" s="28">
        <f t="shared" si="3"/>
        <v>2.9799217974734675E-6</v>
      </c>
      <c r="R68" s="28">
        <f t="shared" ref="R68:R93" si="5">_xlfn.T.TEST(V68:AE68,V99:AE99,2,2)</f>
        <v>2.1277938574778714E-12</v>
      </c>
      <c r="S68" s="28"/>
      <c r="T68" s="28"/>
      <c r="U68" s="28" t="s">
        <v>564</v>
      </c>
      <c r="V68" s="28">
        <v>100</v>
      </c>
      <c r="W68" s="28">
        <v>118</v>
      </c>
      <c r="X68" s="28">
        <v>122</v>
      </c>
      <c r="Y68" s="28">
        <v>80</v>
      </c>
      <c r="Z68" s="28">
        <v>143</v>
      </c>
      <c r="AA68" s="28">
        <v>113</v>
      </c>
      <c r="AB68" s="28">
        <v>113</v>
      </c>
      <c r="AC68" s="28">
        <v>123</v>
      </c>
      <c r="AD68" s="28">
        <v>99</v>
      </c>
      <c r="AE68" s="28">
        <v>95</v>
      </c>
      <c r="AF68" s="28">
        <v>110.6</v>
      </c>
      <c r="AG68" s="28">
        <v>17.721299174847299</v>
      </c>
    </row>
    <row r="69" spans="1:33" x14ac:dyDescent="0.25">
      <c r="A69" s="28"/>
      <c r="B69" s="28" t="s">
        <v>565</v>
      </c>
      <c r="C69" s="28">
        <v>40</v>
      </c>
      <c r="D69" s="28">
        <v>64</v>
      </c>
      <c r="E69" s="28">
        <v>51</v>
      </c>
      <c r="F69" s="28">
        <v>53</v>
      </c>
      <c r="G69" s="28">
        <v>31</v>
      </c>
      <c r="H69" s="28">
        <v>58</v>
      </c>
      <c r="I69" s="28">
        <v>60</v>
      </c>
      <c r="J69" s="28">
        <v>51</v>
      </c>
      <c r="K69" s="28">
        <v>55</v>
      </c>
      <c r="L69" s="28">
        <v>42</v>
      </c>
      <c r="M69" s="28">
        <v>50.5</v>
      </c>
      <c r="N69" s="28">
        <v>10.1022549737944</v>
      </c>
      <c r="O69" s="28"/>
      <c r="P69" s="28">
        <f t="shared" si="4"/>
        <v>6.443899871273913E-10</v>
      </c>
      <c r="Q69" s="28">
        <f t="shared" si="3"/>
        <v>1.310424257227246E-6</v>
      </c>
      <c r="R69" s="28">
        <f t="shared" si="5"/>
        <v>6.9746323275981707E-16</v>
      </c>
      <c r="S69" s="28"/>
      <c r="T69" s="28"/>
      <c r="U69" s="28" t="s">
        <v>565</v>
      </c>
      <c r="V69" s="28">
        <v>67</v>
      </c>
      <c r="W69" s="28">
        <v>72</v>
      </c>
      <c r="X69" s="28">
        <v>74</v>
      </c>
      <c r="Y69" s="28">
        <v>71</v>
      </c>
      <c r="Z69" s="28">
        <v>75</v>
      </c>
      <c r="AA69" s="28">
        <v>86</v>
      </c>
      <c r="AB69" s="28">
        <v>80</v>
      </c>
      <c r="AC69" s="28">
        <v>85</v>
      </c>
      <c r="AD69" s="28">
        <v>76</v>
      </c>
      <c r="AE69" s="28">
        <v>70</v>
      </c>
      <c r="AF69" s="28">
        <v>75.599999999999994</v>
      </c>
      <c r="AG69" s="28">
        <v>6.3104851019729198</v>
      </c>
    </row>
    <row r="70" spans="1:33" x14ac:dyDescent="0.25">
      <c r="A70" s="28"/>
      <c r="B70" s="28" t="s">
        <v>566</v>
      </c>
      <c r="C70" s="28">
        <v>5.3236363636363597</v>
      </c>
      <c r="D70" s="28">
        <v>5.9082368051756502</v>
      </c>
      <c r="E70" s="28">
        <v>5.9551901136059504</v>
      </c>
      <c r="F70" s="28">
        <v>5.7318029514507698</v>
      </c>
      <c r="G70" s="28">
        <v>5.22133385335413</v>
      </c>
      <c r="H70" s="28">
        <v>5.6410926055627399</v>
      </c>
      <c r="I70" s="28">
        <v>6.1261699282849102</v>
      </c>
      <c r="J70" s="28">
        <v>5.5872591389890403</v>
      </c>
      <c r="K70" s="28">
        <v>6.8233178626102502</v>
      </c>
      <c r="L70" s="28">
        <v>5.0995786365109597</v>
      </c>
      <c r="M70" s="28">
        <v>5.74176182591808</v>
      </c>
      <c r="N70" s="28">
        <v>0.50365073649449899</v>
      </c>
      <c r="O70" s="28"/>
      <c r="P70" s="28">
        <f t="shared" si="4"/>
        <v>1.9508294422445069E-14</v>
      </c>
      <c r="Q70" s="28">
        <f t="shared" si="3"/>
        <v>5.0154853143426009E-4</v>
      </c>
      <c r="R70" s="28">
        <f t="shared" si="5"/>
        <v>1.263644522769873E-14</v>
      </c>
      <c r="S70" s="28"/>
      <c r="T70" s="28"/>
      <c r="U70" s="28" t="s">
        <v>566</v>
      </c>
      <c r="V70" s="28">
        <v>7.3824844049314704</v>
      </c>
      <c r="W70" s="28">
        <v>8.1803504155952798</v>
      </c>
      <c r="X70" s="28">
        <v>8.5308056872037898</v>
      </c>
      <c r="Y70" s="28">
        <v>6.51939267467798</v>
      </c>
      <c r="Z70" s="28">
        <v>9.4896071389705003</v>
      </c>
      <c r="AA70" s="28">
        <v>8.5082124915380994</v>
      </c>
      <c r="AB70" s="28">
        <v>8.3935345140012991</v>
      </c>
      <c r="AC70" s="28">
        <v>8.9009343128164904</v>
      </c>
      <c r="AD70" s="28">
        <v>7.6403458772450996</v>
      </c>
      <c r="AE70" s="28">
        <v>7.04659770333111</v>
      </c>
      <c r="AF70" s="28">
        <v>8.0592265220311106</v>
      </c>
      <c r="AG70" s="28">
        <v>0.90276212843694303</v>
      </c>
    </row>
    <row r="71" spans="1:33" x14ac:dyDescent="0.25">
      <c r="A71" s="28"/>
      <c r="B71" s="28" t="s">
        <v>567</v>
      </c>
      <c r="C71" s="28">
        <v>7.0379553690635097</v>
      </c>
      <c r="D71" s="28">
        <v>6.2867256637168101</v>
      </c>
      <c r="E71" s="28">
        <v>7.5047824594104</v>
      </c>
      <c r="F71" s="28">
        <v>7.0744074334651499</v>
      </c>
      <c r="G71" s="28">
        <v>7.5493279954246502</v>
      </c>
      <c r="H71" s="28">
        <v>6.2071857961694397</v>
      </c>
      <c r="I71" s="28">
        <v>6.8767908309455503</v>
      </c>
      <c r="J71" s="28">
        <v>6.2272826800963399</v>
      </c>
      <c r="K71" s="28">
        <v>8.2379862700228799</v>
      </c>
      <c r="L71" s="28">
        <v>6.4034743237312002</v>
      </c>
      <c r="M71" s="28">
        <v>6.9405918822045898</v>
      </c>
      <c r="N71" s="28">
        <v>0.68038310230408505</v>
      </c>
      <c r="O71" s="28"/>
      <c r="P71" s="28">
        <f t="shared" si="4"/>
        <v>3.3194724663835E-13</v>
      </c>
      <c r="Q71" s="28">
        <f t="shared" si="3"/>
        <v>1.095543826616924E-6</v>
      </c>
      <c r="R71" s="28">
        <f t="shared" si="5"/>
        <v>8.1484200006225275E-12</v>
      </c>
      <c r="S71" s="28"/>
      <c r="T71" s="28"/>
      <c r="U71" s="28" t="s">
        <v>567</v>
      </c>
      <c r="V71" s="28">
        <v>8.3165846559013108</v>
      </c>
      <c r="W71" s="28">
        <v>10.067782149120699</v>
      </c>
      <c r="X71" s="28">
        <v>10.2784928621577</v>
      </c>
      <c r="Y71" s="28">
        <v>6.5226253567060697</v>
      </c>
      <c r="Z71" s="28">
        <v>12.260061919504601</v>
      </c>
      <c r="AA71" s="28">
        <v>9.5193522721954391</v>
      </c>
      <c r="AB71" s="28">
        <v>9.6404957698414506</v>
      </c>
      <c r="AC71" s="28">
        <v>10.2454938800064</v>
      </c>
      <c r="AD71" s="28">
        <v>8.2051754305184605</v>
      </c>
      <c r="AE71" s="28">
        <v>7.8044773054015204</v>
      </c>
      <c r="AF71" s="28">
        <v>9.2860541601353805</v>
      </c>
      <c r="AG71" s="28">
        <v>1.61524389264544</v>
      </c>
    </row>
    <row r="72" spans="1:33" x14ac:dyDescent="0.25">
      <c r="A72" s="28"/>
      <c r="B72" s="28" t="s">
        <v>568</v>
      </c>
      <c r="C72" s="28">
        <v>3.55064602031758</v>
      </c>
      <c r="D72" s="28">
        <v>5.52372275898444</v>
      </c>
      <c r="E72" s="28">
        <v>4.4305019305019302</v>
      </c>
      <c r="F72" s="28">
        <v>4.4430989916866501</v>
      </c>
      <c r="G72" s="28">
        <v>2.7841532781159501</v>
      </c>
      <c r="H72" s="28">
        <v>5.0531206892379101</v>
      </c>
      <c r="I72" s="28">
        <v>5.3478583807873203</v>
      </c>
      <c r="J72" s="28">
        <v>4.81990969232384</v>
      </c>
      <c r="K72" s="28">
        <v>5.1874557887290704</v>
      </c>
      <c r="L72" s="28">
        <v>3.7788663400979701</v>
      </c>
      <c r="M72" s="28">
        <v>4.4919333870782703</v>
      </c>
      <c r="N72" s="28">
        <v>0.88321420592001998</v>
      </c>
      <c r="O72" s="28"/>
      <c r="P72" s="28">
        <f t="shared" si="4"/>
        <v>5.4490672094110272E-10</v>
      </c>
      <c r="Q72" s="57">
        <f t="shared" si="3"/>
        <v>5.3207979882077625E-3</v>
      </c>
      <c r="R72" s="28">
        <f t="shared" si="5"/>
        <v>9.9719363377067375E-17</v>
      </c>
      <c r="S72" s="28"/>
      <c r="T72" s="28"/>
      <c r="U72" s="28" t="s">
        <v>568</v>
      </c>
      <c r="V72" s="28">
        <v>6.3225772628378198</v>
      </c>
      <c r="W72" s="28">
        <v>6.2576953719127903</v>
      </c>
      <c r="X72" s="28">
        <v>6.6629983492571601</v>
      </c>
      <c r="Y72" s="28">
        <v>6.5157540532272797</v>
      </c>
      <c r="Z72" s="28">
        <v>6.6321141706172702</v>
      </c>
      <c r="AA72" s="28">
        <v>7.4661779246147502</v>
      </c>
      <c r="AB72" s="28">
        <v>7.0969172765579902</v>
      </c>
      <c r="AC72" s="28">
        <v>7.48038233065245</v>
      </c>
      <c r="AD72" s="28">
        <v>7.0116091335434696</v>
      </c>
      <c r="AE72" s="28">
        <v>6.2260654725138904</v>
      </c>
      <c r="AF72" s="28">
        <v>6.7672291345734896</v>
      </c>
      <c r="AG72" s="28">
        <v>0.47235704776191001</v>
      </c>
    </row>
    <row r="73" spans="1:33" x14ac:dyDescent="0.25">
      <c r="A73" s="28"/>
      <c r="B73" s="28" t="s">
        <v>569</v>
      </c>
      <c r="C73" s="28">
        <v>96</v>
      </c>
      <c r="D73" s="28">
        <v>75</v>
      </c>
      <c r="E73" s="28">
        <v>52</v>
      </c>
      <c r="F73" s="28">
        <v>77</v>
      </c>
      <c r="G73" s="28">
        <v>72</v>
      </c>
      <c r="H73" s="28">
        <v>89</v>
      </c>
      <c r="I73" s="28">
        <v>72</v>
      </c>
      <c r="J73" s="28">
        <v>83</v>
      </c>
      <c r="K73" s="28">
        <v>72</v>
      </c>
      <c r="L73" s="28">
        <v>79</v>
      </c>
      <c r="M73" s="28">
        <v>76.7</v>
      </c>
      <c r="N73" s="28">
        <v>11.7761529277509</v>
      </c>
      <c r="O73" s="28"/>
      <c r="P73" s="28">
        <f t="shared" si="4"/>
        <v>4.2139100724405876E-10</v>
      </c>
      <c r="Q73" s="28">
        <f t="shared" si="3"/>
        <v>8.2764342080197062E-2</v>
      </c>
      <c r="R73" s="28">
        <f t="shared" si="5"/>
        <v>3.5617023565826927E-9</v>
      </c>
      <c r="S73" s="28"/>
      <c r="T73" s="28"/>
      <c r="U73" s="28" t="s">
        <v>569</v>
      </c>
      <c r="V73" s="28">
        <v>81</v>
      </c>
      <c r="W73" s="28">
        <v>122</v>
      </c>
      <c r="X73" s="28">
        <v>108</v>
      </c>
      <c r="Y73" s="28">
        <v>115</v>
      </c>
      <c r="Z73" s="28">
        <v>137</v>
      </c>
      <c r="AA73" s="28">
        <v>105</v>
      </c>
      <c r="AB73" s="28">
        <v>99</v>
      </c>
      <c r="AC73" s="28">
        <v>115</v>
      </c>
      <c r="AD73" s="28">
        <v>56</v>
      </c>
      <c r="AE73" s="28">
        <v>88</v>
      </c>
      <c r="AF73" s="28">
        <v>102.6</v>
      </c>
      <c r="AG73" s="28">
        <v>23.013039781827999</v>
      </c>
    </row>
    <row r="74" spans="1:33" x14ac:dyDescent="0.25">
      <c r="A74" s="28"/>
      <c r="B74" s="28" t="s">
        <v>570</v>
      </c>
      <c r="C74" s="28">
        <v>67</v>
      </c>
      <c r="D74" s="28">
        <v>40</v>
      </c>
      <c r="E74" s="28">
        <v>30</v>
      </c>
      <c r="F74" s="28">
        <v>48</v>
      </c>
      <c r="G74" s="28">
        <v>58</v>
      </c>
      <c r="H74" s="28">
        <v>46</v>
      </c>
      <c r="I74" s="28">
        <v>36</v>
      </c>
      <c r="J74" s="28">
        <v>50</v>
      </c>
      <c r="K74" s="28">
        <v>43</v>
      </c>
      <c r="L74" s="28">
        <v>50</v>
      </c>
      <c r="M74" s="28">
        <v>46.8</v>
      </c>
      <c r="N74" s="28">
        <v>10.622826575090199</v>
      </c>
      <c r="O74" s="28"/>
      <c r="P74" s="28">
        <f t="shared" si="4"/>
        <v>1.2576903049197587E-7</v>
      </c>
      <c r="Q74" s="28">
        <f t="shared" si="3"/>
        <v>1.4769955545791812E-3</v>
      </c>
      <c r="R74" s="28">
        <f t="shared" si="5"/>
        <v>3.3533461617293569E-7</v>
      </c>
      <c r="S74" s="28"/>
      <c r="T74" s="28"/>
      <c r="U74" s="28" t="s">
        <v>570</v>
      </c>
      <c r="V74" s="28">
        <v>47</v>
      </c>
      <c r="W74" s="28">
        <v>73</v>
      </c>
      <c r="X74" s="28">
        <v>56</v>
      </c>
      <c r="Y74" s="28">
        <v>58</v>
      </c>
      <c r="Z74" s="28">
        <v>96</v>
      </c>
      <c r="AA74" s="28">
        <v>63</v>
      </c>
      <c r="AB74" s="28">
        <v>55</v>
      </c>
      <c r="AC74" s="28">
        <v>69</v>
      </c>
      <c r="AD74" s="28">
        <v>27</v>
      </c>
      <c r="AE74" s="28">
        <v>47</v>
      </c>
      <c r="AF74" s="28">
        <v>59.1</v>
      </c>
      <c r="AG74" s="28">
        <v>18.3148391566328</v>
      </c>
    </row>
    <row r="75" spans="1:33" x14ac:dyDescent="0.25">
      <c r="A75" s="28"/>
      <c r="B75" s="28" t="s">
        <v>571</v>
      </c>
      <c r="C75" s="28">
        <v>29</v>
      </c>
      <c r="D75" s="28">
        <v>35</v>
      </c>
      <c r="E75" s="28">
        <v>22</v>
      </c>
      <c r="F75" s="28">
        <v>29</v>
      </c>
      <c r="G75" s="28">
        <v>14</v>
      </c>
      <c r="H75" s="28">
        <v>43</v>
      </c>
      <c r="I75" s="28">
        <v>36</v>
      </c>
      <c r="J75" s="28">
        <v>33</v>
      </c>
      <c r="K75" s="28">
        <v>29</v>
      </c>
      <c r="L75" s="28">
        <v>30</v>
      </c>
      <c r="M75" s="28">
        <v>30</v>
      </c>
      <c r="N75" s="28">
        <v>7.9021797274197896</v>
      </c>
      <c r="O75" s="28"/>
      <c r="P75" s="28">
        <f t="shared" si="4"/>
        <v>2.3991632359308961E-7</v>
      </c>
      <c r="Q75" s="28">
        <f t="shared" si="3"/>
        <v>0.53075440098385451</v>
      </c>
      <c r="R75" s="28">
        <f t="shared" si="5"/>
        <v>1.4306025056425021E-9</v>
      </c>
      <c r="S75" s="28"/>
      <c r="T75" s="28"/>
      <c r="U75" s="28" t="s">
        <v>571</v>
      </c>
      <c r="V75" s="28">
        <v>34</v>
      </c>
      <c r="W75" s="28">
        <v>49</v>
      </c>
      <c r="X75" s="28">
        <v>52</v>
      </c>
      <c r="Y75" s="28">
        <v>57</v>
      </c>
      <c r="Z75" s="28">
        <v>41</v>
      </c>
      <c r="AA75" s="28">
        <v>42</v>
      </c>
      <c r="AB75" s="28">
        <v>44</v>
      </c>
      <c r="AC75" s="28">
        <v>46</v>
      </c>
      <c r="AD75" s="28">
        <v>29</v>
      </c>
      <c r="AE75" s="28">
        <v>41</v>
      </c>
      <c r="AF75" s="28">
        <v>43.5</v>
      </c>
      <c r="AG75" s="28">
        <v>8.2090735706831595</v>
      </c>
    </row>
    <row r="76" spans="1:33" x14ac:dyDescent="0.25">
      <c r="A76" s="28"/>
      <c r="B76" s="28" t="s">
        <v>572</v>
      </c>
      <c r="C76" s="28">
        <v>1.2604166666666601</v>
      </c>
      <c r="D76" s="28">
        <v>1.82666666666666</v>
      </c>
      <c r="E76" s="28">
        <v>2.59615384615384</v>
      </c>
      <c r="F76" s="28">
        <v>1.72727272727272</v>
      </c>
      <c r="G76" s="28">
        <v>1.63888888888888</v>
      </c>
      <c r="H76" s="28">
        <v>1.4719101123595499</v>
      </c>
      <c r="I76" s="28">
        <v>1.93055555555555</v>
      </c>
      <c r="J76" s="28">
        <v>1.55421686746987</v>
      </c>
      <c r="K76" s="28">
        <v>2.1527777777777701</v>
      </c>
      <c r="L76" s="28">
        <v>1.48101265822784</v>
      </c>
      <c r="M76" s="28">
        <v>1.7639871767039399</v>
      </c>
      <c r="N76" s="28">
        <v>0.38805801453038902</v>
      </c>
      <c r="O76" s="28"/>
      <c r="P76" s="28">
        <f t="shared" si="4"/>
        <v>1.0382242840280423E-3</v>
      </c>
      <c r="Q76" s="28">
        <f t="shared" si="3"/>
        <v>0.51266355124520313</v>
      </c>
      <c r="R76" s="28">
        <f t="shared" si="5"/>
        <v>6.9917885499659588E-5</v>
      </c>
      <c r="S76" s="28"/>
      <c r="T76" s="28"/>
      <c r="U76" s="28" t="s">
        <v>572</v>
      </c>
      <c r="V76" s="28">
        <v>2.0493827160493798</v>
      </c>
      <c r="W76" s="28">
        <v>1.5491803278688501</v>
      </c>
      <c r="X76" s="28">
        <v>1.80555555555555</v>
      </c>
      <c r="Y76" s="28">
        <v>1.3043478260869501</v>
      </c>
      <c r="Z76" s="28">
        <v>1.58394160583941</v>
      </c>
      <c r="AA76" s="28">
        <v>1.8857142857142799</v>
      </c>
      <c r="AB76" s="28">
        <v>1.9393939393939299</v>
      </c>
      <c r="AC76" s="28">
        <v>1.8</v>
      </c>
      <c r="AD76" s="28">
        <v>3.1071428571428501</v>
      </c>
      <c r="AE76" s="28">
        <v>1.86363636363636</v>
      </c>
      <c r="AF76" s="28">
        <v>1.88882954772876</v>
      </c>
      <c r="AG76" s="28">
        <v>0.48051224724320202</v>
      </c>
    </row>
    <row r="77" spans="1:33" x14ac:dyDescent="0.25">
      <c r="A77" s="28"/>
      <c r="B77" s="28" t="s">
        <v>573</v>
      </c>
      <c r="C77" s="28">
        <v>1.22388059701492</v>
      </c>
      <c r="D77" s="28">
        <v>1.85</v>
      </c>
      <c r="E77" s="28">
        <v>2.8333333333333299</v>
      </c>
      <c r="F77" s="28">
        <v>1.6875</v>
      </c>
      <c r="G77" s="28">
        <v>1.5172413793103401</v>
      </c>
      <c r="H77" s="28">
        <v>1.60869565217391</v>
      </c>
      <c r="I77" s="28">
        <v>2.2222222222222201</v>
      </c>
      <c r="J77" s="28">
        <v>1.58</v>
      </c>
      <c r="K77" s="28">
        <v>2.34883720930232</v>
      </c>
      <c r="L77" s="28">
        <v>1.54</v>
      </c>
      <c r="M77" s="28">
        <v>1.8411710393356999</v>
      </c>
      <c r="N77" s="28">
        <v>0.48418783405230298</v>
      </c>
      <c r="O77" s="28"/>
      <c r="P77" s="28">
        <f t="shared" si="4"/>
        <v>1.0764545469146401E-2</v>
      </c>
      <c r="Q77" s="28">
        <f t="shared" si="3"/>
        <v>0.67495478078638393</v>
      </c>
      <c r="R77" s="28">
        <f t="shared" si="5"/>
        <v>2.1971551570983111E-4</v>
      </c>
      <c r="S77" s="28"/>
      <c r="T77" s="28"/>
      <c r="U77" s="28" t="s">
        <v>573</v>
      </c>
      <c r="V77" s="28">
        <v>2.1276595744680802</v>
      </c>
      <c r="W77" s="28">
        <v>1.61643835616438</v>
      </c>
      <c r="X77" s="28">
        <v>2.1785714285714199</v>
      </c>
      <c r="Y77" s="28">
        <v>1.3793103448275801</v>
      </c>
      <c r="Z77" s="28">
        <v>1.4895833333333299</v>
      </c>
      <c r="AA77" s="28">
        <v>1.7936507936507899</v>
      </c>
      <c r="AB77" s="28">
        <v>2.0545454545454498</v>
      </c>
      <c r="AC77" s="28">
        <v>1.7826086956521701</v>
      </c>
      <c r="AD77" s="28">
        <v>3.6666666666666599</v>
      </c>
      <c r="AE77" s="28">
        <v>2.0212765957446801</v>
      </c>
      <c r="AF77" s="28">
        <v>2.0110311243624501</v>
      </c>
      <c r="AG77" s="28">
        <v>0.64212432798937602</v>
      </c>
    </row>
    <row r="78" spans="1:33" x14ac:dyDescent="0.25">
      <c r="A78" s="28"/>
      <c r="B78" s="28" t="s">
        <v>574</v>
      </c>
      <c r="C78" s="28">
        <v>1.3448275862068899</v>
      </c>
      <c r="D78" s="28">
        <v>1.8</v>
      </c>
      <c r="E78" s="28">
        <v>2.2727272727272698</v>
      </c>
      <c r="F78" s="28">
        <v>1.7931034482758601</v>
      </c>
      <c r="G78" s="28">
        <v>2.1428571428571401</v>
      </c>
      <c r="H78" s="28">
        <v>1.32558139534883</v>
      </c>
      <c r="I78" s="28">
        <v>1.63888888888888</v>
      </c>
      <c r="J78" s="28">
        <v>1.51515151515151</v>
      </c>
      <c r="K78" s="28">
        <v>1.86206896551724</v>
      </c>
      <c r="L78" s="28">
        <v>1.36666666666666</v>
      </c>
      <c r="M78" s="28">
        <v>1.7061872881640301</v>
      </c>
      <c r="N78" s="28">
        <v>0.33066299235413499</v>
      </c>
      <c r="O78" s="28"/>
      <c r="P78" s="28">
        <f t="shared" si="4"/>
        <v>4.252213417921991E-5</v>
      </c>
      <c r="Q78" s="28" t="e">
        <f t="shared" si="3"/>
        <v>#DIV/0!</v>
      </c>
      <c r="R78" s="28">
        <f t="shared" si="5"/>
        <v>2.4660756114064928E-4</v>
      </c>
      <c r="S78" s="28"/>
      <c r="T78" s="28"/>
      <c r="U78" s="28" t="s">
        <v>574</v>
      </c>
      <c r="V78" s="28">
        <v>1.94117647058823</v>
      </c>
      <c r="W78" s="28">
        <v>1.4489795918367301</v>
      </c>
      <c r="X78" s="28">
        <v>1.40384615384615</v>
      </c>
      <c r="Y78" s="28">
        <v>1.2280701754385901</v>
      </c>
      <c r="Z78" s="28">
        <v>1.8048780487804801</v>
      </c>
      <c r="AA78" s="28">
        <v>2.0238095238095202</v>
      </c>
      <c r="AB78" s="28">
        <v>1.7954545454545401</v>
      </c>
      <c r="AC78" s="28">
        <v>1.8260869565217299</v>
      </c>
      <c r="AD78" s="28">
        <v>2.5862068965517202</v>
      </c>
      <c r="AE78" s="28">
        <v>1.68292682926829</v>
      </c>
      <c r="AF78" s="28">
        <v>1.7741435192096</v>
      </c>
      <c r="AG78" s="28">
        <v>0.38051795710401898</v>
      </c>
    </row>
    <row r="79" spans="1:33" x14ac:dyDescent="0.25">
      <c r="A79" s="28"/>
      <c r="B79" s="28" t="s">
        <v>575</v>
      </c>
      <c r="C79" s="28">
        <v>100</v>
      </c>
      <c r="D79" s="28">
        <v>100</v>
      </c>
      <c r="E79" s="28">
        <v>100</v>
      </c>
      <c r="F79" s="28">
        <v>100</v>
      </c>
      <c r="G79" s="28">
        <v>100</v>
      </c>
      <c r="H79" s="28">
        <v>100</v>
      </c>
      <c r="I79" s="28">
        <v>100</v>
      </c>
      <c r="J79" s="28">
        <v>100</v>
      </c>
      <c r="K79" s="28">
        <v>100</v>
      </c>
      <c r="L79" s="28">
        <v>100</v>
      </c>
      <c r="M79" s="28">
        <v>100</v>
      </c>
      <c r="N79" s="28">
        <v>0</v>
      </c>
      <c r="O79" s="28"/>
      <c r="P79" s="28" t="e">
        <f t="shared" si="4"/>
        <v>#DIV/0!</v>
      </c>
      <c r="Q79" s="28" t="e">
        <f t="shared" si="3"/>
        <v>#DIV/0!</v>
      </c>
      <c r="R79" s="28" t="e">
        <f t="shared" si="5"/>
        <v>#DIV/0!</v>
      </c>
      <c r="S79" s="28"/>
      <c r="T79" s="28"/>
      <c r="U79" s="28" t="s">
        <v>575</v>
      </c>
      <c r="V79" s="28">
        <v>100</v>
      </c>
      <c r="W79" s="28">
        <v>100</v>
      </c>
      <c r="X79" s="28">
        <v>100</v>
      </c>
      <c r="Y79" s="28">
        <v>100</v>
      </c>
      <c r="Z79" s="28">
        <v>100</v>
      </c>
      <c r="AA79" s="28">
        <v>100</v>
      </c>
      <c r="AB79" s="28">
        <v>100</v>
      </c>
      <c r="AC79" s="28">
        <v>100</v>
      </c>
      <c r="AD79" s="28">
        <v>100</v>
      </c>
      <c r="AE79" s="28">
        <v>100</v>
      </c>
      <c r="AF79" s="28">
        <v>100</v>
      </c>
      <c r="AG79" s="28">
        <v>0</v>
      </c>
    </row>
    <row r="80" spans="1:33" x14ac:dyDescent="0.25">
      <c r="A80" s="28"/>
      <c r="B80" s="28" t="s">
        <v>576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100</v>
      </c>
      <c r="N80" s="28">
        <v>0</v>
      </c>
      <c r="O80" s="28"/>
      <c r="P80" s="28" t="e">
        <f t="shared" si="4"/>
        <v>#DIV/0!</v>
      </c>
      <c r="Q80" s="28" t="e">
        <f t="shared" si="3"/>
        <v>#DIV/0!</v>
      </c>
      <c r="R80" s="28" t="e">
        <f t="shared" si="5"/>
        <v>#DIV/0!</v>
      </c>
      <c r="S80" s="28"/>
      <c r="T80" s="28"/>
      <c r="U80" s="28" t="s">
        <v>576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100</v>
      </c>
      <c r="AF80" s="28">
        <v>100</v>
      </c>
      <c r="AG80" s="28">
        <v>0</v>
      </c>
    </row>
    <row r="81" spans="1:33" x14ac:dyDescent="0.25">
      <c r="A81" s="28"/>
      <c r="B81" s="28" t="s">
        <v>577</v>
      </c>
      <c r="C81" s="28">
        <v>100</v>
      </c>
      <c r="D81" s="28">
        <v>100</v>
      </c>
      <c r="E81" s="28">
        <v>100</v>
      </c>
      <c r="F81" s="28">
        <v>100</v>
      </c>
      <c r="G81" s="28">
        <v>100</v>
      </c>
      <c r="H81" s="28">
        <v>100</v>
      </c>
      <c r="I81" s="28">
        <v>100</v>
      </c>
      <c r="J81" s="28">
        <v>100</v>
      </c>
      <c r="K81" s="28">
        <v>100</v>
      </c>
      <c r="L81" s="28">
        <v>100</v>
      </c>
      <c r="M81" s="28">
        <v>100</v>
      </c>
      <c r="N81" s="28">
        <v>0</v>
      </c>
      <c r="O81" s="28"/>
      <c r="P81" s="28" t="e">
        <f t="shared" si="4"/>
        <v>#DIV/0!</v>
      </c>
      <c r="Q81" s="28">
        <f t="shared" si="3"/>
        <v>8.8568252914694511E-6</v>
      </c>
      <c r="R81" s="28">
        <f t="shared" si="5"/>
        <v>0.33056493127818387</v>
      </c>
      <c r="S81" s="28"/>
      <c r="T81" s="28"/>
      <c r="U81" s="28" t="s">
        <v>577</v>
      </c>
      <c r="V81" s="28">
        <v>100</v>
      </c>
      <c r="W81" s="28">
        <v>100</v>
      </c>
      <c r="X81" s="28">
        <v>100</v>
      </c>
      <c r="Y81" s="28">
        <v>100</v>
      </c>
      <c r="Z81" s="28">
        <v>100</v>
      </c>
      <c r="AA81" s="28">
        <v>100</v>
      </c>
      <c r="AB81" s="28">
        <v>100</v>
      </c>
      <c r="AC81" s="28">
        <v>100</v>
      </c>
      <c r="AD81" s="28">
        <v>100</v>
      </c>
      <c r="AE81" s="28">
        <v>100</v>
      </c>
      <c r="AF81" s="28">
        <v>100</v>
      </c>
      <c r="AG81" s="28">
        <v>0</v>
      </c>
    </row>
    <row r="82" spans="1:33" x14ac:dyDescent="0.25">
      <c r="A82" s="28"/>
      <c r="B82" s="28" t="s">
        <v>578</v>
      </c>
      <c r="C82" s="28">
        <v>199</v>
      </c>
      <c r="D82" s="28">
        <v>191</v>
      </c>
      <c r="E82" s="28">
        <v>181</v>
      </c>
      <c r="F82" s="28">
        <v>159</v>
      </c>
      <c r="G82" s="28">
        <v>146</v>
      </c>
      <c r="H82" s="28">
        <v>187</v>
      </c>
      <c r="I82" s="28">
        <v>174</v>
      </c>
      <c r="J82" s="28">
        <v>153</v>
      </c>
      <c r="K82" s="28">
        <v>189</v>
      </c>
      <c r="L82" s="28">
        <v>174</v>
      </c>
      <c r="M82" s="28">
        <v>175.3</v>
      </c>
      <c r="N82" s="28">
        <v>17.607132393183999</v>
      </c>
      <c r="O82" s="28"/>
      <c r="P82" s="28">
        <f t="shared" si="4"/>
        <v>1.6471984485271728E-8</v>
      </c>
      <c r="Q82" s="28">
        <f t="shared" si="3"/>
        <v>3.6866148443420645E-4</v>
      </c>
      <c r="R82" s="28">
        <f t="shared" si="5"/>
        <v>6.852649320580602E-9</v>
      </c>
      <c r="S82" s="28"/>
      <c r="T82" s="28"/>
      <c r="U82" s="28" t="s">
        <v>578</v>
      </c>
      <c r="V82" s="28">
        <v>256</v>
      </c>
      <c r="W82" s="28">
        <v>245</v>
      </c>
      <c r="X82" s="28">
        <v>301</v>
      </c>
      <c r="Y82" s="28">
        <v>228</v>
      </c>
      <c r="Z82" s="28">
        <v>327</v>
      </c>
      <c r="AA82" s="28">
        <v>334</v>
      </c>
      <c r="AB82" s="28">
        <v>275</v>
      </c>
      <c r="AC82" s="28">
        <v>260</v>
      </c>
      <c r="AD82" s="28">
        <v>194</v>
      </c>
      <c r="AE82" s="28">
        <v>246</v>
      </c>
      <c r="AF82" s="28">
        <v>266.60000000000002</v>
      </c>
      <c r="AG82" s="28">
        <v>43.782797230571397</v>
      </c>
    </row>
    <row r="83" spans="1:33" x14ac:dyDescent="0.25">
      <c r="A83" s="28"/>
      <c r="B83" s="28" t="s">
        <v>579</v>
      </c>
      <c r="C83" s="28">
        <v>120</v>
      </c>
      <c r="D83" s="28">
        <v>89</v>
      </c>
      <c r="E83" s="28">
        <v>95</v>
      </c>
      <c r="F83" s="28">
        <v>90</v>
      </c>
      <c r="G83" s="28">
        <v>109</v>
      </c>
      <c r="H83" s="28">
        <v>96</v>
      </c>
      <c r="I83" s="28">
        <v>87</v>
      </c>
      <c r="J83" s="28">
        <v>90</v>
      </c>
      <c r="K83" s="28">
        <v>106</v>
      </c>
      <c r="L83" s="28">
        <v>92</v>
      </c>
      <c r="M83" s="28">
        <v>97.4</v>
      </c>
      <c r="N83" s="28">
        <v>10.772392698209799</v>
      </c>
      <c r="O83" s="28"/>
      <c r="P83" s="28">
        <f t="shared" si="4"/>
        <v>2.4818757678622244E-7</v>
      </c>
      <c r="Q83" s="28">
        <f t="shared" si="3"/>
        <v>5.540107975424289E-5</v>
      </c>
      <c r="R83" s="28">
        <f t="shared" si="5"/>
        <v>4.7407481023144618E-7</v>
      </c>
      <c r="S83" s="28"/>
      <c r="T83" s="28"/>
      <c r="U83" s="28" t="s">
        <v>579</v>
      </c>
      <c r="V83" s="28">
        <v>146</v>
      </c>
      <c r="W83" s="28">
        <v>140</v>
      </c>
      <c r="X83" s="28">
        <v>165</v>
      </c>
      <c r="Y83" s="28">
        <v>112</v>
      </c>
      <c r="Z83" s="28">
        <v>212</v>
      </c>
      <c r="AA83" s="28">
        <v>202</v>
      </c>
      <c r="AB83" s="28">
        <v>132</v>
      </c>
      <c r="AC83" s="28">
        <v>148</v>
      </c>
      <c r="AD83" s="28">
        <v>106</v>
      </c>
      <c r="AE83" s="28">
        <v>123</v>
      </c>
      <c r="AF83" s="28">
        <v>148.6</v>
      </c>
      <c r="AG83" s="28">
        <v>35.443852311320001</v>
      </c>
    </row>
    <row r="84" spans="1:33" x14ac:dyDescent="0.25">
      <c r="A84" s="28"/>
      <c r="B84" s="28" t="s">
        <v>580</v>
      </c>
      <c r="C84" s="28">
        <v>78</v>
      </c>
      <c r="D84" s="28">
        <v>101</v>
      </c>
      <c r="E84" s="28">
        <v>85</v>
      </c>
      <c r="F84" s="28">
        <v>68</v>
      </c>
      <c r="G84" s="28">
        <v>36</v>
      </c>
      <c r="H84" s="28">
        <v>90</v>
      </c>
      <c r="I84" s="28">
        <v>86</v>
      </c>
      <c r="J84" s="28">
        <v>62</v>
      </c>
      <c r="K84" s="28">
        <v>82</v>
      </c>
      <c r="L84" s="28">
        <v>81</v>
      </c>
      <c r="M84" s="28">
        <v>76.900000000000006</v>
      </c>
      <c r="N84" s="28">
        <v>18.008948393013402</v>
      </c>
      <c r="O84" s="28"/>
      <c r="P84" s="28">
        <f t="shared" si="4"/>
        <v>3.4097588052763733E-4</v>
      </c>
      <c r="Q84" s="28">
        <f t="shared" si="3"/>
        <v>0.37059287040813282</v>
      </c>
      <c r="R84" s="28">
        <f t="shared" si="5"/>
        <v>2.980715988207762E-9</v>
      </c>
      <c r="S84" s="28"/>
      <c r="T84" s="28"/>
      <c r="U84" s="28" t="s">
        <v>580</v>
      </c>
      <c r="V84" s="28">
        <v>109</v>
      </c>
      <c r="W84" s="28">
        <v>104</v>
      </c>
      <c r="X84" s="28">
        <v>135</v>
      </c>
      <c r="Y84" s="28">
        <v>115</v>
      </c>
      <c r="Z84" s="28">
        <v>114</v>
      </c>
      <c r="AA84" s="28">
        <v>131</v>
      </c>
      <c r="AB84" s="28">
        <v>142</v>
      </c>
      <c r="AC84" s="28">
        <v>111</v>
      </c>
      <c r="AD84" s="28">
        <v>87</v>
      </c>
      <c r="AE84" s="28">
        <v>122</v>
      </c>
      <c r="AF84" s="28">
        <v>117</v>
      </c>
      <c r="AG84" s="28">
        <v>16.165807537309501</v>
      </c>
    </row>
    <row r="85" spans="1:33" x14ac:dyDescent="0.25">
      <c r="A85" s="28"/>
      <c r="B85" s="28" t="s">
        <v>581</v>
      </c>
      <c r="C85" s="28">
        <v>6.9849246231155704E-3</v>
      </c>
      <c r="D85" s="28">
        <v>8.42931937172774E-3</v>
      </c>
      <c r="E85" s="28">
        <v>8.0662983425414305E-3</v>
      </c>
      <c r="F85" s="28">
        <v>8.9308176100628897E-3</v>
      </c>
      <c r="G85" s="28">
        <v>8.4931506849315001E-3</v>
      </c>
      <c r="H85" s="28">
        <v>8.4491978609625602E-3</v>
      </c>
      <c r="I85" s="28">
        <v>9.0804597701149396E-3</v>
      </c>
      <c r="J85" s="28">
        <v>9.0849673202614296E-3</v>
      </c>
      <c r="K85" s="28">
        <v>9.1534391534391496E-3</v>
      </c>
      <c r="L85" s="28">
        <v>7.5862068965517199E-3</v>
      </c>
      <c r="M85" s="28">
        <v>8.4258781633708892E-3</v>
      </c>
      <c r="N85" s="28">
        <v>7.1203606861861403E-4</v>
      </c>
      <c r="O85" s="28"/>
      <c r="P85" s="28">
        <f t="shared" si="4"/>
        <v>7.6157352521395887E-8</v>
      </c>
      <c r="Q85" s="28">
        <f t="shared" si="3"/>
        <v>7.1851629348124696E-2</v>
      </c>
      <c r="R85" s="28">
        <f t="shared" si="5"/>
        <v>5.1294806324950154E-9</v>
      </c>
      <c r="S85" s="28"/>
      <c r="T85" s="28"/>
      <c r="U85" s="28" t="s">
        <v>581</v>
      </c>
      <c r="V85" s="28">
        <v>8.0859374999999994E-3</v>
      </c>
      <c r="W85" s="28">
        <v>8.4897959183673401E-3</v>
      </c>
      <c r="X85" s="28">
        <v>7.8737541528239204E-3</v>
      </c>
      <c r="Y85" s="28">
        <v>7.4122807017543797E-3</v>
      </c>
      <c r="Z85" s="28">
        <v>8.1345565749235405E-3</v>
      </c>
      <c r="AA85" s="28">
        <v>8.5029940119760398E-3</v>
      </c>
      <c r="AB85" s="28">
        <v>8.1090909090909095E-3</v>
      </c>
      <c r="AC85" s="28">
        <v>8.4230769230769203E-3</v>
      </c>
      <c r="AD85" s="28">
        <v>9.2268041237113397E-3</v>
      </c>
      <c r="AE85" s="28">
        <v>7.3983739837398298E-3</v>
      </c>
      <c r="AF85" s="28">
        <v>8.1656664799464197E-3</v>
      </c>
      <c r="AG85" s="28">
        <v>5.4397600394975995E-4</v>
      </c>
    </row>
    <row r="86" spans="1:33" x14ac:dyDescent="0.25">
      <c r="A86" s="28"/>
      <c r="B86" s="28" t="s">
        <v>582</v>
      </c>
      <c r="C86" s="28">
        <v>72.5</v>
      </c>
      <c r="D86" s="28">
        <v>87.640449438202197</v>
      </c>
      <c r="E86" s="28">
        <v>92.631578947368396</v>
      </c>
      <c r="F86" s="28">
        <v>92.2222222222222</v>
      </c>
      <c r="G86" s="28">
        <v>84.403669724770594</v>
      </c>
      <c r="H86" s="28">
        <v>89.5833333333333</v>
      </c>
      <c r="I86" s="28">
        <v>96.551724137931004</v>
      </c>
      <c r="J86" s="28">
        <v>93.3333333333333</v>
      </c>
      <c r="K86" s="28">
        <v>97.169811320754704</v>
      </c>
      <c r="L86" s="28">
        <v>92.391304347826093</v>
      </c>
      <c r="M86" s="28">
        <v>89.842742680574204</v>
      </c>
      <c r="N86" s="28">
        <v>7.19634872217304</v>
      </c>
      <c r="O86" s="28"/>
      <c r="P86" s="28">
        <f t="shared" si="4"/>
        <v>7.6924497285860276E-8</v>
      </c>
      <c r="Q86" s="28">
        <f t="shared" si="3"/>
        <v>0.88900348044623501</v>
      </c>
      <c r="R86" s="28">
        <f t="shared" si="5"/>
        <v>1.7339692206673471E-8</v>
      </c>
      <c r="S86" s="28"/>
      <c r="T86" s="28"/>
      <c r="U86" s="28" t="s">
        <v>582</v>
      </c>
      <c r="V86" s="28">
        <v>76.027397260273901</v>
      </c>
      <c r="W86" s="28">
        <v>86.428571428571402</v>
      </c>
      <c r="X86" s="28">
        <v>87.878787878787804</v>
      </c>
      <c r="Y86" s="28">
        <v>75</v>
      </c>
      <c r="Z86" s="28">
        <v>82.075471698113205</v>
      </c>
      <c r="AA86" s="28">
        <v>87.623762376237593</v>
      </c>
      <c r="AB86" s="28">
        <v>87.121212121212096</v>
      </c>
      <c r="AC86" s="28">
        <v>85.135135135135101</v>
      </c>
      <c r="AD86" s="28">
        <v>95.283018867924497</v>
      </c>
      <c r="AE86" s="28">
        <v>78.048780487804805</v>
      </c>
      <c r="AF86" s="28">
        <v>84.062213725405996</v>
      </c>
      <c r="AG86" s="28">
        <v>6.2898165654456797</v>
      </c>
    </row>
    <row r="87" spans="1:33" x14ac:dyDescent="0.25">
      <c r="A87" s="28"/>
      <c r="B87" s="28" t="s">
        <v>583</v>
      </c>
      <c r="C87" s="28">
        <v>69.230769230769198</v>
      </c>
      <c r="D87" s="28">
        <v>84.158415841584102</v>
      </c>
      <c r="E87" s="28">
        <v>70.588235294117595</v>
      </c>
      <c r="F87" s="28">
        <v>89.705882352941103</v>
      </c>
      <c r="G87" s="28">
        <v>94.4444444444444</v>
      </c>
      <c r="H87" s="28">
        <v>82.2222222222222</v>
      </c>
      <c r="I87" s="28">
        <v>87.209302325581305</v>
      </c>
      <c r="J87" s="28">
        <v>91.935483870967701</v>
      </c>
      <c r="K87" s="28">
        <v>87.804878048780495</v>
      </c>
      <c r="L87" s="28">
        <v>60.493827160493801</v>
      </c>
      <c r="M87" s="28">
        <v>81.779346079190205</v>
      </c>
      <c r="N87" s="28">
        <v>11.224034026615399</v>
      </c>
      <c r="O87" s="28"/>
      <c r="P87" s="28">
        <f t="shared" si="4"/>
        <v>1.8859026461080859E-4</v>
      </c>
      <c r="Q87" s="28">
        <f t="shared" si="3"/>
        <v>0.84398070042432749</v>
      </c>
      <c r="R87" s="28">
        <f t="shared" si="5"/>
        <v>2.6483687819008891E-6</v>
      </c>
      <c r="S87" s="28"/>
      <c r="T87" s="28"/>
      <c r="U87" s="28" t="s">
        <v>583</v>
      </c>
      <c r="V87" s="28">
        <v>88.9908256880734</v>
      </c>
      <c r="W87" s="28">
        <v>85.576923076922995</v>
      </c>
      <c r="X87" s="28">
        <v>69.629629629629605</v>
      </c>
      <c r="Y87" s="28">
        <v>74.782608695652101</v>
      </c>
      <c r="Z87" s="28">
        <v>82.456140350877106</v>
      </c>
      <c r="AA87" s="28">
        <v>83.206106870228993</v>
      </c>
      <c r="AB87" s="28">
        <v>77.464788732394297</v>
      </c>
      <c r="AC87" s="28">
        <v>85.585585585585505</v>
      </c>
      <c r="AD87" s="28">
        <v>91.954022988505699</v>
      </c>
      <c r="AE87" s="28">
        <v>72.131147540983605</v>
      </c>
      <c r="AF87" s="28">
        <v>81.177777915885301</v>
      </c>
      <c r="AG87" s="28">
        <v>7.3905831737453296</v>
      </c>
    </row>
    <row r="88" spans="1:33" x14ac:dyDescent="0.25">
      <c r="A88" s="28"/>
      <c r="B88" s="28" t="s">
        <v>584</v>
      </c>
      <c r="C88" s="28">
        <v>22.9166666666666</v>
      </c>
      <c r="D88" s="28">
        <v>23.357222222222202</v>
      </c>
      <c r="E88" s="28">
        <v>22.837222222222199</v>
      </c>
      <c r="F88" s="28">
        <v>23.378333333333298</v>
      </c>
      <c r="G88" s="28">
        <v>22.7911111111111</v>
      </c>
      <c r="H88" s="28">
        <v>23.399722222222199</v>
      </c>
      <c r="I88" s="28">
        <v>22.8527777777777</v>
      </c>
      <c r="J88" s="28">
        <v>23.267222222222198</v>
      </c>
      <c r="K88" s="28">
        <v>22.862777777777701</v>
      </c>
      <c r="L88" s="28">
        <v>23.1391666666666</v>
      </c>
      <c r="M88" s="28">
        <v>23.080222222222201</v>
      </c>
      <c r="N88" s="28">
        <v>0.252657134417408</v>
      </c>
      <c r="O88" s="28"/>
      <c r="P88" s="28">
        <f t="shared" si="4"/>
        <v>6.6296942369536274E-2</v>
      </c>
      <c r="Q88" s="28">
        <f t="shared" si="3"/>
        <v>0.98592381432755327</v>
      </c>
      <c r="R88" s="28">
        <f t="shared" si="5"/>
        <v>0.25071364620232234</v>
      </c>
      <c r="S88" s="28"/>
      <c r="T88" s="28"/>
      <c r="U88" s="28" t="s">
        <v>584</v>
      </c>
      <c r="V88" s="28">
        <v>22.621111111111102</v>
      </c>
      <c r="W88" s="28">
        <v>23.226388888888799</v>
      </c>
      <c r="X88" s="28">
        <v>22.975555555555498</v>
      </c>
      <c r="Y88" s="28">
        <v>23.161666666666601</v>
      </c>
      <c r="Z88" s="28">
        <v>22.9725</v>
      </c>
      <c r="AA88" s="28">
        <v>23.3891666666666</v>
      </c>
      <c r="AB88" s="28">
        <v>22.993888888888801</v>
      </c>
      <c r="AC88" s="28">
        <v>23.3683333333333</v>
      </c>
      <c r="AD88" s="28">
        <v>22.904722222222201</v>
      </c>
      <c r="AE88" s="28">
        <v>23.4155555555555</v>
      </c>
      <c r="AF88" s="28">
        <v>23.102888888888799</v>
      </c>
      <c r="AG88" s="28">
        <v>0.25502922181203402</v>
      </c>
    </row>
    <row r="89" spans="1:33" x14ac:dyDescent="0.25">
      <c r="A89" s="28"/>
      <c r="B89" s="28" t="s">
        <v>585</v>
      </c>
      <c r="C89" s="28">
        <v>-0.04</v>
      </c>
      <c r="D89" s="28">
        <v>0.45</v>
      </c>
      <c r="E89" s="28">
        <v>-4.9999999999999802E-2</v>
      </c>
      <c r="F89" s="28">
        <v>0.45999999999999902</v>
      </c>
      <c r="G89" s="28">
        <v>-5.0000000000000197E-2</v>
      </c>
      <c r="H89" s="28">
        <v>0.42</v>
      </c>
      <c r="I89" s="28">
        <v>-6.9999999999999798E-2</v>
      </c>
      <c r="J89" s="28">
        <v>0.44</v>
      </c>
      <c r="K89" s="28">
        <v>0.36</v>
      </c>
      <c r="L89" s="28">
        <v>-6.0000000000000497E-2</v>
      </c>
      <c r="M89" s="28">
        <v>0.186</v>
      </c>
      <c r="N89" s="28">
        <v>0.25447986167867898</v>
      </c>
      <c r="O89" s="28"/>
      <c r="P89" s="28">
        <f t="shared" si="4"/>
        <v>0.24644672379185018</v>
      </c>
      <c r="Q89" s="28">
        <f t="shared" si="3"/>
        <v>0.98506614500670941</v>
      </c>
      <c r="R89" s="28">
        <f t="shared" si="5"/>
        <v>0.66680393953076522</v>
      </c>
      <c r="S89" s="28"/>
      <c r="T89" s="28"/>
      <c r="U89" s="28" t="s">
        <v>585</v>
      </c>
      <c r="V89" s="28">
        <v>-4.9999999999999802E-2</v>
      </c>
      <c r="W89" s="28">
        <v>0.41</v>
      </c>
      <c r="X89" s="28">
        <v>0.36</v>
      </c>
      <c r="Y89" s="28">
        <v>9.9999999999997799E-3</v>
      </c>
      <c r="Z89" s="28">
        <v>-6.9999999999999798E-2</v>
      </c>
      <c r="AA89" s="28">
        <v>0.43</v>
      </c>
      <c r="AB89" s="28">
        <v>-0.08</v>
      </c>
      <c r="AC89" s="28">
        <v>0.47999999999999898</v>
      </c>
      <c r="AD89" s="28">
        <v>-0.04</v>
      </c>
      <c r="AE89" s="28">
        <v>0.38999999999999901</v>
      </c>
      <c r="AF89" s="28">
        <v>0.184</v>
      </c>
      <c r="AG89" s="28">
        <v>0.24541121952076</v>
      </c>
    </row>
    <row r="90" spans="1:33" x14ac:dyDescent="0.25">
      <c r="A90" s="28"/>
      <c r="B90" s="28" t="s">
        <v>586</v>
      </c>
      <c r="C90" s="28">
        <v>-1.7454545454545401E-3</v>
      </c>
      <c r="D90" s="28">
        <v>1.9265989582094498E-2</v>
      </c>
      <c r="E90" s="28">
        <v>-2.1894081300021799E-3</v>
      </c>
      <c r="F90" s="28">
        <v>1.96763384900548E-2</v>
      </c>
      <c r="G90" s="28">
        <v>-2.1938377535101498E-3</v>
      </c>
      <c r="H90" s="28">
        <v>1.79489310176996E-2</v>
      </c>
      <c r="I90" s="28">
        <v>-3.0630849641424501E-3</v>
      </c>
      <c r="J90" s="28">
        <v>1.8910723239655199E-2</v>
      </c>
      <c r="K90" s="28">
        <v>1.5746118144485202E-2</v>
      </c>
      <c r="L90" s="28">
        <v>-2.5930060863615201E-3</v>
      </c>
      <c r="M90" s="28">
        <v>7.9763308994518604E-3</v>
      </c>
      <c r="N90" s="28">
        <v>1.0947334192001499E-2</v>
      </c>
      <c r="O90" s="28"/>
      <c r="P90" s="28">
        <f t="shared" si="4"/>
        <v>0.28959479734901505</v>
      </c>
      <c r="Q90" s="28">
        <f t="shared" si="3"/>
        <v>3.7106568570769029E-2</v>
      </c>
      <c r="R90" s="28">
        <f t="shared" si="5"/>
        <v>0.68560894490484692</v>
      </c>
      <c r="S90" s="28"/>
      <c r="T90" s="28"/>
      <c r="U90" s="28" t="s">
        <v>586</v>
      </c>
      <c r="V90" s="28">
        <v>-2.2103246721351601E-3</v>
      </c>
      <c r="W90" s="28">
        <v>1.76523351073372E-2</v>
      </c>
      <c r="X90" s="28">
        <v>1.5668826772415101E-2</v>
      </c>
      <c r="Y90" s="28">
        <v>4.3174785925018799E-4</v>
      </c>
      <c r="Z90" s="28">
        <v>-3.04712155838501E-3</v>
      </c>
      <c r="AA90" s="28">
        <v>1.8384579755584801E-2</v>
      </c>
      <c r="AB90" s="28">
        <v>-3.4791852907777401E-3</v>
      </c>
      <c r="AC90" s="28">
        <v>2.0540617644961099E-2</v>
      </c>
      <c r="AD90" s="28">
        <v>-1.7463647719417399E-3</v>
      </c>
      <c r="AE90" s="28">
        <v>1.6655594571509901E-2</v>
      </c>
      <c r="AF90" s="28">
        <v>7.8850705417818703E-3</v>
      </c>
      <c r="AG90" s="28">
        <v>1.0552533558868499E-2</v>
      </c>
    </row>
    <row r="91" spans="1:33" x14ac:dyDescent="0.25">
      <c r="A91" s="28"/>
      <c r="B91" s="28" t="s">
        <v>587</v>
      </c>
      <c r="C91" s="28">
        <v>1.64754098360655</v>
      </c>
      <c r="D91" s="28">
        <v>1.48550724637681</v>
      </c>
      <c r="E91" s="28">
        <v>1.29411764705882</v>
      </c>
      <c r="F91" s="28">
        <v>1.46268656716417</v>
      </c>
      <c r="G91" s="28">
        <v>1.21848739495798</v>
      </c>
      <c r="H91" s="28">
        <v>1.3181818181818099</v>
      </c>
      <c r="I91" s="28">
        <v>1.28571428571428</v>
      </c>
      <c r="J91" s="28">
        <v>1.6769230769230701</v>
      </c>
      <c r="K91" s="28">
        <v>1.55128205128205</v>
      </c>
      <c r="L91" s="28">
        <v>1.5423728813559301</v>
      </c>
      <c r="M91" s="28">
        <v>1.4482813952621501</v>
      </c>
      <c r="N91" s="28">
        <v>0.16088737499797101</v>
      </c>
      <c r="O91" s="28"/>
      <c r="P91" s="28">
        <f t="shared" si="4"/>
        <v>0.64669821977922837</v>
      </c>
      <c r="Q91" s="28">
        <f t="shared" si="3"/>
        <v>0.66005565318958825</v>
      </c>
      <c r="R91" s="28">
        <f t="shared" si="5"/>
        <v>0.12978551722824283</v>
      </c>
      <c r="S91" s="28"/>
      <c r="T91" s="28"/>
      <c r="U91" s="28" t="s">
        <v>587</v>
      </c>
      <c r="V91" s="28">
        <v>1.40718562874251</v>
      </c>
      <c r="W91" s="28">
        <v>1.53157894736842</v>
      </c>
      <c r="X91" s="28">
        <v>2.1989795918367299</v>
      </c>
      <c r="Y91" s="28">
        <v>2.2052980132450299</v>
      </c>
      <c r="Z91" s="28">
        <v>1.8899082568807299</v>
      </c>
      <c r="AA91" s="28">
        <v>1.68341708542713</v>
      </c>
      <c r="AB91" s="28">
        <v>1.41450777202072</v>
      </c>
      <c r="AC91" s="28">
        <v>1.4807692307692299</v>
      </c>
      <c r="AD91" s="28">
        <v>1.53142857142857</v>
      </c>
      <c r="AE91" s="28">
        <v>1.58181818181818</v>
      </c>
      <c r="AF91" s="28">
        <v>1.69248912795372</v>
      </c>
      <c r="AG91" s="28">
        <v>0.30297411705275801</v>
      </c>
    </row>
    <row r="92" spans="1:33" x14ac:dyDescent="0.25">
      <c r="A92" s="28"/>
      <c r="B92" s="28" t="s">
        <v>588</v>
      </c>
      <c r="C92" s="28">
        <v>2</v>
      </c>
      <c r="D92" s="28">
        <v>1</v>
      </c>
      <c r="E92" s="28">
        <v>1</v>
      </c>
      <c r="F92" s="28">
        <v>1</v>
      </c>
      <c r="G92" s="28">
        <v>1</v>
      </c>
      <c r="H92" s="28">
        <v>1</v>
      </c>
      <c r="I92" s="28">
        <v>1</v>
      </c>
      <c r="J92" s="28">
        <v>2</v>
      </c>
      <c r="K92" s="28">
        <v>2</v>
      </c>
      <c r="L92" s="28">
        <v>1</v>
      </c>
      <c r="M92" s="28">
        <v>1.3</v>
      </c>
      <c r="N92" s="28">
        <v>0.483045891539647</v>
      </c>
      <c r="O92" s="28"/>
      <c r="P92" s="28">
        <f t="shared" si="4"/>
        <v>0.28776306790012451</v>
      </c>
      <c r="Q92" s="28" t="e">
        <f t="shared" si="3"/>
        <v>#DIV/0!</v>
      </c>
      <c r="R92" s="28">
        <f t="shared" si="5"/>
        <v>0.82413553046482346</v>
      </c>
      <c r="S92" s="28"/>
      <c r="T92" s="28"/>
      <c r="U92" s="28" t="s">
        <v>588</v>
      </c>
      <c r="V92" s="28">
        <v>1</v>
      </c>
      <c r="W92" s="28">
        <v>1</v>
      </c>
      <c r="X92" s="28">
        <v>2</v>
      </c>
      <c r="Y92" s="28">
        <v>2</v>
      </c>
      <c r="Z92" s="28">
        <v>2</v>
      </c>
      <c r="AA92" s="28">
        <v>2</v>
      </c>
      <c r="AB92" s="28">
        <v>1</v>
      </c>
      <c r="AC92" s="28">
        <v>1</v>
      </c>
      <c r="AD92" s="28">
        <v>1</v>
      </c>
      <c r="AE92" s="28">
        <v>1</v>
      </c>
      <c r="AF92" s="28">
        <v>1.4</v>
      </c>
      <c r="AG92" s="28">
        <v>0.51639777949432197</v>
      </c>
    </row>
    <row r="93" spans="1:33" x14ac:dyDescent="0.25">
      <c r="A93" s="28"/>
      <c r="B93" s="28" t="s">
        <v>589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/>
      <c r="P93" s="28" t="e">
        <f t="shared" si="4"/>
        <v>#DIV/0!</v>
      </c>
      <c r="Q93" s="28" t="e">
        <f t="shared" si="3"/>
        <v>#DIV/0!</v>
      </c>
      <c r="R93" s="28" t="e">
        <f t="shared" si="5"/>
        <v>#DIV/0!</v>
      </c>
      <c r="S93" s="28"/>
      <c r="T93" s="28"/>
      <c r="U93" s="28" t="s">
        <v>589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</row>
    <row r="94" spans="1:33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 t="e">
        <f t="shared" si="3"/>
        <v>#DIV/0!</v>
      </c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 t="e">
        <f t="shared" si="3"/>
        <v>#DIV/0!</v>
      </c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x14ac:dyDescent="0.25">
      <c r="A96" s="49" t="s">
        <v>611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 t="e">
        <f t="shared" si="3"/>
        <v>#DIV/0!</v>
      </c>
      <c r="R96" s="28"/>
      <c r="S96" s="28"/>
      <c r="T96" s="56" t="s">
        <v>612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x14ac:dyDescent="0.25">
      <c r="A97" s="28"/>
      <c r="B97" s="28" t="s">
        <v>558</v>
      </c>
      <c r="C97" s="28" t="s">
        <v>351</v>
      </c>
      <c r="D97" s="28" t="s">
        <v>401</v>
      </c>
      <c r="E97" s="28" t="s">
        <v>361</v>
      </c>
      <c r="F97" s="28" t="s">
        <v>411</v>
      </c>
      <c r="G97" s="28" t="s">
        <v>371</v>
      </c>
      <c r="H97" s="28" t="s">
        <v>421</v>
      </c>
      <c r="I97" s="28" t="s">
        <v>381</v>
      </c>
      <c r="J97" s="28" t="s">
        <v>431</v>
      </c>
      <c r="K97" s="28" t="s">
        <v>391</v>
      </c>
      <c r="L97" s="28" t="s">
        <v>441</v>
      </c>
      <c r="M97" s="28" t="s">
        <v>559</v>
      </c>
      <c r="N97" s="28" t="s">
        <v>560</v>
      </c>
      <c r="O97" s="28"/>
      <c r="P97" s="28"/>
      <c r="Q97" s="28">
        <f t="shared" si="3"/>
        <v>0.11361476199535264</v>
      </c>
      <c r="R97" s="28"/>
      <c r="S97" s="28"/>
      <c r="T97" s="28"/>
      <c r="U97" s="28" t="s">
        <v>558</v>
      </c>
      <c r="V97" s="28" t="s">
        <v>249</v>
      </c>
      <c r="W97" s="28" t="s">
        <v>300</v>
      </c>
      <c r="X97" s="28" t="s">
        <v>259</v>
      </c>
      <c r="Y97" s="28" t="s">
        <v>311</v>
      </c>
      <c r="Z97" s="28" t="s">
        <v>269</v>
      </c>
      <c r="AA97" s="28" t="s">
        <v>321</v>
      </c>
      <c r="AB97" s="28" t="s">
        <v>279</v>
      </c>
      <c r="AC97" s="28" t="s">
        <v>331</v>
      </c>
      <c r="AD97" s="28" t="s">
        <v>290</v>
      </c>
      <c r="AE97" s="28" t="s">
        <v>341</v>
      </c>
      <c r="AF97" s="28" t="s">
        <v>559</v>
      </c>
      <c r="AG97" s="28" t="s">
        <v>560</v>
      </c>
    </row>
    <row r="98" spans="1:33" x14ac:dyDescent="0.25">
      <c r="A98" s="28"/>
      <c r="B98" s="28" t="s">
        <v>563</v>
      </c>
      <c r="C98" s="28">
        <v>25</v>
      </c>
      <c r="D98" s="28">
        <v>38</v>
      </c>
      <c r="E98" s="28">
        <v>25</v>
      </c>
      <c r="F98" s="28">
        <v>36</v>
      </c>
      <c r="G98" s="28">
        <v>44</v>
      </c>
      <c r="H98" s="28">
        <v>23</v>
      </c>
      <c r="I98" s="28">
        <v>20</v>
      </c>
      <c r="J98" s="28">
        <v>34</v>
      </c>
      <c r="K98" s="28">
        <v>12</v>
      </c>
      <c r="L98" s="28">
        <v>31</v>
      </c>
      <c r="M98" s="28">
        <v>28.8</v>
      </c>
      <c r="N98" s="28">
        <v>9.5545219079182004</v>
      </c>
      <c r="O98" s="28"/>
      <c r="P98" s="28"/>
      <c r="Q98" s="28">
        <f t="shared" si="3"/>
        <v>7.0537926494108755E-2</v>
      </c>
      <c r="R98" s="28"/>
      <c r="S98" s="28"/>
      <c r="T98" s="28"/>
      <c r="U98" s="28" t="s">
        <v>563</v>
      </c>
      <c r="V98" s="28">
        <v>35</v>
      </c>
      <c r="W98" s="28">
        <v>30</v>
      </c>
      <c r="X98" s="28">
        <v>2</v>
      </c>
      <c r="Y98" s="28">
        <v>22</v>
      </c>
      <c r="Z98" s="28">
        <v>21</v>
      </c>
      <c r="AA98" s="28">
        <v>14</v>
      </c>
      <c r="AB98" s="28">
        <v>26</v>
      </c>
      <c r="AC98" s="28">
        <v>12</v>
      </c>
      <c r="AD98" s="28">
        <v>21</v>
      </c>
      <c r="AE98" s="28">
        <v>32</v>
      </c>
      <c r="AF98" s="28">
        <v>21.5</v>
      </c>
      <c r="AG98" s="28">
        <v>10.069204977995399</v>
      </c>
    </row>
    <row r="99" spans="1:33" x14ac:dyDescent="0.25">
      <c r="A99" s="28"/>
      <c r="B99" s="28" t="s">
        <v>564</v>
      </c>
      <c r="C99" s="28">
        <v>15</v>
      </c>
      <c r="D99" s="28">
        <v>27</v>
      </c>
      <c r="E99" s="28">
        <v>20</v>
      </c>
      <c r="F99" s="28">
        <v>21</v>
      </c>
      <c r="G99" s="28">
        <v>31</v>
      </c>
      <c r="H99" s="28">
        <v>12</v>
      </c>
      <c r="I99" s="28">
        <v>11</v>
      </c>
      <c r="J99" s="28">
        <v>19</v>
      </c>
      <c r="K99" s="28">
        <v>6</v>
      </c>
      <c r="L99" s="28">
        <v>19</v>
      </c>
      <c r="M99" s="28">
        <v>18.100000000000001</v>
      </c>
      <c r="N99" s="28">
        <v>7.4751439971265903</v>
      </c>
      <c r="O99" s="28"/>
      <c r="P99" s="28"/>
      <c r="Q99" s="28">
        <f t="shared" si="3"/>
        <v>0.3992232398110398</v>
      </c>
      <c r="R99" s="28"/>
      <c r="S99" s="28"/>
      <c r="T99" s="28"/>
      <c r="U99" s="28" t="s">
        <v>564</v>
      </c>
      <c r="V99" s="28">
        <v>20</v>
      </c>
      <c r="W99" s="28">
        <v>18</v>
      </c>
      <c r="X99" s="28">
        <v>1</v>
      </c>
      <c r="Y99" s="28">
        <v>11</v>
      </c>
      <c r="Z99" s="28">
        <v>15</v>
      </c>
      <c r="AA99" s="28">
        <v>9</v>
      </c>
      <c r="AB99" s="28">
        <v>15</v>
      </c>
      <c r="AC99" s="28">
        <v>7</v>
      </c>
      <c r="AD99" s="28">
        <v>12</v>
      </c>
      <c r="AE99" s="28">
        <v>16</v>
      </c>
      <c r="AF99" s="28">
        <v>12.4</v>
      </c>
      <c r="AG99" s="28">
        <v>5.6607812574276704</v>
      </c>
    </row>
    <row r="100" spans="1:33" x14ac:dyDescent="0.25">
      <c r="A100" s="28"/>
      <c r="B100" s="28" t="s">
        <v>565</v>
      </c>
      <c r="C100" s="28">
        <v>10</v>
      </c>
      <c r="D100" s="28">
        <v>11</v>
      </c>
      <c r="E100" s="28">
        <v>5</v>
      </c>
      <c r="F100" s="28">
        <v>15</v>
      </c>
      <c r="G100" s="28">
        <v>13</v>
      </c>
      <c r="H100" s="28">
        <v>11</v>
      </c>
      <c r="I100" s="28">
        <v>9</v>
      </c>
      <c r="J100" s="28">
        <v>15</v>
      </c>
      <c r="K100" s="28">
        <v>6</v>
      </c>
      <c r="L100" s="28">
        <v>12</v>
      </c>
      <c r="M100" s="28">
        <v>10.7</v>
      </c>
      <c r="N100" s="28">
        <v>3.36815148775176</v>
      </c>
      <c r="O100" s="28"/>
      <c r="P100" s="28"/>
      <c r="Q100" s="28">
        <f t="shared" si="3"/>
        <v>9.9939515780330085E-2</v>
      </c>
      <c r="R100" s="28"/>
      <c r="S100" s="28"/>
      <c r="T100" s="28"/>
      <c r="U100" s="28" t="s">
        <v>565</v>
      </c>
      <c r="V100" s="28">
        <v>15</v>
      </c>
      <c r="W100" s="28">
        <v>12</v>
      </c>
      <c r="X100" s="28">
        <v>1</v>
      </c>
      <c r="Y100" s="28">
        <v>11</v>
      </c>
      <c r="Z100" s="28">
        <v>6</v>
      </c>
      <c r="AA100" s="28">
        <v>5</v>
      </c>
      <c r="AB100" s="28">
        <v>11</v>
      </c>
      <c r="AC100" s="28">
        <v>5</v>
      </c>
      <c r="AD100" s="28">
        <v>9</v>
      </c>
      <c r="AE100" s="28">
        <v>16</v>
      </c>
      <c r="AF100" s="28">
        <v>9.1</v>
      </c>
      <c r="AG100" s="28">
        <v>4.7946729699624804</v>
      </c>
    </row>
    <row r="101" spans="1:33" x14ac:dyDescent="0.25">
      <c r="A101" s="28"/>
      <c r="B101" s="28" t="s">
        <v>566</v>
      </c>
      <c r="C101" s="28">
        <v>1.1283144236193801</v>
      </c>
      <c r="D101" s="28">
        <v>1.63164046659192</v>
      </c>
      <c r="E101" s="28">
        <v>1.2188350645305399</v>
      </c>
      <c r="F101" s="28">
        <v>1.57505195483878</v>
      </c>
      <c r="G101" s="28">
        <v>1.93586233867813</v>
      </c>
      <c r="H101" s="28">
        <v>1.0048299798548499</v>
      </c>
      <c r="I101" s="28">
        <v>0.890956788595753</v>
      </c>
      <c r="J101" s="28">
        <v>1.45887961859356</v>
      </c>
      <c r="K101" s="28">
        <v>0.55544840887174496</v>
      </c>
      <c r="L101" s="28">
        <v>1.3306148728404299</v>
      </c>
      <c r="M101" s="28">
        <v>1.27304339170151</v>
      </c>
      <c r="N101" s="28">
        <v>0.40190321559521602</v>
      </c>
      <c r="O101" s="28"/>
      <c r="P101" s="28"/>
      <c r="Q101" s="28">
        <f t="shared" si="3"/>
        <v>9.4533550399359151E-2</v>
      </c>
      <c r="R101" s="28"/>
      <c r="S101" s="28"/>
      <c r="T101" s="28"/>
      <c r="U101" s="28" t="s">
        <v>566</v>
      </c>
      <c r="V101" s="28">
        <v>1.5331824487113901</v>
      </c>
      <c r="W101" s="28">
        <v>1.2997954025755201</v>
      </c>
      <c r="X101" s="28">
        <v>8.7577390437035496E-2</v>
      </c>
      <c r="Y101" s="28">
        <v>0.94003703176185704</v>
      </c>
      <c r="Z101" s="28">
        <v>0.91333027279097301</v>
      </c>
      <c r="AA101" s="28">
        <v>0.76103041101682101</v>
      </c>
      <c r="AB101" s="28">
        <v>1.15467173274777</v>
      </c>
      <c r="AC101" s="28">
        <v>0.51485573313311095</v>
      </c>
      <c r="AD101" s="28">
        <v>0.91882497356555104</v>
      </c>
      <c r="AE101" s="28">
        <v>1.38058315257121</v>
      </c>
      <c r="AF101" s="28">
        <v>0.95038885493112502</v>
      </c>
      <c r="AG101" s="28">
        <v>0.42959904529513598</v>
      </c>
    </row>
    <row r="102" spans="1:33" x14ac:dyDescent="0.25">
      <c r="A102" s="28"/>
      <c r="B102" s="28" t="s">
        <v>567</v>
      </c>
      <c r="C102" s="28">
        <v>1.3236267372600901</v>
      </c>
      <c r="D102" s="28">
        <v>2.10207612456747</v>
      </c>
      <c r="E102" s="28">
        <v>1.72616336218263</v>
      </c>
      <c r="F102" s="28">
        <v>1.7825143827218699</v>
      </c>
      <c r="G102" s="28">
        <v>2.6696009951200801</v>
      </c>
      <c r="H102" s="28">
        <v>0.98815133354682205</v>
      </c>
      <c r="I102" s="28">
        <v>1.0005811456148701</v>
      </c>
      <c r="J102" s="28">
        <v>1.4996711247533401</v>
      </c>
      <c r="K102" s="28">
        <v>0.47422499341354102</v>
      </c>
      <c r="L102" s="28">
        <v>1.6277962874821501</v>
      </c>
      <c r="M102" s="28">
        <v>1.5194406486662799</v>
      </c>
      <c r="N102" s="28">
        <v>0.62081569485979504</v>
      </c>
      <c r="O102" s="28"/>
      <c r="P102" s="28"/>
      <c r="Q102" s="28">
        <f t="shared" si="3"/>
        <v>0.26981935023606879</v>
      </c>
      <c r="R102" s="28"/>
      <c r="S102" s="28"/>
      <c r="T102" s="28"/>
      <c r="U102" s="28" t="s">
        <v>567</v>
      </c>
      <c r="V102" s="28">
        <v>1.7250053906418401</v>
      </c>
      <c r="W102" s="28">
        <v>1.5440335493709401</v>
      </c>
      <c r="X102" s="28">
        <v>0.12785907089075099</v>
      </c>
      <c r="Y102" s="28">
        <v>0.92887971476824904</v>
      </c>
      <c r="Z102" s="28">
        <v>1.33709701381666</v>
      </c>
      <c r="AA102" s="28">
        <v>0.94925583030587102</v>
      </c>
      <c r="AB102" s="28">
        <v>1.2675163720864699</v>
      </c>
      <c r="AC102" s="28">
        <v>0.58651026392961803</v>
      </c>
      <c r="AD102" s="28">
        <v>1.0422195416164</v>
      </c>
      <c r="AE102" s="28">
        <v>1.3390055094497499</v>
      </c>
      <c r="AF102" s="28">
        <v>1.0847382256876501</v>
      </c>
      <c r="AG102" s="28">
        <v>0.470335921249254</v>
      </c>
    </row>
    <row r="103" spans="1:33" x14ac:dyDescent="0.25">
      <c r="A103" s="28"/>
      <c r="B103" s="28" t="s">
        <v>568</v>
      </c>
      <c r="C103" s="28">
        <v>0.92383494149045298</v>
      </c>
      <c r="D103" s="28">
        <v>1.0531354715174699</v>
      </c>
      <c r="E103" s="28">
        <v>0.56022408963585402</v>
      </c>
      <c r="F103" s="28">
        <v>1.35436783627197</v>
      </c>
      <c r="G103" s="28">
        <v>1.1694152923538199</v>
      </c>
      <c r="H103" s="28">
        <v>1.0236790404301499</v>
      </c>
      <c r="I103" s="28">
        <v>0.78574026918879603</v>
      </c>
      <c r="J103" s="28">
        <v>1.4102898929224299</v>
      </c>
      <c r="K103" s="28">
        <v>0.67024544636484895</v>
      </c>
      <c r="L103" s="28">
        <v>1.0322333994408699</v>
      </c>
      <c r="M103" s="28">
        <v>0.99831656796166801</v>
      </c>
      <c r="N103" s="28">
        <v>0.27504744927230501</v>
      </c>
      <c r="O103" s="28"/>
      <c r="P103" s="28"/>
      <c r="Q103" s="28">
        <f t="shared" si="3"/>
        <v>0.3069701627321122</v>
      </c>
      <c r="R103" s="28"/>
      <c r="S103" s="28"/>
      <c r="T103" s="28"/>
      <c r="U103" s="28" t="s">
        <v>568</v>
      </c>
      <c r="V103" s="28">
        <v>1.33521252132631</v>
      </c>
      <c r="W103" s="28">
        <v>1.0505325616458301</v>
      </c>
      <c r="X103" s="28">
        <v>6.6596370497807797E-2</v>
      </c>
      <c r="Y103" s="28">
        <v>0.95146564151849999</v>
      </c>
      <c r="Z103" s="28">
        <v>0.50957818250448195</v>
      </c>
      <c r="AA103" s="28">
        <v>0.56085249579360597</v>
      </c>
      <c r="AB103" s="28">
        <v>1.0296679580852299</v>
      </c>
      <c r="AC103" s="28">
        <v>0.439657067487359</v>
      </c>
      <c r="AD103" s="28">
        <v>0.79355360160670096</v>
      </c>
      <c r="AE103" s="28">
        <v>1.4248256072824399</v>
      </c>
      <c r="AF103" s="28">
        <v>0.81619420077482696</v>
      </c>
      <c r="AG103" s="28">
        <v>0.42452569177142302</v>
      </c>
    </row>
    <row r="104" spans="1:33" x14ac:dyDescent="0.25">
      <c r="A104" s="28"/>
      <c r="B104" s="28" t="s">
        <v>569</v>
      </c>
      <c r="C104" s="28">
        <v>14</v>
      </c>
      <c r="D104" s="28">
        <v>29</v>
      </c>
      <c r="E104" s="28">
        <v>22</v>
      </c>
      <c r="F104" s="28">
        <v>30</v>
      </c>
      <c r="G104" s="28">
        <v>32</v>
      </c>
      <c r="H104" s="28">
        <v>17</v>
      </c>
      <c r="I104" s="28">
        <v>18</v>
      </c>
      <c r="J104" s="28">
        <v>31</v>
      </c>
      <c r="K104" s="28">
        <v>11</v>
      </c>
      <c r="L104" s="28">
        <v>25</v>
      </c>
      <c r="M104" s="28">
        <v>22.9</v>
      </c>
      <c r="N104" s="28">
        <v>7.6077445920441997</v>
      </c>
      <c r="O104" s="28"/>
      <c r="P104" s="28"/>
      <c r="Q104" s="28">
        <f t="shared" si="3"/>
        <v>0.348750800119217</v>
      </c>
      <c r="R104" s="28"/>
      <c r="S104" s="28"/>
      <c r="T104" s="28"/>
      <c r="U104" s="28" t="s">
        <v>569</v>
      </c>
      <c r="V104" s="28">
        <v>33</v>
      </c>
      <c r="W104" s="28">
        <v>27</v>
      </c>
      <c r="X104" s="28">
        <v>1</v>
      </c>
      <c r="Y104" s="28">
        <v>20</v>
      </c>
      <c r="Z104" s="28">
        <v>17</v>
      </c>
      <c r="AA104" s="28">
        <v>12</v>
      </c>
      <c r="AB104" s="28">
        <v>22</v>
      </c>
      <c r="AC104" s="28">
        <v>11</v>
      </c>
      <c r="AD104" s="28">
        <v>15</v>
      </c>
      <c r="AE104" s="28">
        <v>30</v>
      </c>
      <c r="AF104" s="28">
        <v>18.8</v>
      </c>
      <c r="AG104" s="28">
        <v>9.70452357294152</v>
      </c>
    </row>
    <row r="105" spans="1:33" x14ac:dyDescent="0.25">
      <c r="A105" s="28"/>
      <c r="B105" s="28" t="s">
        <v>570</v>
      </c>
      <c r="C105" s="28">
        <v>7</v>
      </c>
      <c r="D105" s="28">
        <v>20</v>
      </c>
      <c r="E105" s="28">
        <v>18</v>
      </c>
      <c r="F105" s="28">
        <v>19</v>
      </c>
      <c r="G105" s="28">
        <v>23</v>
      </c>
      <c r="H105" s="28">
        <v>8</v>
      </c>
      <c r="I105" s="28">
        <v>10</v>
      </c>
      <c r="J105" s="28">
        <v>18</v>
      </c>
      <c r="K105" s="28">
        <v>6</v>
      </c>
      <c r="L105" s="28">
        <v>14</v>
      </c>
      <c r="M105" s="28">
        <v>14.3</v>
      </c>
      <c r="N105" s="28">
        <v>6.1291652503963903</v>
      </c>
      <c r="O105" s="28"/>
      <c r="P105" s="28"/>
      <c r="Q105" s="28">
        <f t="shared" si="3"/>
        <v>0.71394205597466198</v>
      </c>
      <c r="R105" s="28"/>
      <c r="S105" s="28"/>
      <c r="T105" s="28"/>
      <c r="U105" s="28" t="s">
        <v>570</v>
      </c>
      <c r="V105" s="28">
        <v>19</v>
      </c>
      <c r="W105" s="28">
        <v>18</v>
      </c>
      <c r="X105" s="28">
        <v>1</v>
      </c>
      <c r="Y105" s="28">
        <v>11</v>
      </c>
      <c r="Z105" s="28">
        <v>13</v>
      </c>
      <c r="AA105" s="28">
        <v>8</v>
      </c>
      <c r="AB105" s="28">
        <v>13</v>
      </c>
      <c r="AC105" s="28">
        <v>8</v>
      </c>
      <c r="AD105" s="28">
        <v>10</v>
      </c>
      <c r="AE105" s="28">
        <v>17</v>
      </c>
      <c r="AF105" s="28">
        <v>11.8</v>
      </c>
      <c r="AG105" s="28">
        <v>5.4731668671396703</v>
      </c>
    </row>
    <row r="106" spans="1:33" x14ac:dyDescent="0.25">
      <c r="A106" s="28"/>
      <c r="B106" s="28" t="s">
        <v>571</v>
      </c>
      <c r="C106" s="28">
        <v>7</v>
      </c>
      <c r="D106" s="28">
        <v>9</v>
      </c>
      <c r="E106" s="28">
        <v>4</v>
      </c>
      <c r="F106" s="28">
        <v>12</v>
      </c>
      <c r="G106" s="28">
        <v>9</v>
      </c>
      <c r="H106" s="28">
        <v>9</v>
      </c>
      <c r="I106" s="28">
        <v>8</v>
      </c>
      <c r="J106" s="28">
        <v>13</v>
      </c>
      <c r="K106" s="28">
        <v>5</v>
      </c>
      <c r="L106" s="28">
        <v>11</v>
      </c>
      <c r="M106" s="28">
        <v>8.6999999999999993</v>
      </c>
      <c r="N106" s="28">
        <v>2.86937856222097</v>
      </c>
      <c r="O106" s="28"/>
      <c r="P106" s="28"/>
      <c r="Q106" s="28">
        <f t="shared" si="3"/>
        <v>9.5108257399252868E-2</v>
      </c>
      <c r="R106" s="28"/>
      <c r="S106" s="28"/>
      <c r="T106" s="28"/>
      <c r="U106" s="28" t="s">
        <v>571</v>
      </c>
      <c r="V106" s="28">
        <v>14</v>
      </c>
      <c r="W106" s="28">
        <v>9</v>
      </c>
      <c r="X106" s="28"/>
      <c r="Y106" s="28">
        <v>9</v>
      </c>
      <c r="Z106" s="28">
        <v>4</v>
      </c>
      <c r="AA106" s="28">
        <v>4</v>
      </c>
      <c r="AB106" s="28">
        <v>9</v>
      </c>
      <c r="AC106" s="28">
        <v>4</v>
      </c>
      <c r="AD106" s="28">
        <v>6</v>
      </c>
      <c r="AE106" s="28">
        <v>14</v>
      </c>
      <c r="AF106" s="28">
        <v>8.1111111111111107</v>
      </c>
      <c r="AG106" s="28">
        <v>3.9826010484494998</v>
      </c>
    </row>
    <row r="107" spans="1:33" x14ac:dyDescent="0.25">
      <c r="A107" s="28"/>
      <c r="B107" s="28" t="s">
        <v>572</v>
      </c>
      <c r="C107" s="28">
        <v>1.71428571428571</v>
      </c>
      <c r="D107" s="28">
        <v>1.27586206896551</v>
      </c>
      <c r="E107" s="28">
        <v>1.0909090909090899</v>
      </c>
      <c r="F107" s="28">
        <v>1.1666666666666601</v>
      </c>
      <c r="G107" s="28">
        <v>1.34375</v>
      </c>
      <c r="H107" s="28">
        <v>1.29411764705882</v>
      </c>
      <c r="I107" s="28">
        <v>1.05555555555555</v>
      </c>
      <c r="J107" s="28">
        <v>1.06451612903225</v>
      </c>
      <c r="K107" s="28">
        <v>1</v>
      </c>
      <c r="L107" s="28">
        <v>1.2</v>
      </c>
      <c r="M107" s="28">
        <v>1.2205662872473599</v>
      </c>
      <c r="N107" s="28">
        <v>0.20757042608961901</v>
      </c>
      <c r="O107" s="28"/>
      <c r="P107" s="28"/>
      <c r="Q107" s="28">
        <f t="shared" si="3"/>
        <v>3.7632278158498116E-2</v>
      </c>
      <c r="R107" s="28"/>
      <c r="S107" s="28"/>
      <c r="T107" s="28"/>
      <c r="U107" s="28" t="s">
        <v>572</v>
      </c>
      <c r="V107" s="28">
        <v>1.0303030303030301</v>
      </c>
      <c r="W107" s="28">
        <v>1.07407407407407</v>
      </c>
      <c r="X107" s="28">
        <v>1</v>
      </c>
      <c r="Y107" s="28">
        <v>1.05</v>
      </c>
      <c r="Z107" s="28">
        <v>1.1764705882352899</v>
      </c>
      <c r="AA107" s="28">
        <v>1.0833333333333299</v>
      </c>
      <c r="AB107" s="28">
        <v>1.13636363636363</v>
      </c>
      <c r="AC107" s="28">
        <v>1</v>
      </c>
      <c r="AD107" s="28">
        <v>1.3333333333333299</v>
      </c>
      <c r="AE107" s="28">
        <v>1.0333333333333301</v>
      </c>
      <c r="AF107" s="28">
        <v>1.0917211328976</v>
      </c>
      <c r="AG107" s="28">
        <v>0.102024592022583</v>
      </c>
    </row>
    <row r="108" spans="1:33" x14ac:dyDescent="0.25">
      <c r="A108" s="28"/>
      <c r="B108" s="28" t="s">
        <v>573</v>
      </c>
      <c r="C108" s="28">
        <v>2.1428571428571401</v>
      </c>
      <c r="D108" s="28">
        <v>1.35</v>
      </c>
      <c r="E108" s="28">
        <v>1.1111111111111101</v>
      </c>
      <c r="F108" s="28">
        <v>1.1578947368421</v>
      </c>
      <c r="G108" s="28">
        <v>1.34782608695652</v>
      </c>
      <c r="H108" s="28">
        <v>1.5</v>
      </c>
      <c r="I108" s="28">
        <v>1.1000000000000001</v>
      </c>
      <c r="J108" s="28">
        <v>1.05555555555555</v>
      </c>
      <c r="K108" s="28">
        <v>1</v>
      </c>
      <c r="L108" s="28">
        <v>1.3571428571428501</v>
      </c>
      <c r="M108" s="28">
        <v>1.3122387490465199</v>
      </c>
      <c r="N108" s="28">
        <v>0.33376454421604401</v>
      </c>
      <c r="O108" s="28"/>
      <c r="P108" s="28"/>
      <c r="Q108" s="28">
        <f t="shared" si="3"/>
        <v>0.63041936193602766</v>
      </c>
      <c r="R108" s="28"/>
      <c r="S108" s="28"/>
      <c r="T108" s="28"/>
      <c r="U108" s="28" t="s">
        <v>573</v>
      </c>
      <c r="V108" s="28">
        <v>1.0526315789473599</v>
      </c>
      <c r="W108" s="28">
        <v>1</v>
      </c>
      <c r="X108" s="28">
        <v>1</v>
      </c>
      <c r="Y108" s="28">
        <v>1</v>
      </c>
      <c r="Z108" s="28">
        <v>1.15384615384615</v>
      </c>
      <c r="AA108" s="28">
        <v>1.125</v>
      </c>
      <c r="AB108" s="28">
        <v>1.15384615384615</v>
      </c>
      <c r="AC108" s="28">
        <v>1</v>
      </c>
      <c r="AD108" s="28">
        <v>1.2</v>
      </c>
      <c r="AE108" s="28">
        <v>1</v>
      </c>
      <c r="AF108" s="28">
        <v>1.0685323886639599</v>
      </c>
      <c r="AG108" s="28">
        <v>8.0805306652685399E-2</v>
      </c>
    </row>
    <row r="109" spans="1:33" x14ac:dyDescent="0.25">
      <c r="A109" s="28"/>
      <c r="B109" s="28" t="s">
        <v>574</v>
      </c>
      <c r="C109" s="28">
        <v>1.28571428571428</v>
      </c>
      <c r="D109" s="28">
        <v>1.1111111111111101</v>
      </c>
      <c r="E109" s="28">
        <v>1</v>
      </c>
      <c r="F109" s="28">
        <v>1.1666666666666601</v>
      </c>
      <c r="G109" s="28">
        <v>1.3333333333333299</v>
      </c>
      <c r="H109" s="28">
        <v>1.1111111111111101</v>
      </c>
      <c r="I109" s="28">
        <v>1</v>
      </c>
      <c r="J109" s="28">
        <v>1.07692307692307</v>
      </c>
      <c r="K109" s="28">
        <v>1</v>
      </c>
      <c r="L109" s="28">
        <v>1</v>
      </c>
      <c r="M109" s="28">
        <v>1.1084859584859501</v>
      </c>
      <c r="N109" s="28">
        <v>0.12176390080440599</v>
      </c>
      <c r="O109" s="28"/>
      <c r="P109" s="28"/>
      <c r="Q109" s="28" t="e">
        <f t="shared" si="3"/>
        <v>#DIV/0!</v>
      </c>
      <c r="R109" s="28"/>
      <c r="S109" s="28"/>
      <c r="T109" s="28"/>
      <c r="U109" s="28" t="s">
        <v>574</v>
      </c>
      <c r="V109" s="28">
        <v>1</v>
      </c>
      <c r="W109" s="28">
        <v>1.2222222222222201</v>
      </c>
      <c r="X109" s="28"/>
      <c r="Y109" s="28">
        <v>1.1111111111111101</v>
      </c>
      <c r="Z109" s="28">
        <v>1.25</v>
      </c>
      <c r="AA109" s="28">
        <v>1</v>
      </c>
      <c r="AB109" s="28">
        <v>1.1111111111111101</v>
      </c>
      <c r="AC109" s="28">
        <v>1</v>
      </c>
      <c r="AD109" s="28">
        <v>1.5</v>
      </c>
      <c r="AE109" s="28">
        <v>1.0714285714285701</v>
      </c>
      <c r="AF109" s="28">
        <v>1.1406525573192201</v>
      </c>
      <c r="AG109" s="28">
        <v>0.16341199388602901</v>
      </c>
    </row>
    <row r="110" spans="1:33" x14ac:dyDescent="0.25">
      <c r="A110" s="28"/>
      <c r="B110" s="28" t="s">
        <v>575</v>
      </c>
      <c r="C110" s="28">
        <v>100</v>
      </c>
      <c r="D110" s="28">
        <v>100</v>
      </c>
      <c r="E110" s="28">
        <v>100</v>
      </c>
      <c r="F110" s="28">
        <v>100</v>
      </c>
      <c r="G110" s="28">
        <v>100</v>
      </c>
      <c r="H110" s="28">
        <v>100</v>
      </c>
      <c r="I110" s="28">
        <v>100</v>
      </c>
      <c r="J110" s="28">
        <v>100</v>
      </c>
      <c r="K110" s="28">
        <v>100</v>
      </c>
      <c r="L110" s="28">
        <v>100</v>
      </c>
      <c r="M110" s="28">
        <v>100</v>
      </c>
      <c r="N110" s="28">
        <v>0</v>
      </c>
      <c r="O110" s="28"/>
      <c r="P110" s="28"/>
      <c r="Q110" s="28" t="e">
        <f t="shared" si="3"/>
        <v>#DIV/0!</v>
      </c>
      <c r="R110" s="28"/>
      <c r="S110" s="28"/>
      <c r="T110" s="28"/>
      <c r="U110" s="28" t="s">
        <v>575</v>
      </c>
      <c r="V110" s="28">
        <v>100</v>
      </c>
      <c r="W110" s="28">
        <v>100</v>
      </c>
      <c r="X110" s="28">
        <v>100</v>
      </c>
      <c r="Y110" s="28">
        <v>100</v>
      </c>
      <c r="Z110" s="28">
        <v>100</v>
      </c>
      <c r="AA110" s="28">
        <v>100</v>
      </c>
      <c r="AB110" s="28">
        <v>100</v>
      </c>
      <c r="AC110" s="28">
        <v>100</v>
      </c>
      <c r="AD110" s="28">
        <v>100</v>
      </c>
      <c r="AE110" s="28">
        <v>100</v>
      </c>
      <c r="AF110" s="28">
        <v>100</v>
      </c>
      <c r="AG110" s="28">
        <v>0</v>
      </c>
    </row>
    <row r="111" spans="1:33" x14ac:dyDescent="0.25">
      <c r="A111" s="28"/>
      <c r="B111" s="28" t="s">
        <v>576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100</v>
      </c>
      <c r="N111" s="28">
        <v>0</v>
      </c>
      <c r="O111" s="28"/>
      <c r="P111" s="28"/>
      <c r="Q111" s="28">
        <f t="shared" si="3"/>
        <v>0.33056493127818387</v>
      </c>
      <c r="R111" s="28"/>
      <c r="S111" s="28"/>
      <c r="T111" s="28"/>
      <c r="U111" s="28" t="s">
        <v>576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100</v>
      </c>
      <c r="AF111" s="28">
        <v>100</v>
      </c>
      <c r="AG111" s="28">
        <v>0</v>
      </c>
    </row>
    <row r="112" spans="1:33" x14ac:dyDescent="0.25">
      <c r="A112" s="28"/>
      <c r="B112" s="28" t="s">
        <v>577</v>
      </c>
      <c r="C112" s="28">
        <v>100</v>
      </c>
      <c r="D112" s="28">
        <v>100</v>
      </c>
      <c r="E112" s="28">
        <v>100</v>
      </c>
      <c r="F112" s="28">
        <v>100</v>
      </c>
      <c r="G112" s="28">
        <v>100</v>
      </c>
      <c r="H112" s="28">
        <v>100</v>
      </c>
      <c r="I112" s="28">
        <v>100</v>
      </c>
      <c r="J112" s="28">
        <v>100</v>
      </c>
      <c r="K112" s="28">
        <v>100</v>
      </c>
      <c r="L112" s="28">
        <v>100</v>
      </c>
      <c r="M112" s="28">
        <v>100</v>
      </c>
      <c r="N112" s="28">
        <v>0</v>
      </c>
      <c r="O112" s="28"/>
      <c r="P112" s="28"/>
      <c r="Q112" s="28">
        <f t="shared" si="3"/>
        <v>0.12896890198669358</v>
      </c>
      <c r="R112" s="28"/>
      <c r="S112" s="28"/>
      <c r="T112" s="28"/>
      <c r="U112" s="28" t="s">
        <v>577</v>
      </c>
      <c r="V112" s="28">
        <v>100</v>
      </c>
      <c r="W112" s="28">
        <v>100</v>
      </c>
      <c r="X112" s="28">
        <v>0</v>
      </c>
      <c r="Y112" s="28">
        <v>100</v>
      </c>
      <c r="Z112" s="28">
        <v>100</v>
      </c>
      <c r="AA112" s="28">
        <v>100</v>
      </c>
      <c r="AB112" s="28">
        <v>100</v>
      </c>
      <c r="AC112" s="28">
        <v>100</v>
      </c>
      <c r="AD112" s="28">
        <v>100</v>
      </c>
      <c r="AE112" s="28">
        <v>100</v>
      </c>
      <c r="AF112" s="28">
        <v>90</v>
      </c>
      <c r="AG112" s="28">
        <v>31.6227766016837</v>
      </c>
    </row>
    <row r="113" spans="1:33" x14ac:dyDescent="0.25">
      <c r="A113" s="28"/>
      <c r="B113" s="28" t="s">
        <v>578</v>
      </c>
      <c r="C113" s="28">
        <v>80</v>
      </c>
      <c r="D113" s="28">
        <v>65</v>
      </c>
      <c r="E113" s="28">
        <v>97</v>
      </c>
      <c r="F113" s="28">
        <v>106</v>
      </c>
      <c r="G113" s="28">
        <v>81</v>
      </c>
      <c r="H113" s="28">
        <v>89</v>
      </c>
      <c r="I113" s="28">
        <v>81</v>
      </c>
      <c r="J113" s="28">
        <v>88</v>
      </c>
      <c r="K113" s="28">
        <v>29</v>
      </c>
      <c r="L113" s="28">
        <v>120</v>
      </c>
      <c r="M113" s="28">
        <v>83.6</v>
      </c>
      <c r="N113" s="28">
        <v>24.513941611526501</v>
      </c>
      <c r="O113" s="28"/>
      <c r="P113" s="28"/>
      <c r="Q113" s="28">
        <f t="shared" si="3"/>
        <v>0.47641891997244545</v>
      </c>
      <c r="R113" s="28"/>
      <c r="S113" s="28"/>
      <c r="T113" s="28"/>
      <c r="U113" s="28" t="s">
        <v>578</v>
      </c>
      <c r="V113" s="28">
        <v>114</v>
      </c>
      <c r="W113" s="28">
        <v>96</v>
      </c>
      <c r="X113" s="28">
        <v>63</v>
      </c>
      <c r="Y113" s="28">
        <v>107</v>
      </c>
      <c r="Z113" s="28">
        <v>112</v>
      </c>
      <c r="AA113" s="28">
        <v>146</v>
      </c>
      <c r="AB113" s="28">
        <v>87</v>
      </c>
      <c r="AC113" s="28">
        <v>79</v>
      </c>
      <c r="AD113" s="28">
        <v>77</v>
      </c>
      <c r="AE113" s="28">
        <v>137</v>
      </c>
      <c r="AF113" s="28">
        <v>101.8</v>
      </c>
      <c r="AG113" s="28">
        <v>26.594903438231999</v>
      </c>
    </row>
    <row r="114" spans="1:33" x14ac:dyDescent="0.25">
      <c r="A114" s="28"/>
      <c r="B114" s="28" t="s">
        <v>579</v>
      </c>
      <c r="C114" s="28">
        <v>58</v>
      </c>
      <c r="D114" s="28">
        <v>42</v>
      </c>
      <c r="E114" s="28">
        <v>75</v>
      </c>
      <c r="F114" s="28">
        <v>46</v>
      </c>
      <c r="G114" s="28">
        <v>59</v>
      </c>
      <c r="H114" s="28">
        <v>21</v>
      </c>
      <c r="I114" s="28">
        <v>30</v>
      </c>
      <c r="J114" s="28">
        <v>45</v>
      </c>
      <c r="K114" s="28">
        <v>18</v>
      </c>
      <c r="L114" s="28">
        <v>53</v>
      </c>
      <c r="M114" s="28">
        <v>44.7</v>
      </c>
      <c r="N114" s="28">
        <v>17.851548329984599</v>
      </c>
      <c r="O114" s="28"/>
      <c r="P114" s="28"/>
      <c r="Q114" s="28">
        <f t="shared" si="3"/>
        <v>0.13188019580697985</v>
      </c>
      <c r="R114" s="28"/>
      <c r="S114" s="28"/>
      <c r="T114" s="28"/>
      <c r="U114" s="28" t="s">
        <v>579</v>
      </c>
      <c r="V114" s="28">
        <v>58</v>
      </c>
      <c r="W114" s="28">
        <v>41</v>
      </c>
      <c r="X114" s="28">
        <v>19</v>
      </c>
      <c r="Y114" s="28">
        <v>53</v>
      </c>
      <c r="Z114" s="28">
        <v>67</v>
      </c>
      <c r="AA114" s="28">
        <v>87</v>
      </c>
      <c r="AB114" s="28">
        <v>40</v>
      </c>
      <c r="AC114" s="28">
        <v>49</v>
      </c>
      <c r="AD114" s="28">
        <v>30</v>
      </c>
      <c r="AE114" s="28">
        <v>64</v>
      </c>
      <c r="AF114" s="28">
        <v>50.8</v>
      </c>
      <c r="AG114" s="28">
        <v>19.617452547271299</v>
      </c>
    </row>
    <row r="115" spans="1:33" x14ac:dyDescent="0.25">
      <c r="A115" s="28"/>
      <c r="B115" s="28" t="s">
        <v>580</v>
      </c>
      <c r="C115" s="28">
        <v>21</v>
      </c>
      <c r="D115" s="28">
        <v>22</v>
      </c>
      <c r="E115" s="28">
        <v>21</v>
      </c>
      <c r="F115" s="28">
        <v>59</v>
      </c>
      <c r="G115" s="28">
        <v>21</v>
      </c>
      <c r="H115" s="28">
        <v>67</v>
      </c>
      <c r="I115" s="28">
        <v>50</v>
      </c>
      <c r="J115" s="28">
        <v>42</v>
      </c>
      <c r="K115" s="28">
        <v>10</v>
      </c>
      <c r="L115" s="28">
        <v>66</v>
      </c>
      <c r="M115" s="28">
        <v>37.9</v>
      </c>
      <c r="N115" s="28">
        <v>21.429211630648201</v>
      </c>
      <c r="O115" s="28"/>
      <c r="P115" s="28"/>
      <c r="Q115" s="28">
        <f t="shared" si="3"/>
        <v>0.24514697100983102</v>
      </c>
      <c r="R115" s="28"/>
      <c r="S115" s="28"/>
      <c r="T115" s="28"/>
      <c r="U115" s="28" t="s">
        <v>580</v>
      </c>
      <c r="V115" s="28">
        <v>55</v>
      </c>
      <c r="W115" s="28">
        <v>54</v>
      </c>
      <c r="X115" s="28">
        <v>43</v>
      </c>
      <c r="Y115" s="28">
        <v>53</v>
      </c>
      <c r="Z115" s="28">
        <v>44</v>
      </c>
      <c r="AA115" s="28">
        <v>58</v>
      </c>
      <c r="AB115" s="28">
        <v>46</v>
      </c>
      <c r="AC115" s="28">
        <v>29</v>
      </c>
      <c r="AD115" s="28">
        <v>46</v>
      </c>
      <c r="AE115" s="28">
        <v>72</v>
      </c>
      <c r="AF115" s="28">
        <v>50</v>
      </c>
      <c r="AG115" s="28">
        <v>11.3333333333333</v>
      </c>
    </row>
    <row r="116" spans="1:33" x14ac:dyDescent="0.25">
      <c r="A116" s="28"/>
      <c r="B116" s="28" t="s">
        <v>581</v>
      </c>
      <c r="C116" s="28">
        <v>3.7499999999999999E-3</v>
      </c>
      <c r="D116" s="28">
        <v>6.4615384615384604E-3</v>
      </c>
      <c r="E116" s="28">
        <v>4.5360824742267996E-3</v>
      </c>
      <c r="F116" s="28">
        <v>5.28301886792452E-3</v>
      </c>
      <c r="G116" s="28">
        <v>5.6790123456790104E-3</v>
      </c>
      <c r="H116" s="28">
        <v>6.2921348314606699E-3</v>
      </c>
      <c r="I116" s="28">
        <v>6.0493827160493802E-3</v>
      </c>
      <c r="J116" s="28">
        <v>4.7727272727272696E-3</v>
      </c>
      <c r="K116" s="28">
        <v>5.5172413793103401E-3</v>
      </c>
      <c r="L116" s="28">
        <v>4.2500000000000003E-3</v>
      </c>
      <c r="M116" s="28">
        <v>5.2591138348916404E-3</v>
      </c>
      <c r="N116" s="28">
        <v>9.0897254820966199E-4</v>
      </c>
      <c r="O116" s="28"/>
      <c r="P116" s="28"/>
      <c r="Q116" s="28">
        <f t="shared" si="3"/>
        <v>0.66612267797022973</v>
      </c>
      <c r="R116" s="28"/>
      <c r="S116" s="28"/>
      <c r="T116" s="28"/>
      <c r="U116" s="28" t="s">
        <v>581</v>
      </c>
      <c r="V116" s="28">
        <v>4.2105263157894701E-3</v>
      </c>
      <c r="W116" s="28">
        <v>5.0000000000000001E-3</v>
      </c>
      <c r="X116" s="28">
        <v>4.6031746031746004E-3</v>
      </c>
      <c r="Y116" s="28">
        <v>4.8598130841121497E-3</v>
      </c>
      <c r="Z116" s="28">
        <v>5.8928571428571398E-3</v>
      </c>
      <c r="AA116" s="28">
        <v>4.24657534246575E-3</v>
      </c>
      <c r="AB116" s="28">
        <v>5.4022988505747103E-3</v>
      </c>
      <c r="AC116" s="28">
        <v>2.9113924050632898E-3</v>
      </c>
      <c r="AD116" s="28">
        <v>5.84415584415584E-3</v>
      </c>
      <c r="AE116" s="28">
        <v>4.8175182481751799E-3</v>
      </c>
      <c r="AF116" s="28">
        <v>4.7788311836368096E-3</v>
      </c>
      <c r="AG116" s="28">
        <v>8.78515309017434E-4</v>
      </c>
    </row>
    <row r="117" spans="1:33" x14ac:dyDescent="0.25">
      <c r="A117" s="28"/>
      <c r="B117" s="28" t="s">
        <v>582</v>
      </c>
      <c r="C117" s="28">
        <v>31.034482758620602</v>
      </c>
      <c r="D117" s="28">
        <v>69.047619047618994</v>
      </c>
      <c r="E117" s="28">
        <v>42.6666666666666</v>
      </c>
      <c r="F117" s="28">
        <v>54.347826086956502</v>
      </c>
      <c r="G117" s="28">
        <v>52.542372881355902</v>
      </c>
      <c r="H117" s="28">
        <v>61.904761904761898</v>
      </c>
      <c r="I117" s="28">
        <v>63.3333333333333</v>
      </c>
      <c r="J117" s="28">
        <v>44.4444444444444</v>
      </c>
      <c r="K117" s="28">
        <v>55.5555555555555</v>
      </c>
      <c r="L117" s="28">
        <v>37.735849056603698</v>
      </c>
      <c r="M117" s="28">
        <v>51.261291173591701</v>
      </c>
      <c r="N117" s="28">
        <v>12.098567582383399</v>
      </c>
      <c r="O117" s="28"/>
      <c r="P117" s="28"/>
      <c r="Q117" s="28">
        <f t="shared" si="3"/>
        <v>2.4385578460807255E-2</v>
      </c>
      <c r="R117" s="28"/>
      <c r="S117" s="28"/>
      <c r="T117" s="28"/>
      <c r="U117" s="28" t="s">
        <v>582</v>
      </c>
      <c r="V117" s="28">
        <v>41.379310344827502</v>
      </c>
      <c r="W117" s="28">
        <v>65.8536585365853</v>
      </c>
      <c r="X117" s="28">
        <v>47.368421052631497</v>
      </c>
      <c r="Y117" s="28">
        <v>50.943396226414997</v>
      </c>
      <c r="Z117" s="28">
        <v>53.731343283582</v>
      </c>
      <c r="AA117" s="28">
        <v>41.379310344827502</v>
      </c>
      <c r="AB117" s="28">
        <v>52.5</v>
      </c>
      <c r="AC117" s="28">
        <v>32.653061224489797</v>
      </c>
      <c r="AD117" s="28">
        <v>60</v>
      </c>
      <c r="AE117" s="28">
        <v>45.3125</v>
      </c>
      <c r="AF117" s="28">
        <v>49.112100101335898</v>
      </c>
      <c r="AG117" s="28">
        <v>9.6779501673950801</v>
      </c>
    </row>
    <row r="118" spans="1:33" x14ac:dyDescent="0.25">
      <c r="A118" s="28"/>
      <c r="B118" s="28" t="s">
        <v>583</v>
      </c>
      <c r="C118" s="28">
        <v>61.904761904761898</v>
      </c>
      <c r="D118" s="28">
        <v>68.181818181818102</v>
      </c>
      <c r="E118" s="28">
        <v>61.904761904761898</v>
      </c>
      <c r="F118" s="28">
        <v>54.237288135593197</v>
      </c>
      <c r="G118" s="28">
        <v>76.190476190476105</v>
      </c>
      <c r="H118" s="28">
        <v>65.671641791044706</v>
      </c>
      <c r="I118" s="28">
        <v>64</v>
      </c>
      <c r="J118" s="28">
        <v>54.761904761904702</v>
      </c>
      <c r="K118" s="28">
        <v>60</v>
      </c>
      <c r="L118" s="28">
        <v>48.484848484848399</v>
      </c>
      <c r="M118" s="28">
        <v>61.533750135520897</v>
      </c>
      <c r="N118" s="28">
        <v>7.84728356296778</v>
      </c>
      <c r="O118" s="28"/>
      <c r="P118" s="28"/>
      <c r="Q118" s="28">
        <f t="shared" si="3"/>
        <v>0.9554420421493024</v>
      </c>
      <c r="R118" s="28"/>
      <c r="S118" s="28"/>
      <c r="T118" s="28"/>
      <c r="U118" s="28" t="s">
        <v>583</v>
      </c>
      <c r="V118" s="28">
        <v>43.636363636363598</v>
      </c>
      <c r="W118" s="28">
        <v>42.592592592592503</v>
      </c>
      <c r="X118" s="28">
        <v>46.511627906976699</v>
      </c>
      <c r="Y118" s="28">
        <v>50.943396226414997</v>
      </c>
      <c r="Z118" s="28">
        <v>70.454545454545396</v>
      </c>
      <c r="AA118" s="28">
        <v>46.551724137930997</v>
      </c>
      <c r="AB118" s="28">
        <v>60.869565217391298</v>
      </c>
      <c r="AC118" s="28">
        <v>24.137931034482701</v>
      </c>
      <c r="AD118" s="28">
        <v>60.869565217391298</v>
      </c>
      <c r="AE118" s="28">
        <v>52.7777777777777</v>
      </c>
      <c r="AF118" s="28">
        <v>49.934508920186701</v>
      </c>
      <c r="AG118" s="28">
        <v>12.699597502436699</v>
      </c>
    </row>
    <row r="119" spans="1:33" x14ac:dyDescent="0.25">
      <c r="A119" s="28"/>
      <c r="B119" s="28" t="s">
        <v>584</v>
      </c>
      <c r="C119" s="28">
        <v>22.156944444444399</v>
      </c>
      <c r="D119" s="28">
        <v>23.289444444444399</v>
      </c>
      <c r="E119" s="28">
        <v>20.511388888888799</v>
      </c>
      <c r="F119" s="28">
        <v>22.856388888888802</v>
      </c>
      <c r="G119" s="28">
        <v>22.7288888888888</v>
      </c>
      <c r="H119" s="28">
        <v>22.889444444444401</v>
      </c>
      <c r="I119" s="28">
        <v>22.447777777777699</v>
      </c>
      <c r="J119" s="28">
        <v>23.3055555555555</v>
      </c>
      <c r="K119" s="28">
        <v>21.6041666666666</v>
      </c>
      <c r="L119" s="28">
        <v>23.297499999999999</v>
      </c>
      <c r="M119" s="28">
        <v>22.508749999999999</v>
      </c>
      <c r="N119" s="28">
        <v>0.88919182000514396</v>
      </c>
      <c r="O119" s="28"/>
      <c r="P119" s="28"/>
      <c r="Q119" s="28">
        <f t="shared" si="3"/>
        <v>0.44521343158805859</v>
      </c>
      <c r="R119" s="28"/>
      <c r="S119" s="28"/>
      <c r="T119" s="28"/>
      <c r="U119" s="28" t="s">
        <v>584</v>
      </c>
      <c r="V119" s="28">
        <v>22.828333333333301</v>
      </c>
      <c r="W119" s="28">
        <v>23.080555555555499</v>
      </c>
      <c r="X119" s="28">
        <v>22.836944444444399</v>
      </c>
      <c r="Y119" s="28">
        <v>23.4033333333333</v>
      </c>
      <c r="Z119" s="28">
        <v>22.9927777777777</v>
      </c>
      <c r="AA119" s="28">
        <v>18.3961111111111</v>
      </c>
      <c r="AB119" s="28">
        <v>22.517222222222198</v>
      </c>
      <c r="AC119" s="28">
        <v>23.307500000000001</v>
      </c>
      <c r="AD119" s="28">
        <v>22.855277777777701</v>
      </c>
      <c r="AE119" s="28">
        <v>23.178611111111099</v>
      </c>
      <c r="AF119" s="28">
        <v>22.539666666666601</v>
      </c>
      <c r="AG119" s="28">
        <v>1.4788312916036299</v>
      </c>
    </row>
    <row r="120" spans="1:33" x14ac:dyDescent="0.25">
      <c r="A120" s="28"/>
      <c r="B120" s="28" t="s">
        <v>585</v>
      </c>
      <c r="C120" s="28">
        <v>-0.04</v>
      </c>
      <c r="D120" s="28">
        <v>-3.00000000000002E-2</v>
      </c>
      <c r="E120" s="28">
        <v>0.33</v>
      </c>
      <c r="F120" s="28">
        <v>-8.9999999999999802E-2</v>
      </c>
      <c r="G120" s="28">
        <v>0.32999999999999902</v>
      </c>
      <c r="H120" s="28">
        <v>-4.9999999999999802E-2</v>
      </c>
      <c r="I120" s="28">
        <v>-0.06</v>
      </c>
      <c r="J120" s="28">
        <v>-5.0000000000000197E-2</v>
      </c>
      <c r="K120" s="28">
        <v>0.37</v>
      </c>
      <c r="L120" s="28">
        <v>-6.0000000000000497E-2</v>
      </c>
      <c r="M120" s="28">
        <v>6.4999999999999905E-2</v>
      </c>
      <c r="N120" s="28">
        <v>0.193002590656187</v>
      </c>
      <c r="O120" s="28"/>
      <c r="P120" s="28"/>
      <c r="Q120" s="28">
        <f t="shared" si="3"/>
        <v>0.49992486972435324</v>
      </c>
      <c r="R120" s="28"/>
      <c r="S120" s="28"/>
      <c r="T120" s="28"/>
      <c r="U120" s="28" t="s">
        <v>585</v>
      </c>
      <c r="V120" s="28">
        <v>0.31999999999999901</v>
      </c>
      <c r="W120" s="28">
        <v>-4.9999999999999802E-2</v>
      </c>
      <c r="X120" s="28">
        <v>0.34999999999999898</v>
      </c>
      <c r="Y120" s="28">
        <v>-8.9999999999999802E-2</v>
      </c>
      <c r="Z120" s="28">
        <v>0.35</v>
      </c>
      <c r="AA120" s="28">
        <v>-7.0000000000000201E-2</v>
      </c>
      <c r="AB120" s="28">
        <v>0.35999999999999899</v>
      </c>
      <c r="AC120" s="28">
        <v>-8.9999999999999802E-2</v>
      </c>
      <c r="AD120" s="28">
        <v>0.37</v>
      </c>
      <c r="AE120" s="28">
        <v>-7.0000000000000201E-2</v>
      </c>
      <c r="AF120" s="28">
        <v>0.13799999999999901</v>
      </c>
      <c r="AG120" s="28">
        <v>0.22409323456494101</v>
      </c>
    </row>
    <row r="121" spans="1:33" x14ac:dyDescent="0.25">
      <c r="A121" s="28"/>
      <c r="B121" s="28" t="s">
        <v>586</v>
      </c>
      <c r="C121" s="28">
        <v>-1.80530307779101E-3</v>
      </c>
      <c r="D121" s="28">
        <v>-1.28813721046731E-3</v>
      </c>
      <c r="E121" s="28">
        <v>1.6088622851803201E-2</v>
      </c>
      <c r="F121" s="28">
        <v>-3.9376298870969599E-3</v>
      </c>
      <c r="G121" s="28">
        <v>1.4518967540085999E-2</v>
      </c>
      <c r="H121" s="28">
        <v>-2.1844129996844599E-3</v>
      </c>
      <c r="I121" s="28">
        <v>-2.6728703657872598E-3</v>
      </c>
      <c r="J121" s="28">
        <v>-2.1454112038140701E-3</v>
      </c>
      <c r="K121" s="28">
        <v>1.71263259402121E-2</v>
      </c>
      <c r="L121" s="28">
        <v>-2.5753836248524702E-3</v>
      </c>
      <c r="M121" s="28">
        <v>3.1124767962607798E-3</v>
      </c>
      <c r="N121" s="28">
        <v>8.8797820157988198E-3</v>
      </c>
      <c r="O121" s="28"/>
      <c r="P121" s="28"/>
      <c r="Q121" s="28">
        <f t="shared" si="3"/>
        <v>0.58696637710411315</v>
      </c>
      <c r="R121" s="28"/>
      <c r="S121" s="28"/>
      <c r="T121" s="28"/>
      <c r="U121" s="28" t="s">
        <v>586</v>
      </c>
      <c r="V121" s="28">
        <v>1.4017668102504099E-2</v>
      </c>
      <c r="W121" s="28">
        <v>-2.1663256709591899E-3</v>
      </c>
      <c r="X121" s="28">
        <v>1.53260433264811E-2</v>
      </c>
      <c r="Y121" s="28">
        <v>-3.8456060390257701E-3</v>
      </c>
      <c r="Z121" s="28">
        <v>1.5222171213182799E-2</v>
      </c>
      <c r="AA121" s="28">
        <v>-3.80515205508412E-3</v>
      </c>
      <c r="AB121" s="28">
        <v>1.5987762453430698E-2</v>
      </c>
      <c r="AC121" s="28">
        <v>-3.8614179984983298E-3</v>
      </c>
      <c r="AD121" s="28">
        <v>1.61888209628216E-2</v>
      </c>
      <c r="AE121" s="28">
        <v>-3.02002564624954E-3</v>
      </c>
      <c r="AF121" s="28">
        <v>6.0043938648603598E-3</v>
      </c>
      <c r="AG121" s="28">
        <v>9.8784168426591101E-3</v>
      </c>
    </row>
    <row r="122" spans="1:33" x14ac:dyDescent="0.25">
      <c r="A122" s="28"/>
      <c r="B122" s="28" t="s">
        <v>587</v>
      </c>
      <c r="C122" s="28">
        <v>1.4</v>
      </c>
      <c r="D122" s="28">
        <v>1.3684210526315701</v>
      </c>
      <c r="E122" s="28">
        <v>1.68</v>
      </c>
      <c r="F122" s="28">
        <v>1.38888888888888</v>
      </c>
      <c r="G122" s="28">
        <v>1.22727272727272</v>
      </c>
      <c r="H122" s="28">
        <v>1.52173913043478</v>
      </c>
      <c r="I122" s="28">
        <v>1.35</v>
      </c>
      <c r="J122" s="28">
        <v>1.6470588235294099</v>
      </c>
      <c r="K122" s="28">
        <v>1.5833333333333299</v>
      </c>
      <c r="L122" s="28">
        <v>1.6451612903225801</v>
      </c>
      <c r="M122" s="28">
        <v>1.48118752464133</v>
      </c>
      <c r="N122" s="28">
        <v>0.15474527579342701</v>
      </c>
      <c r="O122" s="28"/>
      <c r="P122" s="28"/>
      <c r="Q122" s="28">
        <f t="shared" si="3"/>
        <v>0.18245368150465677</v>
      </c>
      <c r="R122" s="28"/>
      <c r="S122" s="28"/>
      <c r="T122" s="28"/>
      <c r="U122" s="28" t="s">
        <v>587</v>
      </c>
      <c r="V122" s="28">
        <v>1.51428571428571</v>
      </c>
      <c r="W122" s="28">
        <v>1.6</v>
      </c>
      <c r="X122" s="28">
        <v>1.5</v>
      </c>
      <c r="Y122" s="28">
        <v>1.63636363636363</v>
      </c>
      <c r="Z122" s="28">
        <v>1.71428571428571</v>
      </c>
      <c r="AA122" s="28">
        <v>1.78571428571428</v>
      </c>
      <c r="AB122" s="28">
        <v>1.34615384615384</v>
      </c>
      <c r="AC122" s="28">
        <v>1.3333333333333299</v>
      </c>
      <c r="AD122" s="28">
        <v>1.4285714285714199</v>
      </c>
      <c r="AE122" s="28">
        <v>1.34375</v>
      </c>
      <c r="AF122" s="28">
        <v>1.52024579587079</v>
      </c>
      <c r="AG122" s="28">
        <v>0.16097402861816901</v>
      </c>
    </row>
    <row r="123" spans="1:33" x14ac:dyDescent="0.25">
      <c r="A123" s="28"/>
      <c r="B123" s="28" t="s">
        <v>588</v>
      </c>
      <c r="C123" s="28">
        <v>1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2</v>
      </c>
      <c r="K123" s="28">
        <v>1</v>
      </c>
      <c r="L123" s="28">
        <v>1</v>
      </c>
      <c r="M123" s="28">
        <v>1.1000000000000001</v>
      </c>
      <c r="N123" s="28">
        <v>0.316227766016837</v>
      </c>
      <c r="O123" s="28"/>
      <c r="P123" s="28"/>
      <c r="Q123" s="28" t="e">
        <f t="shared" si="3"/>
        <v>#DIV/0!</v>
      </c>
      <c r="R123" s="28"/>
      <c r="S123" s="28"/>
      <c r="T123" s="28"/>
      <c r="U123" s="28" t="s">
        <v>588</v>
      </c>
      <c r="V123" s="28">
        <v>1</v>
      </c>
      <c r="W123" s="28">
        <v>2</v>
      </c>
      <c r="X123" s="28">
        <v>1.5</v>
      </c>
      <c r="Y123" s="28">
        <v>1</v>
      </c>
      <c r="Z123" s="28">
        <v>2</v>
      </c>
      <c r="AA123" s="28">
        <v>2</v>
      </c>
      <c r="AB123" s="28">
        <v>1</v>
      </c>
      <c r="AC123" s="28">
        <v>1</v>
      </c>
      <c r="AD123" s="28">
        <v>1</v>
      </c>
      <c r="AE123" s="28">
        <v>1</v>
      </c>
      <c r="AF123" s="28">
        <v>1.35</v>
      </c>
      <c r="AG123" s="28">
        <v>0.474341649025256</v>
      </c>
    </row>
    <row r="124" spans="1:33" x14ac:dyDescent="0.25">
      <c r="A124" s="28"/>
      <c r="B124" s="28" t="s">
        <v>589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/>
      <c r="P124" s="28"/>
      <c r="Q124" s="28" t="e">
        <f t="shared" si="3"/>
        <v>#DIV/0!</v>
      </c>
      <c r="R124" s="28"/>
      <c r="S124" s="28"/>
      <c r="T124" s="28"/>
      <c r="U124" s="28" t="s">
        <v>589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8A97-6EAE-427E-A5F1-7828527B53DC}">
  <dimension ref="A1:AF125"/>
  <sheetViews>
    <sheetView topLeftCell="R64" workbookViewId="0">
      <selection activeCell="R66" sqref="R66"/>
    </sheetView>
  </sheetViews>
  <sheetFormatPr defaultRowHeight="15" x14ac:dyDescent="0.25"/>
  <cols>
    <col min="1" max="1" width="15" style="28" bestFit="1" customWidth="1"/>
    <col min="2" max="2" width="30.5703125" style="28" bestFit="1" customWidth="1"/>
    <col min="3" max="12" width="21.7109375" style="28" bestFit="1" customWidth="1"/>
    <col min="13" max="13" width="12.7109375" style="28" bestFit="1" customWidth="1"/>
    <col min="14" max="15" width="12" style="28" bestFit="1" customWidth="1"/>
    <col min="16" max="16" width="12.140625" style="41" bestFit="1" customWidth="1"/>
    <col min="17" max="17" width="12" style="41" bestFit="1" customWidth="1"/>
    <col min="18" max="19" width="30.5703125" style="28" bestFit="1" customWidth="1"/>
    <col min="20" max="29" width="21.7109375" style="28" bestFit="1" customWidth="1"/>
    <col min="30" max="30" width="12.7109375" style="28" bestFit="1" customWidth="1"/>
    <col min="31" max="31" width="12" style="28" bestFit="1" customWidth="1"/>
    <col min="32" max="32" width="12.140625" style="28" bestFit="1" customWidth="1"/>
    <col min="33" max="16384" width="9.140625" style="28"/>
  </cols>
  <sheetData>
    <row r="1" spans="1:32" x14ac:dyDescent="0.25">
      <c r="A1" s="49" t="s">
        <v>556</v>
      </c>
      <c r="P1" s="50" t="s">
        <v>129</v>
      </c>
      <c r="Q1" s="50"/>
      <c r="R1" s="51" t="s">
        <v>557</v>
      </c>
      <c r="AF1" s="28" t="s">
        <v>13</v>
      </c>
    </row>
    <row r="2" spans="1:32" x14ac:dyDescent="0.25">
      <c r="B2" s="28" t="s">
        <v>558</v>
      </c>
      <c r="C2" s="28" t="s">
        <v>148</v>
      </c>
      <c r="D2" s="28" t="s">
        <v>206</v>
      </c>
      <c r="E2" s="28" t="s">
        <v>239</v>
      </c>
      <c r="F2" s="28" t="s">
        <v>137</v>
      </c>
      <c r="G2" s="28" t="s">
        <v>194</v>
      </c>
      <c r="H2" s="28" t="s">
        <v>159</v>
      </c>
      <c r="I2" s="28" t="s">
        <v>217</v>
      </c>
      <c r="J2" s="28" t="s">
        <v>171</v>
      </c>
      <c r="K2" s="28" t="s">
        <v>228</v>
      </c>
      <c r="L2" s="28" t="s">
        <v>183</v>
      </c>
      <c r="M2" s="28" t="s">
        <v>559</v>
      </c>
      <c r="N2" s="28" t="s">
        <v>560</v>
      </c>
      <c r="P2" s="41" t="s">
        <v>561</v>
      </c>
      <c r="Q2" s="41" t="s">
        <v>562</v>
      </c>
      <c r="R2" s="28" t="s">
        <v>558</v>
      </c>
      <c r="S2" s="28" t="s">
        <v>25</v>
      </c>
      <c r="T2" s="28" t="s">
        <v>81</v>
      </c>
      <c r="U2" s="28" t="s">
        <v>37</v>
      </c>
      <c r="V2" s="28" t="s">
        <v>92</v>
      </c>
      <c r="W2" s="28" t="s">
        <v>48</v>
      </c>
      <c r="X2" s="28" t="s">
        <v>103</v>
      </c>
      <c r="Y2" s="28" t="s">
        <v>59</v>
      </c>
      <c r="Z2" s="28" t="s">
        <v>114</v>
      </c>
      <c r="AA2" s="28" t="s">
        <v>70</v>
      </c>
      <c r="AB2" s="28" t="s">
        <v>125</v>
      </c>
      <c r="AC2" s="28" t="s">
        <v>559</v>
      </c>
      <c r="AD2" s="28" t="s">
        <v>560</v>
      </c>
      <c r="AF2" s="28" t="s">
        <v>561</v>
      </c>
    </row>
    <row r="3" spans="1:32" x14ac:dyDescent="0.25">
      <c r="B3" s="28" t="s">
        <v>563</v>
      </c>
      <c r="C3" s="28">
        <v>62</v>
      </c>
      <c r="D3" s="28">
        <v>78</v>
      </c>
      <c r="E3" s="28">
        <v>66</v>
      </c>
      <c r="F3" s="28">
        <v>86</v>
      </c>
      <c r="G3" s="28">
        <v>83</v>
      </c>
      <c r="H3" s="28">
        <v>68</v>
      </c>
      <c r="I3" s="28">
        <v>91</v>
      </c>
      <c r="J3" s="28">
        <v>101</v>
      </c>
      <c r="K3" s="28">
        <v>98</v>
      </c>
      <c r="L3" s="28">
        <v>86</v>
      </c>
      <c r="M3" s="28">
        <v>81.900000000000006</v>
      </c>
      <c r="N3" s="28">
        <v>13.328749211968599</v>
      </c>
      <c r="P3" s="41">
        <f>_xlfn.T.TEST(C3:L3,C34:L34,2,2)</f>
        <v>3.0794915829502974E-6</v>
      </c>
      <c r="Q3" s="41">
        <f>_xlfn.T.TEST(C3:L3,S3:AB3,2,2)</f>
        <v>1.540474530026628E-2</v>
      </c>
      <c r="R3" s="28" t="s">
        <v>563</v>
      </c>
      <c r="S3" s="28">
        <v>66</v>
      </c>
      <c r="T3" s="28">
        <v>58</v>
      </c>
      <c r="U3" s="28">
        <v>77</v>
      </c>
      <c r="V3" s="28">
        <v>79</v>
      </c>
      <c r="W3" s="28">
        <v>63</v>
      </c>
      <c r="X3" s="28">
        <v>63</v>
      </c>
      <c r="Y3" s="28">
        <v>80</v>
      </c>
      <c r="Z3" s="28">
        <v>80</v>
      </c>
      <c r="AA3" s="28">
        <v>55</v>
      </c>
      <c r="AB3" s="28">
        <v>54</v>
      </c>
      <c r="AC3" s="28">
        <v>67.5</v>
      </c>
      <c r="AD3" s="28">
        <v>10.5751280528102</v>
      </c>
      <c r="AF3" s="28">
        <f>_xlfn.T.TEST(S3:AB3,S34:AB34,2,2)</f>
        <v>9.436815161600212E-6</v>
      </c>
    </row>
    <row r="4" spans="1:32" x14ac:dyDescent="0.25">
      <c r="B4" s="28" t="s">
        <v>564</v>
      </c>
      <c r="C4" s="28">
        <v>37</v>
      </c>
      <c r="D4" s="28">
        <v>56</v>
      </c>
      <c r="E4" s="28">
        <v>36</v>
      </c>
      <c r="F4" s="28">
        <v>45</v>
      </c>
      <c r="G4" s="28">
        <v>52</v>
      </c>
      <c r="H4" s="28">
        <v>42</v>
      </c>
      <c r="I4" s="28">
        <v>57</v>
      </c>
      <c r="J4" s="28">
        <v>57</v>
      </c>
      <c r="K4" s="28">
        <v>62</v>
      </c>
      <c r="L4" s="28">
        <v>42</v>
      </c>
      <c r="M4" s="28">
        <v>48.6</v>
      </c>
      <c r="N4" s="28">
        <v>9.3118801061391991</v>
      </c>
      <c r="P4" s="41">
        <f t="shared" ref="P4:P29" si="0">_xlfn.T.TEST(C4:L4,C35:L35,2,2)</f>
        <v>7.3896228541852032E-4</v>
      </c>
      <c r="Q4" s="41">
        <f t="shared" ref="Q4:Q61" si="1">_xlfn.T.TEST(C4:L4,S4:AB4,2,2)</f>
        <v>4.8841501300647384E-2</v>
      </c>
      <c r="R4" s="28" t="s">
        <v>564</v>
      </c>
      <c r="S4" s="28">
        <v>47</v>
      </c>
      <c r="T4" s="28">
        <v>35</v>
      </c>
      <c r="U4" s="28">
        <v>42</v>
      </c>
      <c r="V4" s="28">
        <v>42</v>
      </c>
      <c r="W4" s="28">
        <v>37</v>
      </c>
      <c r="X4" s="28">
        <v>39</v>
      </c>
      <c r="Y4" s="28">
        <v>49</v>
      </c>
      <c r="Z4" s="28">
        <v>52</v>
      </c>
      <c r="AA4" s="28">
        <v>35</v>
      </c>
      <c r="AB4" s="28">
        <v>31</v>
      </c>
      <c r="AC4" s="28">
        <v>40.9</v>
      </c>
      <c r="AD4" s="28">
        <v>6.7896980787071799</v>
      </c>
      <c r="AF4" s="28">
        <f t="shared" ref="AF4:AF29" si="2">_xlfn.T.TEST(S4:AB4,S35:AB35,2,2)</f>
        <v>6.2967140040791499E-4</v>
      </c>
    </row>
    <row r="5" spans="1:32" x14ac:dyDescent="0.25">
      <c r="B5" s="28" t="s">
        <v>565</v>
      </c>
      <c r="C5" s="28">
        <v>25</v>
      </c>
      <c r="D5" s="28">
        <v>22</v>
      </c>
      <c r="E5" s="28">
        <v>30</v>
      </c>
      <c r="F5" s="28">
        <v>41</v>
      </c>
      <c r="G5" s="28">
        <v>31</v>
      </c>
      <c r="H5" s="28">
        <v>26</v>
      </c>
      <c r="I5" s="28">
        <v>34</v>
      </c>
      <c r="J5" s="28">
        <v>44</v>
      </c>
      <c r="K5" s="28">
        <v>36</v>
      </c>
      <c r="L5" s="28">
        <v>44</v>
      </c>
      <c r="M5" s="28">
        <v>33.299999999999997</v>
      </c>
      <c r="N5" s="28">
        <v>7.9028827370495298</v>
      </c>
      <c r="P5" s="41">
        <f t="shared" si="0"/>
        <v>6.9187307015093622E-6</v>
      </c>
      <c r="Q5" s="41">
        <f t="shared" si="1"/>
        <v>4.789249030345108E-2</v>
      </c>
      <c r="R5" s="28" t="s">
        <v>565</v>
      </c>
      <c r="S5" s="28">
        <v>19</v>
      </c>
      <c r="T5" s="28">
        <v>23</v>
      </c>
      <c r="U5" s="28">
        <v>35</v>
      </c>
      <c r="V5" s="28">
        <v>37</v>
      </c>
      <c r="W5" s="28">
        <v>26</v>
      </c>
      <c r="X5" s="28">
        <v>24</v>
      </c>
      <c r="Y5" s="28">
        <v>31</v>
      </c>
      <c r="Z5" s="28">
        <v>28</v>
      </c>
      <c r="AA5" s="28">
        <v>20</v>
      </c>
      <c r="AB5" s="28">
        <v>23</v>
      </c>
      <c r="AC5" s="28">
        <v>26.6</v>
      </c>
      <c r="AD5" s="28">
        <v>6.0955357070199696</v>
      </c>
      <c r="AF5" s="28">
        <f t="shared" si="2"/>
        <v>3.0428328987009565E-5</v>
      </c>
    </row>
    <row r="6" spans="1:32" x14ac:dyDescent="0.25">
      <c r="B6" s="28" t="s">
        <v>566</v>
      </c>
      <c r="C6" s="28">
        <v>2.6856943458433098</v>
      </c>
      <c r="D6" s="28">
        <v>3.4840006451852998</v>
      </c>
      <c r="E6" s="28">
        <v>2.96196566812521</v>
      </c>
      <c r="F6" s="28">
        <v>3.7260801540498201</v>
      </c>
      <c r="G6" s="28">
        <v>3.6313256526177602</v>
      </c>
      <c r="H6" s="28">
        <v>2.95438088341781</v>
      </c>
      <c r="I6" s="28">
        <v>3.9842866351264199</v>
      </c>
      <c r="J6" s="28">
        <v>4.3822540405683901</v>
      </c>
      <c r="K6" s="28">
        <v>4.4055944055943996</v>
      </c>
      <c r="L6" s="28">
        <v>3.7373249637856101</v>
      </c>
      <c r="M6" s="28">
        <v>3.5952907394314</v>
      </c>
      <c r="N6" s="28">
        <v>0.58854022388918603</v>
      </c>
      <c r="P6" s="41">
        <f t="shared" si="0"/>
        <v>3.718214543670262E-6</v>
      </c>
      <c r="Q6" s="41">
        <f t="shared" si="1"/>
        <v>1.3134321365434897E-2</v>
      </c>
      <c r="R6" s="28" t="s">
        <v>566</v>
      </c>
      <c r="S6" s="28">
        <v>2.87178495455424</v>
      </c>
      <c r="T6" s="28">
        <v>2.6192327956044998</v>
      </c>
      <c r="U6" s="28">
        <v>3.3401614652367702</v>
      </c>
      <c r="V6" s="28">
        <v>3.4526714499034799</v>
      </c>
      <c r="W6" s="28">
        <v>2.7317731231104601</v>
      </c>
      <c r="X6" s="28">
        <v>2.7542655898961601</v>
      </c>
      <c r="Y6" s="28">
        <v>3.4642865734837698</v>
      </c>
      <c r="Z6" s="28">
        <v>3.5005408821849202</v>
      </c>
      <c r="AA6" s="28">
        <v>2.4330302285573802</v>
      </c>
      <c r="AB6" s="28">
        <v>2.36433071440733</v>
      </c>
      <c r="AC6" s="28">
        <v>2.9532077776938999</v>
      </c>
      <c r="AD6" s="28">
        <v>0.44523568320041601</v>
      </c>
      <c r="AF6" s="28">
        <f t="shared" si="2"/>
        <v>6.6498474763230398E-6</v>
      </c>
    </row>
    <row r="7" spans="1:32" x14ac:dyDescent="0.25">
      <c r="B7" s="28" t="s">
        <v>567</v>
      </c>
      <c r="C7" s="28">
        <v>3.0904155356024199</v>
      </c>
      <c r="D7" s="28">
        <v>4.7625797306874498</v>
      </c>
      <c r="E7" s="28">
        <v>3.1088828651617999</v>
      </c>
      <c r="F7" s="28">
        <v>3.78274879745948</v>
      </c>
      <c r="G7" s="28">
        <v>4.3241245495703504</v>
      </c>
      <c r="H7" s="28">
        <v>3.59289974574056</v>
      </c>
      <c r="I7" s="28">
        <v>4.8174668388308399</v>
      </c>
      <c r="J7" s="28">
        <v>4.7224523612261802</v>
      </c>
      <c r="K7" s="28">
        <v>5.1868377021751204</v>
      </c>
      <c r="L7" s="28">
        <v>3.5999142877550501</v>
      </c>
      <c r="M7" s="28">
        <v>4.0988322414209204</v>
      </c>
      <c r="N7" s="28">
        <v>0.75880831666955995</v>
      </c>
      <c r="P7" s="41">
        <f t="shared" si="0"/>
        <v>7.1335089958020142E-4</v>
      </c>
      <c r="Q7" s="41">
        <f t="shared" si="1"/>
        <v>1.8077281600933925E-2</v>
      </c>
      <c r="R7" s="28" t="s">
        <v>567</v>
      </c>
      <c r="S7" s="28">
        <v>3.0822479278622801</v>
      </c>
      <c r="T7" s="28">
        <v>2.9286660623387402</v>
      </c>
      <c r="U7" s="28">
        <v>3.5438053719589302</v>
      </c>
      <c r="V7" s="28">
        <v>3.5569775101157401</v>
      </c>
      <c r="W7" s="28">
        <v>3.1612673549305801</v>
      </c>
      <c r="X7" s="28">
        <v>3.2487215679015198</v>
      </c>
      <c r="Y7" s="28">
        <v>3.9375</v>
      </c>
      <c r="Z7" s="28">
        <v>4.38335635844241</v>
      </c>
      <c r="AA7" s="28">
        <v>2.9264214046822699</v>
      </c>
      <c r="AB7" s="28">
        <v>2.6260059296908</v>
      </c>
      <c r="AC7" s="28">
        <v>3.3394969487923301</v>
      </c>
      <c r="AD7" s="28">
        <v>0.526092061664444</v>
      </c>
      <c r="AF7" s="28">
        <f t="shared" si="2"/>
        <v>1.6572613918375118E-3</v>
      </c>
    </row>
    <row r="8" spans="1:32" x14ac:dyDescent="0.25">
      <c r="B8" s="28" t="s">
        <v>568</v>
      </c>
      <c r="C8" s="28">
        <v>2.2496625506173999</v>
      </c>
      <c r="D8" s="28">
        <v>2.0696683826795899</v>
      </c>
      <c r="E8" s="28">
        <v>2.80301064105891</v>
      </c>
      <c r="F8" s="28">
        <v>3.6658056824955199</v>
      </c>
      <c r="G8" s="28">
        <v>2.8621255642182999</v>
      </c>
      <c r="H8" s="28">
        <v>2.29541162910464</v>
      </c>
      <c r="I8" s="28">
        <v>3.0887251438376899</v>
      </c>
      <c r="J8" s="28">
        <v>4.0081985880209503</v>
      </c>
      <c r="K8" s="28">
        <v>3.49816454329518</v>
      </c>
      <c r="L8" s="28">
        <v>3.8786454124733698</v>
      </c>
      <c r="M8" s="28">
        <v>3.0419418137801499</v>
      </c>
      <c r="N8" s="28">
        <v>0.70340524218627498</v>
      </c>
      <c r="P8" s="41">
        <f t="shared" si="0"/>
        <v>5.1860309319621367E-6</v>
      </c>
      <c r="Q8" s="41">
        <f t="shared" si="1"/>
        <v>6.2687759921796857E-2</v>
      </c>
      <c r="R8" s="28" t="s">
        <v>568</v>
      </c>
      <c r="S8" s="28">
        <v>2.4568083042994102</v>
      </c>
      <c r="T8" s="28">
        <v>2.2564382068401598</v>
      </c>
      <c r="U8" s="28">
        <v>3.12469001091161</v>
      </c>
      <c r="V8" s="28">
        <v>3.3414444472317602</v>
      </c>
      <c r="W8" s="28">
        <v>2.2891801995695502</v>
      </c>
      <c r="X8" s="28">
        <v>2.2081373952157</v>
      </c>
      <c r="Y8" s="28">
        <v>2.9112537173266499</v>
      </c>
      <c r="Z8" s="28">
        <v>2.5476419147753102</v>
      </c>
      <c r="AA8" s="28">
        <v>1.8787182966287399</v>
      </c>
      <c r="AB8" s="28">
        <v>2.0843822374383199</v>
      </c>
      <c r="AC8" s="28">
        <v>2.5098694730237199</v>
      </c>
      <c r="AD8" s="28">
        <v>0.473548940575442</v>
      </c>
      <c r="AF8" s="28">
        <f t="shared" si="2"/>
        <v>2.7059102885152538E-6</v>
      </c>
    </row>
    <row r="9" spans="1:32" x14ac:dyDescent="0.25">
      <c r="B9" s="28" t="s">
        <v>569</v>
      </c>
      <c r="C9" s="28">
        <v>56</v>
      </c>
      <c r="D9" s="28">
        <v>66</v>
      </c>
      <c r="E9" s="28">
        <v>59</v>
      </c>
      <c r="F9" s="28">
        <v>67</v>
      </c>
      <c r="G9" s="28">
        <v>73</v>
      </c>
      <c r="H9" s="28">
        <v>62</v>
      </c>
      <c r="I9" s="28">
        <v>88</v>
      </c>
      <c r="J9" s="28">
        <v>84</v>
      </c>
      <c r="K9" s="28">
        <v>83</v>
      </c>
      <c r="L9" s="28">
        <v>79</v>
      </c>
      <c r="M9" s="28">
        <v>71.7</v>
      </c>
      <c r="N9" s="28">
        <v>11.333823518811</v>
      </c>
      <c r="P9" s="41">
        <f t="shared" si="0"/>
        <v>1.866813608158248E-5</v>
      </c>
      <c r="Q9" s="41">
        <f>_xlfn.T.TEST(C9:L9,S9:AB9,2,2)</f>
        <v>4.9548759968497925E-2</v>
      </c>
      <c r="R9" s="28" t="s">
        <v>569</v>
      </c>
      <c r="S9" s="28">
        <v>61</v>
      </c>
      <c r="T9" s="28">
        <v>54</v>
      </c>
      <c r="U9" s="28">
        <v>69</v>
      </c>
      <c r="V9" s="28">
        <v>75</v>
      </c>
      <c r="W9" s="28">
        <v>57</v>
      </c>
      <c r="X9" s="28">
        <v>59</v>
      </c>
      <c r="Y9" s="28">
        <v>66</v>
      </c>
      <c r="Z9" s="28">
        <v>76</v>
      </c>
      <c r="AA9" s="28">
        <v>50</v>
      </c>
      <c r="AB9" s="28">
        <v>53</v>
      </c>
      <c r="AC9" s="28">
        <v>62</v>
      </c>
      <c r="AD9" s="28">
        <v>9.1530201451639801</v>
      </c>
      <c r="AF9" s="28">
        <f t="shared" si="2"/>
        <v>2.3561663694945448E-5</v>
      </c>
    </row>
    <row r="10" spans="1:32" x14ac:dyDescent="0.25">
      <c r="B10" s="28" t="s">
        <v>570</v>
      </c>
      <c r="C10" s="28">
        <v>34</v>
      </c>
      <c r="D10" s="28">
        <v>48</v>
      </c>
      <c r="E10" s="28">
        <v>34</v>
      </c>
      <c r="F10" s="28">
        <v>36</v>
      </c>
      <c r="G10" s="28">
        <v>51</v>
      </c>
      <c r="H10" s="28">
        <v>37</v>
      </c>
      <c r="I10" s="28">
        <v>57</v>
      </c>
      <c r="J10" s="28">
        <v>46</v>
      </c>
      <c r="K10" s="28">
        <v>53</v>
      </c>
      <c r="L10" s="28">
        <v>40</v>
      </c>
      <c r="M10" s="28">
        <v>43.6</v>
      </c>
      <c r="N10" s="28">
        <v>8.4747992437710398</v>
      </c>
      <c r="P10" s="41">
        <f t="shared" si="0"/>
        <v>4.6292784332275811E-3</v>
      </c>
      <c r="Q10" s="41">
        <f t="shared" si="1"/>
        <v>0.18498873292150012</v>
      </c>
      <c r="R10" s="28" t="s">
        <v>570</v>
      </c>
      <c r="S10" s="28">
        <v>47</v>
      </c>
      <c r="T10" s="28">
        <v>34</v>
      </c>
      <c r="U10" s="28">
        <v>39</v>
      </c>
      <c r="V10" s="28">
        <v>41</v>
      </c>
      <c r="W10" s="28">
        <v>34</v>
      </c>
      <c r="X10" s="28">
        <v>38</v>
      </c>
      <c r="Y10" s="28">
        <v>41</v>
      </c>
      <c r="Z10" s="28">
        <v>51</v>
      </c>
      <c r="AA10" s="28">
        <v>34</v>
      </c>
      <c r="AB10" s="28">
        <v>31</v>
      </c>
      <c r="AC10" s="28">
        <v>39</v>
      </c>
      <c r="AD10" s="28">
        <v>6.2893207547044003</v>
      </c>
      <c r="AF10" s="28">
        <f t="shared" si="2"/>
        <v>1.8753558169765715E-3</v>
      </c>
    </row>
    <row r="11" spans="1:32" x14ac:dyDescent="0.25">
      <c r="B11" s="28" t="s">
        <v>571</v>
      </c>
      <c r="C11" s="28">
        <v>22</v>
      </c>
      <c r="D11" s="28">
        <v>18</v>
      </c>
      <c r="E11" s="28">
        <v>25</v>
      </c>
      <c r="F11" s="28">
        <v>31</v>
      </c>
      <c r="G11" s="28">
        <v>22</v>
      </c>
      <c r="H11" s="28">
        <v>25</v>
      </c>
      <c r="I11" s="28">
        <v>31</v>
      </c>
      <c r="J11" s="28">
        <v>38</v>
      </c>
      <c r="K11" s="28">
        <v>30</v>
      </c>
      <c r="L11" s="28">
        <v>39</v>
      </c>
      <c r="M11" s="28">
        <v>28.1</v>
      </c>
      <c r="N11" s="28">
        <v>6.9354163537598801</v>
      </c>
      <c r="P11" s="41">
        <f>_xlfn.T.TEST(C11:L11,C42:L42,2,2)</f>
        <v>4.2539067504281225E-5</v>
      </c>
      <c r="Q11" s="41">
        <f t="shared" si="1"/>
        <v>0.10242243351216386</v>
      </c>
      <c r="R11" s="28" t="s">
        <v>571</v>
      </c>
      <c r="S11" s="28">
        <v>14</v>
      </c>
      <c r="T11" s="28">
        <v>20</v>
      </c>
      <c r="U11" s="28">
        <v>30</v>
      </c>
      <c r="V11" s="28">
        <v>34</v>
      </c>
      <c r="W11" s="28">
        <v>23</v>
      </c>
      <c r="X11" s="28">
        <v>21</v>
      </c>
      <c r="Y11" s="28">
        <v>26</v>
      </c>
      <c r="Z11" s="28">
        <v>25</v>
      </c>
      <c r="AA11" s="28">
        <v>16</v>
      </c>
      <c r="AB11" s="28">
        <v>22</v>
      </c>
      <c r="AC11" s="28">
        <v>23.1</v>
      </c>
      <c r="AD11" s="28">
        <v>6.02679203409427</v>
      </c>
      <c r="AF11" s="28">
        <f t="shared" si="2"/>
        <v>1.7042651767879544E-4</v>
      </c>
    </row>
    <row r="12" spans="1:32" x14ac:dyDescent="0.25">
      <c r="B12" s="28" t="s">
        <v>572</v>
      </c>
      <c r="C12" s="28">
        <v>1.08928571428571</v>
      </c>
      <c r="D12" s="28">
        <v>1.1666666666666601</v>
      </c>
      <c r="E12" s="28">
        <v>1.1016949152542299</v>
      </c>
      <c r="F12" s="28">
        <v>1.2686567164179099</v>
      </c>
      <c r="G12" s="28">
        <v>1.1232876712328701</v>
      </c>
      <c r="H12" s="28">
        <v>1.0806451612903201</v>
      </c>
      <c r="I12" s="28">
        <v>1.02272727272727</v>
      </c>
      <c r="J12" s="28">
        <v>1.19047619047619</v>
      </c>
      <c r="K12" s="28">
        <v>1.1686746987951799</v>
      </c>
      <c r="L12" s="28">
        <v>1.0759493670886</v>
      </c>
      <c r="M12" s="28">
        <v>1.1288064374234901</v>
      </c>
      <c r="N12" s="28">
        <v>7.0771683569449004E-2</v>
      </c>
      <c r="P12" s="41">
        <f t="shared" si="0"/>
        <v>4.2865784409539551E-4</v>
      </c>
      <c r="Q12" s="41">
        <f t="shared" si="1"/>
        <v>5.553908851033252E-2</v>
      </c>
      <c r="R12" s="28" t="s">
        <v>572</v>
      </c>
      <c r="S12" s="28">
        <v>1.0655737704918</v>
      </c>
      <c r="T12" s="28">
        <v>1.05555555555555</v>
      </c>
      <c r="U12" s="28">
        <v>1.10144927536231</v>
      </c>
      <c r="V12" s="28">
        <v>1.04</v>
      </c>
      <c r="W12" s="28">
        <v>1.0877192982456101</v>
      </c>
      <c r="X12" s="28">
        <v>1.0508474576271101</v>
      </c>
      <c r="Y12" s="28">
        <v>1.1969696969696899</v>
      </c>
      <c r="Z12" s="28">
        <v>1.0394736842105201</v>
      </c>
      <c r="AA12" s="28">
        <v>1.08</v>
      </c>
      <c r="AB12" s="28">
        <v>1</v>
      </c>
      <c r="AC12" s="28">
        <v>1.07175887384626</v>
      </c>
      <c r="AD12" s="28">
        <v>5.2514873391184803E-2</v>
      </c>
      <c r="AF12" s="28">
        <f t="shared" si="2"/>
        <v>2.3689094694821968E-3</v>
      </c>
    </row>
    <row r="13" spans="1:32" x14ac:dyDescent="0.25">
      <c r="B13" s="28" t="s">
        <v>573</v>
      </c>
      <c r="C13" s="28">
        <v>1.0882352941176401</v>
      </c>
      <c r="D13" s="28">
        <v>1.1666666666666601</v>
      </c>
      <c r="E13" s="28">
        <v>1.0588235294117601</v>
      </c>
      <c r="F13" s="28">
        <v>1.25</v>
      </c>
      <c r="G13" s="28">
        <v>1.0196078431372499</v>
      </c>
      <c r="H13" s="28">
        <v>1.13513513513513</v>
      </c>
      <c r="I13" s="28">
        <v>1</v>
      </c>
      <c r="J13" s="28">
        <v>1.2391304347826</v>
      </c>
      <c r="K13" s="28">
        <v>1.1698113207547101</v>
      </c>
      <c r="L13" s="28">
        <v>1.05</v>
      </c>
      <c r="M13" s="28">
        <v>1.1177410224005699</v>
      </c>
      <c r="N13" s="28">
        <v>8.8228989135715599E-2</v>
      </c>
      <c r="P13" s="41">
        <f t="shared" si="0"/>
        <v>6.7037650603771134E-3</v>
      </c>
      <c r="Q13" s="41">
        <f t="shared" si="1"/>
        <v>5.5128779375589611E-2</v>
      </c>
      <c r="R13" s="28" t="s">
        <v>573</v>
      </c>
      <c r="S13" s="28">
        <v>1</v>
      </c>
      <c r="T13" s="28">
        <v>1.02941176470588</v>
      </c>
      <c r="U13" s="28">
        <v>1.07692307692307</v>
      </c>
      <c r="V13" s="28">
        <v>1.0243902439024299</v>
      </c>
      <c r="W13" s="28">
        <v>1.0882352941176401</v>
      </c>
      <c r="X13" s="28">
        <v>1.0263157894736801</v>
      </c>
      <c r="Y13" s="28">
        <v>1.1951219512195099</v>
      </c>
      <c r="Z13" s="28">
        <v>1.0196078431372499</v>
      </c>
      <c r="AA13" s="28">
        <v>1.02941176470588</v>
      </c>
      <c r="AB13" s="28">
        <v>1</v>
      </c>
      <c r="AC13" s="28">
        <v>1.04894177281853</v>
      </c>
      <c r="AD13" s="28">
        <v>5.8901242738072901E-2</v>
      </c>
      <c r="AF13" s="28">
        <f t="shared" si="2"/>
        <v>4.0439262408156346E-2</v>
      </c>
    </row>
    <row r="14" spans="1:32" x14ac:dyDescent="0.25">
      <c r="B14" s="28" t="s">
        <v>574</v>
      </c>
      <c r="C14" s="28">
        <v>1.0909090909090899</v>
      </c>
      <c r="D14" s="28">
        <v>1.1666666666666601</v>
      </c>
      <c r="E14" s="28">
        <v>1.1599999999999999</v>
      </c>
      <c r="F14" s="28">
        <v>1.2903225806451599</v>
      </c>
      <c r="G14" s="28">
        <v>1.36363636363636</v>
      </c>
      <c r="H14" s="28">
        <v>1</v>
      </c>
      <c r="I14" s="28">
        <v>1.06451612903225</v>
      </c>
      <c r="J14" s="28">
        <v>1.1315789473684199</v>
      </c>
      <c r="K14" s="28">
        <v>1.1666666666666601</v>
      </c>
      <c r="L14" s="28">
        <v>1.1025641025641</v>
      </c>
      <c r="M14" s="28">
        <v>1.1536860547488701</v>
      </c>
      <c r="N14" s="28">
        <v>0.106322013684085</v>
      </c>
      <c r="P14" s="41">
        <f t="shared" si="0"/>
        <v>1.1523626134467475E-3</v>
      </c>
      <c r="Q14" s="41">
        <f t="shared" si="1"/>
        <v>0.40577189831904537</v>
      </c>
      <c r="R14" s="28" t="s">
        <v>574</v>
      </c>
      <c r="S14" s="28">
        <v>1.28571428571428</v>
      </c>
      <c r="T14" s="28">
        <v>1.1000000000000001</v>
      </c>
      <c r="U14" s="28">
        <v>1.13333333333333</v>
      </c>
      <c r="V14" s="28">
        <v>1.0588235294117601</v>
      </c>
      <c r="W14" s="28">
        <v>1.0869565217391299</v>
      </c>
      <c r="X14" s="28">
        <v>1.09523809523809</v>
      </c>
      <c r="Y14" s="28">
        <v>1.15384615384615</v>
      </c>
      <c r="Z14" s="28">
        <v>1.08</v>
      </c>
      <c r="AA14" s="28">
        <v>1.1875</v>
      </c>
      <c r="AB14" s="28">
        <v>1</v>
      </c>
      <c r="AC14" s="28">
        <v>1.11814119192827</v>
      </c>
      <c r="AD14" s="28">
        <v>7.8282853706516997E-2</v>
      </c>
      <c r="AF14" s="28">
        <f t="shared" si="2"/>
        <v>1.9959087499968192E-3</v>
      </c>
    </row>
    <row r="15" spans="1:32" x14ac:dyDescent="0.25">
      <c r="B15" s="28" t="s">
        <v>575</v>
      </c>
      <c r="C15" s="28">
        <v>100</v>
      </c>
      <c r="D15" s="28">
        <v>100</v>
      </c>
      <c r="E15" s="28">
        <v>100</v>
      </c>
      <c r="F15" s="28">
        <v>100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0</v>
      </c>
      <c r="P15" s="41" t="e">
        <f t="shared" si="0"/>
        <v>#DIV/0!</v>
      </c>
      <c r="Q15" s="41" t="e">
        <f t="shared" si="1"/>
        <v>#DIV/0!</v>
      </c>
      <c r="R15" s="28" t="s">
        <v>575</v>
      </c>
      <c r="S15" s="28">
        <v>100</v>
      </c>
      <c r="T15" s="28">
        <v>100</v>
      </c>
      <c r="U15" s="28">
        <v>100</v>
      </c>
      <c r="V15" s="28">
        <v>100</v>
      </c>
      <c r="W15" s="28">
        <v>100</v>
      </c>
      <c r="X15" s="28">
        <v>100</v>
      </c>
      <c r="Y15" s="28">
        <v>100</v>
      </c>
      <c r="Z15" s="28">
        <v>100</v>
      </c>
      <c r="AA15" s="28">
        <v>100</v>
      </c>
      <c r="AB15" s="28">
        <v>100</v>
      </c>
      <c r="AC15" s="28">
        <v>100</v>
      </c>
      <c r="AD15" s="28">
        <v>0</v>
      </c>
      <c r="AF15" s="28" t="e">
        <f t="shared" si="2"/>
        <v>#DIV/0!</v>
      </c>
    </row>
    <row r="16" spans="1:32" x14ac:dyDescent="0.25">
      <c r="B16" s="28" t="s">
        <v>576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0</v>
      </c>
      <c r="P16" s="41" t="e">
        <f t="shared" si="0"/>
        <v>#DIV/0!</v>
      </c>
      <c r="Q16" s="41" t="e">
        <f t="shared" si="1"/>
        <v>#DIV/0!</v>
      </c>
      <c r="R16" s="28" t="s">
        <v>576</v>
      </c>
      <c r="S16" s="28">
        <v>100</v>
      </c>
      <c r="T16" s="28">
        <v>100</v>
      </c>
      <c r="U16" s="28">
        <v>100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B16" s="28">
        <v>100</v>
      </c>
      <c r="AC16" s="28">
        <v>100</v>
      </c>
      <c r="AD16" s="28">
        <v>0</v>
      </c>
      <c r="AF16" s="28" t="e">
        <f t="shared" si="2"/>
        <v>#DIV/0!</v>
      </c>
    </row>
    <row r="17" spans="1:32" x14ac:dyDescent="0.25">
      <c r="B17" s="28" t="s">
        <v>577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0</v>
      </c>
      <c r="P17" s="41" t="e">
        <f t="shared" si="0"/>
        <v>#DIV/0!</v>
      </c>
      <c r="Q17" s="41" t="e">
        <f t="shared" si="1"/>
        <v>#DIV/0!</v>
      </c>
      <c r="R17" s="28" t="s">
        <v>577</v>
      </c>
      <c r="S17" s="28">
        <v>100</v>
      </c>
      <c r="T17" s="28">
        <v>100</v>
      </c>
      <c r="U17" s="28">
        <v>100</v>
      </c>
      <c r="V17" s="28">
        <v>100</v>
      </c>
      <c r="W17" s="28">
        <v>100</v>
      </c>
      <c r="X17" s="28">
        <v>100</v>
      </c>
      <c r="Y17" s="28">
        <v>100</v>
      </c>
      <c r="Z17" s="28">
        <v>100</v>
      </c>
      <c r="AA17" s="28">
        <v>100</v>
      </c>
      <c r="AB17" s="28">
        <v>100</v>
      </c>
      <c r="AC17" s="28">
        <v>100</v>
      </c>
      <c r="AD17" s="28">
        <v>0</v>
      </c>
      <c r="AF17" s="28" t="e">
        <f t="shared" si="2"/>
        <v>#DIV/0!</v>
      </c>
    </row>
    <row r="18" spans="1:32" x14ac:dyDescent="0.25">
      <c r="B18" s="28" t="s">
        <v>578</v>
      </c>
      <c r="C18" s="28">
        <v>1507</v>
      </c>
      <c r="D18" s="28">
        <v>1586</v>
      </c>
      <c r="E18" s="28">
        <v>2066</v>
      </c>
      <c r="F18" s="28">
        <v>1245</v>
      </c>
      <c r="G18" s="28">
        <v>2145</v>
      </c>
      <c r="H18" s="28">
        <v>1080</v>
      </c>
      <c r="I18" s="28">
        <v>2645</v>
      </c>
      <c r="J18" s="28">
        <v>1547</v>
      </c>
      <c r="K18" s="28">
        <v>1983</v>
      </c>
      <c r="L18" s="28">
        <v>2633</v>
      </c>
      <c r="M18" s="28">
        <v>1843.7</v>
      </c>
      <c r="N18" s="28">
        <v>541.003809803796</v>
      </c>
      <c r="P18" s="41">
        <f t="shared" si="0"/>
        <v>1.1923433430846477E-3</v>
      </c>
      <c r="Q18" s="41">
        <f t="shared" si="1"/>
        <v>0.35923434162810675</v>
      </c>
      <c r="R18" s="28" t="s">
        <v>578</v>
      </c>
      <c r="S18" s="28">
        <v>2853</v>
      </c>
      <c r="T18" s="28">
        <v>1739</v>
      </c>
      <c r="U18" s="28">
        <v>2947</v>
      </c>
      <c r="V18" s="28">
        <v>2400</v>
      </c>
      <c r="W18" s="28">
        <v>2360</v>
      </c>
      <c r="X18" s="28">
        <v>1897</v>
      </c>
      <c r="Y18" s="28">
        <v>1058</v>
      </c>
      <c r="Z18" s="28">
        <v>2096</v>
      </c>
      <c r="AA18" s="28">
        <v>1915</v>
      </c>
      <c r="AB18" s="28">
        <v>1536</v>
      </c>
      <c r="AC18" s="28">
        <v>2080.1</v>
      </c>
      <c r="AD18" s="28">
        <v>581.92104275408303</v>
      </c>
      <c r="AF18" s="28">
        <f t="shared" si="2"/>
        <v>1.0795656574651414E-3</v>
      </c>
    </row>
    <row r="19" spans="1:32" x14ac:dyDescent="0.25">
      <c r="B19" s="28" t="s">
        <v>579</v>
      </c>
      <c r="C19" s="28">
        <v>804</v>
      </c>
      <c r="D19" s="28">
        <v>1221</v>
      </c>
      <c r="E19" s="28">
        <v>1470</v>
      </c>
      <c r="F19" s="28">
        <v>629</v>
      </c>
      <c r="G19" s="28">
        <v>1674</v>
      </c>
      <c r="H19" s="28">
        <v>616</v>
      </c>
      <c r="I19" s="28">
        <v>1981</v>
      </c>
      <c r="J19" s="28">
        <v>888</v>
      </c>
      <c r="K19" s="28">
        <v>1691</v>
      </c>
      <c r="L19" s="28">
        <v>1850</v>
      </c>
      <c r="M19" s="28">
        <v>1282.4000000000001</v>
      </c>
      <c r="N19" s="28">
        <v>519.07164994611003</v>
      </c>
      <c r="P19" s="41">
        <f t="shared" si="0"/>
        <v>1.3673836889705498E-2</v>
      </c>
      <c r="Q19" s="41">
        <f t="shared" si="1"/>
        <v>0.40699925943173398</v>
      </c>
      <c r="R19" s="28" t="s">
        <v>579</v>
      </c>
      <c r="S19" s="28">
        <v>2684</v>
      </c>
      <c r="T19" s="28">
        <v>1363</v>
      </c>
      <c r="U19" s="28">
        <v>1749</v>
      </c>
      <c r="V19" s="28">
        <v>1301</v>
      </c>
      <c r="W19" s="28">
        <v>1543</v>
      </c>
      <c r="X19" s="28">
        <v>1298</v>
      </c>
      <c r="Y19" s="28">
        <v>797</v>
      </c>
      <c r="Z19" s="28">
        <v>1639</v>
      </c>
      <c r="AA19" s="28">
        <v>1332</v>
      </c>
      <c r="AB19" s="28">
        <v>1062</v>
      </c>
      <c r="AC19" s="28">
        <v>1476.8</v>
      </c>
      <c r="AD19" s="28">
        <v>504.76568821582902</v>
      </c>
      <c r="AF19" s="28">
        <f t="shared" si="2"/>
        <v>4.0244679443622051E-3</v>
      </c>
    </row>
    <row r="20" spans="1:32" x14ac:dyDescent="0.25">
      <c r="B20" s="28" t="s">
        <v>580</v>
      </c>
      <c r="C20" s="28">
        <v>702</v>
      </c>
      <c r="D20" s="28">
        <v>364</v>
      </c>
      <c r="E20" s="28">
        <v>595</v>
      </c>
      <c r="F20" s="28">
        <v>615</v>
      </c>
      <c r="G20" s="28">
        <v>470</v>
      </c>
      <c r="H20" s="28">
        <v>463</v>
      </c>
      <c r="I20" s="28">
        <v>663</v>
      </c>
      <c r="J20" s="28">
        <v>658</v>
      </c>
      <c r="K20" s="28">
        <v>291</v>
      </c>
      <c r="L20" s="28">
        <v>782</v>
      </c>
      <c r="M20" s="28">
        <v>560.29999999999995</v>
      </c>
      <c r="N20" s="28">
        <v>157.125604392013</v>
      </c>
      <c r="P20" s="41">
        <f t="shared" si="0"/>
        <v>1.3532892926390616E-4</v>
      </c>
      <c r="Q20" s="41">
        <f t="shared" si="1"/>
        <v>0.7270780303543114</v>
      </c>
      <c r="R20" s="28" t="s">
        <v>580</v>
      </c>
      <c r="S20" s="28">
        <v>168</v>
      </c>
      <c r="T20" s="28">
        <v>375</v>
      </c>
      <c r="U20" s="28">
        <v>1197</v>
      </c>
      <c r="V20" s="28">
        <v>1098</v>
      </c>
      <c r="W20" s="28">
        <v>816</v>
      </c>
      <c r="X20" s="28">
        <v>598</v>
      </c>
      <c r="Y20" s="28">
        <v>260</v>
      </c>
      <c r="Z20" s="28">
        <v>456</v>
      </c>
      <c r="AA20" s="28">
        <v>582</v>
      </c>
      <c r="AB20" s="28">
        <v>473</v>
      </c>
      <c r="AC20" s="28">
        <v>602.29999999999995</v>
      </c>
      <c r="AD20" s="28">
        <v>340.10751568029502</v>
      </c>
      <c r="AF20" s="28">
        <f t="shared" si="2"/>
        <v>2.8025171623139607E-2</v>
      </c>
    </row>
    <row r="21" spans="1:32" x14ac:dyDescent="0.25">
      <c r="B21" s="28" t="s">
        <v>581</v>
      </c>
      <c r="C21" s="28">
        <v>9.8009289980092902E-3</v>
      </c>
      <c r="D21" s="28">
        <v>9.6532156368221902E-3</v>
      </c>
      <c r="E21" s="28">
        <v>9.4675701839302996E-3</v>
      </c>
      <c r="F21" s="28">
        <v>9.6787148594377499E-3</v>
      </c>
      <c r="G21" s="28">
        <v>9.7109557109557095E-3</v>
      </c>
      <c r="H21" s="28">
        <v>9.41666666666666E-3</v>
      </c>
      <c r="I21" s="28">
        <v>9.7088846880907295E-3</v>
      </c>
      <c r="J21" s="28">
        <v>9.52811893988364E-3</v>
      </c>
      <c r="K21" s="28">
        <v>9.8184568835098292E-3</v>
      </c>
      <c r="L21" s="28">
        <v>9.8101025446258993E-3</v>
      </c>
      <c r="M21" s="28">
        <v>9.6593615111932006E-3</v>
      </c>
      <c r="N21" s="28">
        <v>1.4395666540569101E-4</v>
      </c>
      <c r="P21" s="41">
        <f t="shared" si="0"/>
        <v>8.5636843920483176E-3</v>
      </c>
      <c r="Q21" s="41">
        <f t="shared" si="1"/>
        <v>5.1970454186118786E-2</v>
      </c>
      <c r="R21" s="28" t="s">
        <v>581</v>
      </c>
      <c r="S21" s="28">
        <v>9.4637223974763408E-3</v>
      </c>
      <c r="T21" s="28">
        <v>9.3271995399654903E-3</v>
      </c>
      <c r="U21" s="28">
        <v>9.4638615541228297E-3</v>
      </c>
      <c r="V21" s="28">
        <v>9.43333333333333E-3</v>
      </c>
      <c r="W21" s="28">
        <v>9.2415254237288094E-3</v>
      </c>
      <c r="X21" s="28">
        <v>9.8734844491302001E-3</v>
      </c>
      <c r="Y21" s="28">
        <v>9.7826086956521695E-3</v>
      </c>
      <c r="Z21" s="28">
        <v>9.6183206106870197E-3</v>
      </c>
      <c r="AA21" s="28">
        <v>9.3838120104438594E-3</v>
      </c>
      <c r="AB21" s="28">
        <v>9.3749999999999997E-3</v>
      </c>
      <c r="AC21" s="28">
        <v>9.496286801454E-3</v>
      </c>
      <c r="AD21" s="28">
        <v>2.0168194094298699E-4</v>
      </c>
      <c r="AF21" s="28">
        <f t="shared" si="2"/>
        <v>0.31635220328027325</v>
      </c>
    </row>
    <row r="22" spans="1:32" x14ac:dyDescent="0.25">
      <c r="B22" s="28" t="s">
        <v>582</v>
      </c>
      <c r="C22" s="28">
        <v>98.631840796019901</v>
      </c>
      <c r="D22" s="28">
        <v>97.215397215397203</v>
      </c>
      <c r="E22" s="28">
        <v>94.761904761904702</v>
      </c>
      <c r="F22" s="28">
        <v>97.456279809220902</v>
      </c>
      <c r="G22" s="28">
        <v>97.491039426523301</v>
      </c>
      <c r="H22" s="28">
        <v>94.967532467532394</v>
      </c>
      <c r="I22" s="28">
        <v>96.870267541645603</v>
      </c>
      <c r="J22" s="28">
        <v>97.297297297297305</v>
      </c>
      <c r="K22" s="28">
        <v>98.344175044352397</v>
      </c>
      <c r="L22" s="28">
        <v>98.864864864864799</v>
      </c>
      <c r="M22" s="28">
        <v>97.190059922475896</v>
      </c>
      <c r="N22" s="28">
        <v>1.3875286526955799</v>
      </c>
      <c r="P22" s="41">
        <f t="shared" si="0"/>
        <v>1.3460230364761796E-2</v>
      </c>
      <c r="Q22" s="41">
        <f t="shared" si="1"/>
        <v>9.6208838756210779E-2</v>
      </c>
      <c r="R22" s="28" t="s">
        <v>582</v>
      </c>
      <c r="S22" s="28">
        <v>95.417287630402299</v>
      </c>
      <c r="T22" s="28">
        <v>94.203961848862804</v>
      </c>
      <c r="U22" s="28">
        <v>93.882218410520295</v>
      </c>
      <c r="V22" s="28">
        <v>96.771714066103002</v>
      </c>
      <c r="W22" s="28">
        <v>93.454309786130906</v>
      </c>
      <c r="X22" s="28">
        <v>99.4607087827426</v>
      </c>
      <c r="Y22" s="28">
        <v>98.368883312421502</v>
      </c>
      <c r="Z22" s="28">
        <v>97.1934106162294</v>
      </c>
      <c r="AA22" s="28">
        <v>95.120120120120106</v>
      </c>
      <c r="AB22" s="28">
        <v>94.350282485875695</v>
      </c>
      <c r="AC22" s="28">
        <v>95.822289705940904</v>
      </c>
      <c r="AD22" s="28">
        <v>2.0363004632749102</v>
      </c>
      <c r="AF22" s="28">
        <f t="shared" si="2"/>
        <v>0.69005064008927453</v>
      </c>
    </row>
    <row r="23" spans="1:32" x14ac:dyDescent="0.25">
      <c r="B23" s="28" t="s">
        <v>583</v>
      </c>
      <c r="C23" s="28">
        <v>97.720797720797705</v>
      </c>
      <c r="D23" s="28">
        <v>95.054945054944994</v>
      </c>
      <c r="E23" s="28">
        <v>94.9579831932773</v>
      </c>
      <c r="F23" s="28">
        <v>96.585365853658502</v>
      </c>
      <c r="G23" s="28">
        <v>96.382978723404193</v>
      </c>
      <c r="H23" s="28">
        <v>93.736501079913594</v>
      </c>
      <c r="I23" s="28">
        <v>98.190045248868699</v>
      </c>
      <c r="J23" s="28">
        <v>93.009118541033402</v>
      </c>
      <c r="K23" s="28">
        <v>97.9381443298969</v>
      </c>
      <c r="L23" s="28">
        <v>96.5473145780051</v>
      </c>
      <c r="M23" s="28">
        <v>96.012319432379996</v>
      </c>
      <c r="N23" s="28">
        <v>1.77479059852014</v>
      </c>
      <c r="P23" s="41">
        <f t="shared" si="0"/>
        <v>7.0136146762438817E-4</v>
      </c>
      <c r="Q23" s="41">
        <f>_xlfn.T.TEST(C23:L23,S23:AB23,2,2)</f>
        <v>2.2959706219887896E-2</v>
      </c>
      <c r="R23" s="28" t="s">
        <v>583</v>
      </c>
      <c r="S23" s="28">
        <v>83.928571428571402</v>
      </c>
      <c r="T23" s="28">
        <v>90.6666666666666</v>
      </c>
      <c r="U23" s="28">
        <v>95.989974937343305</v>
      </c>
      <c r="V23" s="28">
        <v>91.712204007285905</v>
      </c>
      <c r="W23" s="28">
        <v>90.808823529411697</v>
      </c>
      <c r="X23" s="28">
        <v>97.658862876254105</v>
      </c>
      <c r="Y23" s="28">
        <v>97.307692307692307</v>
      </c>
      <c r="Z23" s="28">
        <v>93.201754385964904</v>
      </c>
      <c r="AA23" s="28">
        <v>91.408934707903697</v>
      </c>
      <c r="AB23" s="28">
        <v>93.023255813953398</v>
      </c>
      <c r="AC23" s="28">
        <v>92.570674066104701</v>
      </c>
      <c r="AD23" s="28">
        <v>4.0017444378423397</v>
      </c>
      <c r="AF23" s="28">
        <f t="shared" si="2"/>
        <v>0.12874346167208109</v>
      </c>
    </row>
    <row r="24" spans="1:32" x14ac:dyDescent="0.25">
      <c r="B24" s="28" t="s">
        <v>584</v>
      </c>
      <c r="C24" s="28">
        <v>23.085277777777701</v>
      </c>
      <c r="D24" s="28">
        <v>22.3880555555555</v>
      </c>
      <c r="E24" s="28">
        <v>22.282499999999999</v>
      </c>
      <c r="F24" s="28">
        <v>23.080555555555499</v>
      </c>
      <c r="G24" s="28">
        <v>22.856666666666602</v>
      </c>
      <c r="H24" s="28">
        <v>23.016666666666602</v>
      </c>
      <c r="I24" s="28">
        <v>22.8397222222222</v>
      </c>
      <c r="J24" s="28">
        <v>23.047499999999999</v>
      </c>
      <c r="K24" s="28">
        <v>22.244444444444401</v>
      </c>
      <c r="L24" s="28">
        <v>23.011111111111099</v>
      </c>
      <c r="M24" s="28">
        <v>22.785249999999898</v>
      </c>
      <c r="N24" s="28">
        <v>0.34345033889642002</v>
      </c>
      <c r="P24" s="41">
        <f t="shared" si="0"/>
        <v>0.84117466330949364</v>
      </c>
      <c r="Q24" s="41">
        <f t="shared" si="1"/>
        <v>0.70873291363924662</v>
      </c>
      <c r="R24" s="28" t="s">
        <v>584</v>
      </c>
      <c r="S24" s="28">
        <v>22.982222222222202</v>
      </c>
      <c r="T24" s="28">
        <v>22.143888888888799</v>
      </c>
      <c r="U24" s="28">
        <v>23.052777777777699</v>
      </c>
      <c r="V24" s="28">
        <v>22.8808333333333</v>
      </c>
      <c r="W24" s="28">
        <v>23.0619444444444</v>
      </c>
      <c r="X24" s="28">
        <v>22.873611111111099</v>
      </c>
      <c r="Y24" s="28">
        <v>23.092777777777702</v>
      </c>
      <c r="Z24" s="28">
        <v>22.8536111111111</v>
      </c>
      <c r="AA24" s="28">
        <v>22.605555555555501</v>
      </c>
      <c r="AB24" s="28">
        <v>22.8394444444444</v>
      </c>
      <c r="AC24" s="28">
        <v>22.838666666666601</v>
      </c>
      <c r="AD24" s="28">
        <v>0.28306992112711898</v>
      </c>
      <c r="AF24" s="28">
        <f t="shared" si="2"/>
        <v>0.79101861020227771</v>
      </c>
    </row>
    <row r="25" spans="1:32" x14ac:dyDescent="0.25">
      <c r="B25" s="28" t="s">
        <v>585</v>
      </c>
      <c r="C25" s="28">
        <v>-6.0000000000000497E-2</v>
      </c>
      <c r="D25" s="28">
        <v>-5.9999999999999602E-2</v>
      </c>
      <c r="E25" s="28">
        <v>-0.04</v>
      </c>
      <c r="F25" s="28">
        <v>-7.0000000000000201E-2</v>
      </c>
      <c r="G25" s="28">
        <v>-5.9999999999999602E-2</v>
      </c>
      <c r="H25" s="28">
        <v>-4.9999999999999802E-2</v>
      </c>
      <c r="I25" s="28">
        <v>-4.9999999999999802E-2</v>
      </c>
      <c r="J25" s="28">
        <v>-6.0000000000000497E-2</v>
      </c>
      <c r="K25" s="28">
        <v>-0.04</v>
      </c>
      <c r="L25" s="28">
        <v>-0.04</v>
      </c>
      <c r="M25" s="28">
        <v>-5.2999999999999999E-2</v>
      </c>
      <c r="N25" s="28">
        <v>1.05934990547138E-2</v>
      </c>
      <c r="P25" s="41">
        <f t="shared" si="0"/>
        <v>3.7935115071130003E-2</v>
      </c>
      <c r="Q25" s="41">
        <f t="shared" si="1"/>
        <v>0.26759894979033383</v>
      </c>
      <c r="R25" s="28" t="s">
        <v>585</v>
      </c>
      <c r="S25" s="28">
        <v>-9.0000000000000704E-2</v>
      </c>
      <c r="T25" s="28">
        <v>-0.04</v>
      </c>
      <c r="U25" s="28">
        <v>-7.0000000000000201E-2</v>
      </c>
      <c r="V25" s="28">
        <v>-4.9999999999999802E-2</v>
      </c>
      <c r="W25" s="28">
        <v>-0.08</v>
      </c>
      <c r="X25" s="28">
        <v>-4.9999999999999802E-2</v>
      </c>
      <c r="Y25" s="28">
        <v>-0.08</v>
      </c>
      <c r="Z25" s="28">
        <v>-0.04</v>
      </c>
      <c r="AA25" s="28">
        <v>-9.0000000000000704E-2</v>
      </c>
      <c r="AB25" s="28">
        <v>-2.9999999999999302E-2</v>
      </c>
      <c r="AC25" s="28">
        <v>-6.2000000000000097E-2</v>
      </c>
      <c r="AD25" s="28">
        <v>2.25092573548458E-2</v>
      </c>
      <c r="AF25" s="28">
        <f t="shared" si="2"/>
        <v>3.7780050218384452E-2</v>
      </c>
    </row>
    <row r="26" spans="1:32" x14ac:dyDescent="0.25">
      <c r="B26" s="28" t="s">
        <v>586</v>
      </c>
      <c r="C26" s="28">
        <v>-2.5990590443645098E-3</v>
      </c>
      <c r="D26" s="28">
        <v>-2.68000049629637E-3</v>
      </c>
      <c r="E26" s="28">
        <v>-1.79513070795467E-3</v>
      </c>
      <c r="F26" s="28">
        <v>-3.03285593934289E-3</v>
      </c>
      <c r="G26" s="28">
        <v>-2.62505468863932E-3</v>
      </c>
      <c r="H26" s="28">
        <v>-2.1723388848660301E-3</v>
      </c>
      <c r="I26" s="28">
        <v>-2.1891684808386801E-3</v>
      </c>
      <c r="J26" s="28">
        <v>-2.6033192320208398E-3</v>
      </c>
      <c r="K26" s="28">
        <v>-1.7982017982017999E-3</v>
      </c>
      <c r="L26" s="28">
        <v>-1.73829068083051E-3</v>
      </c>
      <c r="M26" s="28">
        <v>-2.3233419953355601E-3</v>
      </c>
      <c r="N26" s="28">
        <v>4.4893972860340399E-4</v>
      </c>
      <c r="P26" s="41">
        <f t="shared" si="0"/>
        <v>3.4834706301655E-2</v>
      </c>
      <c r="Q26" s="41">
        <f t="shared" si="1"/>
        <v>0.26868319845653277</v>
      </c>
      <c r="R26" s="28" t="s">
        <v>586</v>
      </c>
      <c r="S26" s="28">
        <v>-3.916070392574E-3</v>
      </c>
      <c r="T26" s="28">
        <v>-1.8063674452444801E-3</v>
      </c>
      <c r="U26" s="28">
        <v>-3.03651042294253E-3</v>
      </c>
      <c r="V26" s="28">
        <v>-2.1852350948756102E-3</v>
      </c>
      <c r="W26" s="28">
        <v>-3.4689182515688401E-3</v>
      </c>
      <c r="X26" s="28">
        <v>-2.1859250713461499E-3</v>
      </c>
      <c r="Y26" s="28">
        <v>-3.46428657348377E-3</v>
      </c>
      <c r="Z26" s="28">
        <v>-1.75027044109246E-3</v>
      </c>
      <c r="AA26" s="28">
        <v>-3.9813221921848399E-3</v>
      </c>
      <c r="AB26" s="28">
        <v>-1.3135170635596E-3</v>
      </c>
      <c r="AC26" s="28">
        <v>-2.7108422948872299E-3</v>
      </c>
      <c r="AD26" s="28">
        <v>9.7526081787207598E-4</v>
      </c>
      <c r="AF26" s="28">
        <f t="shared" si="2"/>
        <v>3.7777243147827114E-2</v>
      </c>
    </row>
    <row r="27" spans="1:32" x14ac:dyDescent="0.25">
      <c r="B27" s="28" t="s">
        <v>587</v>
      </c>
      <c r="C27" s="28">
        <v>1.7903225806451599</v>
      </c>
      <c r="D27" s="28">
        <v>1.57692307692307</v>
      </c>
      <c r="E27" s="28">
        <v>2.1969696969696901</v>
      </c>
      <c r="F27" s="28">
        <v>1.67441860465116</v>
      </c>
      <c r="G27" s="28">
        <v>1.6144578313253</v>
      </c>
      <c r="H27" s="28">
        <v>1.5588235294117601</v>
      </c>
      <c r="I27" s="28">
        <v>1.43956043956043</v>
      </c>
      <c r="J27" s="28">
        <v>2</v>
      </c>
      <c r="K27" s="28">
        <v>1.4897959183673399</v>
      </c>
      <c r="L27" s="28">
        <v>2</v>
      </c>
      <c r="M27" s="28">
        <v>1.73412716778539</v>
      </c>
      <c r="N27" s="28">
        <v>0.25354279242114403</v>
      </c>
      <c r="P27" s="41">
        <f t="shared" si="0"/>
        <v>0.57904190998995042</v>
      </c>
      <c r="Q27" s="41">
        <f t="shared" si="1"/>
        <v>0.3747631564426398</v>
      </c>
      <c r="R27" s="28" t="s">
        <v>587</v>
      </c>
      <c r="S27" s="28">
        <v>1.7121212121212099</v>
      </c>
      <c r="T27" s="28">
        <v>1.63793103448275</v>
      </c>
      <c r="U27" s="28">
        <v>2.2077922077921999</v>
      </c>
      <c r="V27" s="28">
        <v>2.1772151898734098</v>
      </c>
      <c r="W27" s="28">
        <v>1.6825396825396799</v>
      </c>
      <c r="X27" s="28">
        <v>1.7460317460317401</v>
      </c>
      <c r="Y27" s="28">
        <v>1.6875</v>
      </c>
      <c r="Z27" s="28">
        <v>2.2749999999999999</v>
      </c>
      <c r="AA27" s="28">
        <v>1.4363636363636301</v>
      </c>
      <c r="AB27" s="28">
        <v>1.87037037037037</v>
      </c>
      <c r="AC27" s="28">
        <v>1.8432865079575</v>
      </c>
      <c r="AD27" s="28">
        <v>0.282058256401365</v>
      </c>
      <c r="AF27" s="28">
        <f t="shared" si="2"/>
        <v>0.67637108472496832</v>
      </c>
    </row>
    <row r="28" spans="1:32" x14ac:dyDescent="0.25">
      <c r="B28" s="28" t="s">
        <v>588</v>
      </c>
      <c r="C28" s="28">
        <v>2</v>
      </c>
      <c r="D28" s="28">
        <v>1</v>
      </c>
      <c r="E28" s="28">
        <v>2</v>
      </c>
      <c r="F28" s="28">
        <v>1</v>
      </c>
      <c r="G28" s="28">
        <v>1</v>
      </c>
      <c r="H28" s="28">
        <v>1</v>
      </c>
      <c r="I28" s="28">
        <v>1</v>
      </c>
      <c r="J28" s="28">
        <v>2</v>
      </c>
      <c r="K28" s="28">
        <v>1</v>
      </c>
      <c r="L28" s="28">
        <v>2</v>
      </c>
      <c r="M28" s="28">
        <v>1.4</v>
      </c>
      <c r="N28" s="28">
        <v>0.51639777949432197</v>
      </c>
      <c r="P28" s="41">
        <f t="shared" si="0"/>
        <v>1</v>
      </c>
      <c r="Q28" s="41">
        <f t="shared" si="1"/>
        <v>7.3940200351165872E-2</v>
      </c>
      <c r="R28" s="28" t="s">
        <v>588</v>
      </c>
      <c r="S28" s="28">
        <v>2</v>
      </c>
      <c r="T28" s="28">
        <v>2</v>
      </c>
      <c r="U28" s="28">
        <v>2</v>
      </c>
      <c r="V28" s="28">
        <v>2</v>
      </c>
      <c r="W28" s="28">
        <v>1</v>
      </c>
      <c r="X28" s="28">
        <v>2</v>
      </c>
      <c r="Y28" s="28">
        <v>2</v>
      </c>
      <c r="Z28" s="28">
        <v>2</v>
      </c>
      <c r="AA28" s="28">
        <v>1</v>
      </c>
      <c r="AB28" s="28">
        <v>2</v>
      </c>
      <c r="AC28" s="28">
        <v>1.8</v>
      </c>
      <c r="AD28" s="28">
        <v>0.42163702135578301</v>
      </c>
      <c r="AF28" s="28">
        <f t="shared" si="2"/>
        <v>0.55598516714343538</v>
      </c>
    </row>
    <row r="29" spans="1:32" x14ac:dyDescent="0.25">
      <c r="B29" s="28" t="s">
        <v>589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P29" s="41" t="e">
        <f t="shared" si="0"/>
        <v>#DIV/0!</v>
      </c>
      <c r="Q29" s="41" t="e">
        <f t="shared" si="1"/>
        <v>#DIV/0!</v>
      </c>
      <c r="R29" s="28" t="s">
        <v>589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F29" s="28" t="e">
        <f t="shared" si="2"/>
        <v>#DIV/0!</v>
      </c>
    </row>
    <row r="30" spans="1:32" x14ac:dyDescent="0.25">
      <c r="Q30" s="41" t="e">
        <f t="shared" si="1"/>
        <v>#DIV/0!</v>
      </c>
    </row>
    <row r="31" spans="1:32" x14ac:dyDescent="0.25">
      <c r="Q31" s="41" t="e">
        <f t="shared" si="1"/>
        <v>#DIV/0!</v>
      </c>
    </row>
    <row r="32" spans="1:32" x14ac:dyDescent="0.25">
      <c r="A32" s="49" t="s">
        <v>590</v>
      </c>
      <c r="Q32" s="41" t="e">
        <f t="shared" si="1"/>
        <v>#DIV/0!</v>
      </c>
      <c r="R32" s="52" t="s">
        <v>591</v>
      </c>
    </row>
    <row r="33" spans="2:30" x14ac:dyDescent="0.25">
      <c r="B33" s="28" t="s">
        <v>558</v>
      </c>
      <c r="C33" s="28" t="s">
        <v>240</v>
      </c>
      <c r="D33" s="28" t="s">
        <v>138</v>
      </c>
      <c r="E33" s="28" t="s">
        <v>195</v>
      </c>
      <c r="F33" s="28" t="s">
        <v>149</v>
      </c>
      <c r="G33" s="28" t="s">
        <v>207</v>
      </c>
      <c r="H33" s="28" t="s">
        <v>160</v>
      </c>
      <c r="I33" s="28" t="s">
        <v>218</v>
      </c>
      <c r="J33" s="28" t="s">
        <v>172</v>
      </c>
      <c r="K33" s="28" t="s">
        <v>184</v>
      </c>
      <c r="L33" s="28" t="s">
        <v>229</v>
      </c>
      <c r="M33" s="28" t="s">
        <v>559</v>
      </c>
      <c r="N33" s="28" t="s">
        <v>560</v>
      </c>
      <c r="Q33" s="41" t="e">
        <f t="shared" si="1"/>
        <v>#DIV/0!</v>
      </c>
      <c r="R33" s="28" t="s">
        <v>558</v>
      </c>
      <c r="S33" s="28" t="s">
        <v>27</v>
      </c>
      <c r="T33" s="28" t="s">
        <v>82</v>
      </c>
      <c r="U33" s="28" t="s">
        <v>38</v>
      </c>
      <c r="V33" s="28" t="s">
        <v>93</v>
      </c>
      <c r="W33" s="28" t="s">
        <v>49</v>
      </c>
      <c r="X33" s="28" t="s">
        <v>104</v>
      </c>
      <c r="Y33" s="28" t="s">
        <v>60</v>
      </c>
      <c r="Z33" s="28" t="s">
        <v>115</v>
      </c>
      <c r="AA33" s="28" t="s">
        <v>71</v>
      </c>
      <c r="AB33" s="28" t="s">
        <v>126</v>
      </c>
      <c r="AC33" s="28" t="s">
        <v>559</v>
      </c>
      <c r="AD33" s="28" t="s">
        <v>560</v>
      </c>
    </row>
    <row r="34" spans="2:30" x14ac:dyDescent="0.25">
      <c r="B34" s="28" t="s">
        <v>563</v>
      </c>
      <c r="C34" s="28">
        <v>51</v>
      </c>
      <c r="D34" s="28">
        <v>42</v>
      </c>
      <c r="E34" s="28">
        <v>52</v>
      </c>
      <c r="F34" s="28">
        <v>47</v>
      </c>
      <c r="G34" s="28">
        <v>59</v>
      </c>
      <c r="H34" s="28">
        <v>40</v>
      </c>
      <c r="I34" s="28">
        <v>60</v>
      </c>
      <c r="J34" s="28">
        <v>41</v>
      </c>
      <c r="K34" s="28">
        <v>53</v>
      </c>
      <c r="L34" s="28">
        <v>55</v>
      </c>
      <c r="M34" s="28">
        <v>50</v>
      </c>
      <c r="N34" s="28">
        <v>7.2571803523590797</v>
      </c>
      <c r="Q34" s="41">
        <f t="shared" si="1"/>
        <v>7.3285437022604663E-2</v>
      </c>
      <c r="R34" s="28" t="s">
        <v>563</v>
      </c>
      <c r="S34" s="28">
        <v>33</v>
      </c>
      <c r="T34" s="28">
        <v>39</v>
      </c>
      <c r="U34" s="28">
        <v>47</v>
      </c>
      <c r="V34" s="28">
        <v>48</v>
      </c>
      <c r="W34" s="28">
        <v>48</v>
      </c>
      <c r="X34" s="28">
        <v>41</v>
      </c>
      <c r="Y34" s="28">
        <v>43</v>
      </c>
      <c r="Z34" s="28">
        <v>46</v>
      </c>
      <c r="AA34" s="28">
        <v>48</v>
      </c>
      <c r="AB34" s="28">
        <v>52</v>
      </c>
      <c r="AC34" s="28">
        <v>44.5</v>
      </c>
      <c r="AD34" s="28">
        <v>5.5627730894262104</v>
      </c>
    </row>
    <row r="35" spans="2:30" x14ac:dyDescent="0.25">
      <c r="B35" s="28" t="s">
        <v>564</v>
      </c>
      <c r="C35" s="28">
        <v>33</v>
      </c>
      <c r="D35" s="28">
        <v>24</v>
      </c>
      <c r="E35" s="28">
        <v>40</v>
      </c>
      <c r="F35" s="28">
        <v>30</v>
      </c>
      <c r="G35" s="28">
        <v>44</v>
      </c>
      <c r="H35" s="28">
        <v>25</v>
      </c>
      <c r="I35" s="28">
        <v>41</v>
      </c>
      <c r="J35" s="28">
        <v>21</v>
      </c>
      <c r="K35" s="28">
        <v>36</v>
      </c>
      <c r="L35" s="28">
        <v>36</v>
      </c>
      <c r="M35" s="28">
        <v>33</v>
      </c>
      <c r="N35" s="28">
        <v>7.8173595997057097</v>
      </c>
      <c r="Q35" s="41">
        <f t="shared" si="1"/>
        <v>0.44910586760479976</v>
      </c>
      <c r="R35" s="28" t="s">
        <v>564</v>
      </c>
      <c r="S35" s="28">
        <v>27</v>
      </c>
      <c r="T35" s="28">
        <v>26</v>
      </c>
      <c r="U35" s="28">
        <v>33</v>
      </c>
      <c r="V35" s="28">
        <v>29</v>
      </c>
      <c r="W35" s="28">
        <v>32</v>
      </c>
      <c r="X35" s="28">
        <v>30</v>
      </c>
      <c r="Y35" s="28">
        <v>28</v>
      </c>
      <c r="Z35" s="28">
        <v>37</v>
      </c>
      <c r="AA35" s="28">
        <v>35</v>
      </c>
      <c r="AB35" s="28">
        <v>32</v>
      </c>
      <c r="AC35" s="28">
        <v>30.9</v>
      </c>
      <c r="AD35" s="28">
        <v>3.5418137224371899</v>
      </c>
    </row>
    <row r="36" spans="2:30" x14ac:dyDescent="0.25">
      <c r="B36" s="28" t="s">
        <v>565</v>
      </c>
      <c r="C36" s="28">
        <v>18</v>
      </c>
      <c r="D36" s="28">
        <v>18</v>
      </c>
      <c r="E36" s="28">
        <v>12</v>
      </c>
      <c r="F36" s="28">
        <v>17</v>
      </c>
      <c r="G36" s="28">
        <v>15</v>
      </c>
      <c r="H36" s="28">
        <v>15</v>
      </c>
      <c r="I36" s="28">
        <v>19</v>
      </c>
      <c r="J36" s="28">
        <v>20</v>
      </c>
      <c r="K36" s="28">
        <v>17</v>
      </c>
      <c r="L36" s="28">
        <v>19</v>
      </c>
      <c r="M36" s="28">
        <v>17</v>
      </c>
      <c r="N36" s="28">
        <v>2.40370085030932</v>
      </c>
      <c r="Q36" s="41">
        <f t="shared" si="1"/>
        <v>4.1713825812321852E-2</v>
      </c>
      <c r="R36" s="28" t="s">
        <v>565</v>
      </c>
      <c r="S36" s="28">
        <v>6</v>
      </c>
      <c r="T36" s="28">
        <v>13</v>
      </c>
      <c r="U36" s="28">
        <v>14</v>
      </c>
      <c r="V36" s="28">
        <v>19</v>
      </c>
      <c r="W36" s="28">
        <v>16</v>
      </c>
      <c r="X36" s="28">
        <v>11</v>
      </c>
      <c r="Y36" s="28">
        <v>15</v>
      </c>
      <c r="Z36" s="28">
        <v>9</v>
      </c>
      <c r="AA36" s="28">
        <v>13</v>
      </c>
      <c r="AB36" s="28">
        <v>20</v>
      </c>
      <c r="AC36" s="28">
        <v>13.6</v>
      </c>
      <c r="AD36" s="28">
        <v>4.2739521132865601</v>
      </c>
    </row>
    <row r="37" spans="2:30" x14ac:dyDescent="0.25">
      <c r="B37" s="28" t="s">
        <v>566</v>
      </c>
      <c r="C37" s="28">
        <v>2.28497467361949</v>
      </c>
      <c r="D37" s="28">
        <v>1.82054616384915</v>
      </c>
      <c r="E37" s="28">
        <v>2.2742458663880498</v>
      </c>
      <c r="F37" s="28">
        <v>2.0365422113093001</v>
      </c>
      <c r="G37" s="28">
        <v>2.5892019065498002</v>
      </c>
      <c r="H37" s="28">
        <v>1.7384585667374901</v>
      </c>
      <c r="I37" s="28">
        <v>2.62936858634919</v>
      </c>
      <c r="J37" s="28">
        <v>1.7778848470248101</v>
      </c>
      <c r="K37" s="28">
        <v>2.3050437934158801</v>
      </c>
      <c r="L37" s="28">
        <v>2.4825718441245801</v>
      </c>
      <c r="M37" s="28">
        <v>2.19388384593677</v>
      </c>
      <c r="N37" s="28">
        <v>0.33349679033977597</v>
      </c>
      <c r="Q37" s="41">
        <f t="shared" si="1"/>
        <v>7.8438147777694339E-2</v>
      </c>
      <c r="R37" s="28" t="s">
        <v>566</v>
      </c>
      <c r="S37" s="28">
        <v>1.43644805571677</v>
      </c>
      <c r="T37" s="28">
        <v>1.7609431832434399</v>
      </c>
      <c r="U37" s="28">
        <v>2.0374005081459798</v>
      </c>
      <c r="V37" s="28">
        <v>2.0984625847035598</v>
      </c>
      <c r="W37" s="28">
        <v>2.0827306913508798</v>
      </c>
      <c r="X37" s="28">
        <v>1.79152303733553</v>
      </c>
      <c r="Y37" s="28">
        <v>1.88309713521075</v>
      </c>
      <c r="Z37" s="28">
        <v>2.0091966853107799</v>
      </c>
      <c r="AA37" s="28">
        <v>2.12999371356022</v>
      </c>
      <c r="AB37" s="28">
        <v>2.28161907199532</v>
      </c>
      <c r="AC37" s="28">
        <v>1.9511414666573199</v>
      </c>
      <c r="AD37" s="28">
        <v>0.24088416042243899</v>
      </c>
    </row>
    <row r="38" spans="2:30" x14ac:dyDescent="0.25">
      <c r="B38" s="28" t="s">
        <v>567</v>
      </c>
      <c r="C38" s="28">
        <v>2.8661728871625298</v>
      </c>
      <c r="D38" s="28">
        <v>2.1451448717630401</v>
      </c>
      <c r="E38" s="28">
        <v>3.3302497687326502</v>
      </c>
      <c r="F38" s="28">
        <v>2.4960709993528698</v>
      </c>
      <c r="G38" s="28">
        <v>3.79165070854078</v>
      </c>
      <c r="H38" s="28">
        <v>2.12484653886108</v>
      </c>
      <c r="I38" s="28">
        <v>3.4934911242603501</v>
      </c>
      <c r="J38" s="28">
        <v>1.7485428809325501</v>
      </c>
      <c r="K38" s="28">
        <v>3.05329124063516</v>
      </c>
      <c r="L38" s="28">
        <v>2.9789679347201399</v>
      </c>
      <c r="M38" s="28">
        <v>2.8028428954961102</v>
      </c>
      <c r="N38" s="28">
        <v>0.660685858688979</v>
      </c>
      <c r="Q38" s="41">
        <f t="shared" si="1"/>
        <v>0.34531350386951176</v>
      </c>
      <c r="R38" s="28" t="s">
        <v>567</v>
      </c>
      <c r="S38" s="28">
        <v>1.77023384570554</v>
      </c>
      <c r="T38" s="28">
        <v>2.2677165354330699</v>
      </c>
      <c r="U38" s="28">
        <v>2.7817453813192201</v>
      </c>
      <c r="V38" s="28">
        <v>2.4621480118862298</v>
      </c>
      <c r="W38" s="28">
        <v>2.7551898976370399</v>
      </c>
      <c r="X38" s="28">
        <v>2.5298664792691499</v>
      </c>
      <c r="Y38" s="28">
        <v>2.2638966872543498</v>
      </c>
      <c r="Z38" s="28">
        <v>3.2080152212133601</v>
      </c>
      <c r="AA38" s="28">
        <v>2.89975144987572</v>
      </c>
      <c r="AB38" s="28">
        <v>2.71954674220963</v>
      </c>
      <c r="AC38" s="28">
        <v>2.5658110251803299</v>
      </c>
      <c r="AD38" s="28">
        <v>0.402086610667509</v>
      </c>
    </row>
    <row r="39" spans="2:30" x14ac:dyDescent="0.25">
      <c r="B39" s="28" t="s">
        <v>568</v>
      </c>
      <c r="C39" s="28">
        <v>1.66572412729422</v>
      </c>
      <c r="D39" s="28">
        <v>1.5149035651665601</v>
      </c>
      <c r="E39" s="28">
        <v>1.10562280858905</v>
      </c>
      <c r="F39" s="28">
        <v>1.53714773697694</v>
      </c>
      <c r="G39" s="28">
        <v>1.3413816230717599</v>
      </c>
      <c r="H39" s="28">
        <v>1.33412392528906</v>
      </c>
      <c r="I39" s="28">
        <v>1.7143286799167901</v>
      </c>
      <c r="J39" s="28">
        <v>1.80977277297405</v>
      </c>
      <c r="K39" s="28">
        <v>1.5175184110689499</v>
      </c>
      <c r="L39" s="28">
        <v>1.8868445008413499</v>
      </c>
      <c r="M39" s="28">
        <v>1.5427368151188701</v>
      </c>
      <c r="N39" s="28">
        <v>0.238248644756341</v>
      </c>
      <c r="Q39" s="41">
        <f t="shared" si="1"/>
        <v>5.0319029452133374E-2</v>
      </c>
      <c r="R39" s="28" t="s">
        <v>568</v>
      </c>
      <c r="S39" s="28">
        <v>0.77709022880989997</v>
      </c>
      <c r="T39" s="28">
        <v>1.21700689117149</v>
      </c>
      <c r="U39" s="28">
        <v>1.24938026772434</v>
      </c>
      <c r="V39" s="28">
        <v>1.71239735629881</v>
      </c>
      <c r="W39" s="28">
        <v>1.3995529205948101</v>
      </c>
      <c r="X39" s="28">
        <v>0.99753136178144897</v>
      </c>
      <c r="Y39" s="28">
        <v>1.4331210191082799</v>
      </c>
      <c r="Z39" s="28">
        <v>0.79217603911980405</v>
      </c>
      <c r="AA39" s="28">
        <v>1.24220305242203</v>
      </c>
      <c r="AB39" s="28">
        <v>1.8141960843601099</v>
      </c>
      <c r="AC39" s="28">
        <v>1.2634655221391</v>
      </c>
      <c r="AD39" s="28">
        <v>0.34710729743107699</v>
      </c>
    </row>
    <row r="40" spans="2:30" x14ac:dyDescent="0.25">
      <c r="B40" s="28" t="s">
        <v>569</v>
      </c>
      <c r="C40" s="28">
        <v>49</v>
      </c>
      <c r="D40" s="28">
        <v>41</v>
      </c>
      <c r="E40" s="28">
        <v>51</v>
      </c>
      <c r="F40" s="28">
        <v>46</v>
      </c>
      <c r="G40" s="28">
        <v>55</v>
      </c>
      <c r="H40" s="28">
        <v>39</v>
      </c>
      <c r="I40" s="28">
        <v>59</v>
      </c>
      <c r="J40" s="28">
        <v>40</v>
      </c>
      <c r="K40" s="28">
        <v>50</v>
      </c>
      <c r="L40" s="28">
        <v>49</v>
      </c>
      <c r="M40" s="28">
        <v>47.9</v>
      </c>
      <c r="N40" s="28">
        <v>6.5226102477799799</v>
      </c>
      <c r="Q40" s="41">
        <f t="shared" si="1"/>
        <v>8.4665424288339453E-2</v>
      </c>
      <c r="R40" s="28" t="s">
        <v>569</v>
      </c>
      <c r="S40" s="28">
        <v>32</v>
      </c>
      <c r="T40" s="28">
        <v>37</v>
      </c>
      <c r="U40" s="28">
        <v>46</v>
      </c>
      <c r="V40" s="28">
        <v>46</v>
      </c>
      <c r="W40" s="28">
        <v>47</v>
      </c>
      <c r="X40" s="28">
        <v>40</v>
      </c>
      <c r="Y40" s="28">
        <v>41</v>
      </c>
      <c r="Z40" s="28">
        <v>45</v>
      </c>
      <c r="AA40" s="28">
        <v>46</v>
      </c>
      <c r="AB40" s="28">
        <v>50</v>
      </c>
      <c r="AC40" s="28">
        <v>43</v>
      </c>
      <c r="AD40" s="28">
        <v>5.4365021434333602</v>
      </c>
    </row>
    <row r="41" spans="2:30" x14ac:dyDescent="0.25">
      <c r="B41" s="28" t="s">
        <v>570</v>
      </c>
      <c r="C41" s="28">
        <v>33</v>
      </c>
      <c r="D41" s="28">
        <v>24</v>
      </c>
      <c r="E41" s="28">
        <v>40</v>
      </c>
      <c r="F41" s="28">
        <v>30</v>
      </c>
      <c r="G41" s="28">
        <v>41</v>
      </c>
      <c r="H41" s="28">
        <v>25</v>
      </c>
      <c r="I41" s="28">
        <v>41</v>
      </c>
      <c r="J41" s="28">
        <v>21</v>
      </c>
      <c r="K41" s="28">
        <v>35</v>
      </c>
      <c r="L41" s="28">
        <v>32</v>
      </c>
      <c r="M41" s="28">
        <v>32.200000000000003</v>
      </c>
      <c r="N41" s="28">
        <v>7.2541176046588998</v>
      </c>
      <c r="Q41" s="41">
        <f t="shared" si="1"/>
        <v>0.56383966973528821</v>
      </c>
      <c r="R41" s="28" t="s">
        <v>570</v>
      </c>
      <c r="S41" s="28">
        <v>27</v>
      </c>
      <c r="T41" s="28">
        <v>26</v>
      </c>
      <c r="U41" s="28">
        <v>33</v>
      </c>
      <c r="V41" s="28">
        <v>29</v>
      </c>
      <c r="W41" s="28">
        <v>32</v>
      </c>
      <c r="X41" s="28">
        <v>30</v>
      </c>
      <c r="Y41" s="28">
        <v>27</v>
      </c>
      <c r="Z41" s="28">
        <v>37</v>
      </c>
      <c r="AA41" s="28">
        <v>34</v>
      </c>
      <c r="AB41" s="28">
        <v>32</v>
      </c>
      <c r="AC41" s="28">
        <v>30.7</v>
      </c>
      <c r="AD41" s="28">
        <v>3.5292429153510398</v>
      </c>
    </row>
    <row r="42" spans="2:30" x14ac:dyDescent="0.25">
      <c r="B42" s="28" t="s">
        <v>571</v>
      </c>
      <c r="C42" s="28">
        <v>16</v>
      </c>
      <c r="D42" s="28">
        <v>17</v>
      </c>
      <c r="E42" s="28">
        <v>11</v>
      </c>
      <c r="F42" s="28">
        <v>16</v>
      </c>
      <c r="G42" s="28">
        <v>14</v>
      </c>
      <c r="H42" s="28">
        <v>14</v>
      </c>
      <c r="I42" s="28">
        <v>18</v>
      </c>
      <c r="J42" s="28">
        <v>19</v>
      </c>
      <c r="K42" s="28">
        <v>15</v>
      </c>
      <c r="L42" s="28">
        <v>17</v>
      </c>
      <c r="M42" s="28">
        <v>15.7</v>
      </c>
      <c r="N42" s="28">
        <v>2.31180545125329</v>
      </c>
      <c r="Q42" s="41">
        <f t="shared" si="1"/>
        <v>3.1861676278301151E-2</v>
      </c>
      <c r="R42" s="28" t="s">
        <v>571</v>
      </c>
      <c r="S42" s="28">
        <v>5</v>
      </c>
      <c r="T42" s="28">
        <v>11</v>
      </c>
      <c r="U42" s="28">
        <v>13</v>
      </c>
      <c r="V42" s="28">
        <v>17</v>
      </c>
      <c r="W42" s="28">
        <v>15</v>
      </c>
      <c r="X42" s="28">
        <v>10</v>
      </c>
      <c r="Y42" s="28">
        <v>14</v>
      </c>
      <c r="Z42" s="28">
        <v>8</v>
      </c>
      <c r="AA42" s="28">
        <v>12</v>
      </c>
      <c r="AB42" s="28">
        <v>18</v>
      </c>
      <c r="AC42" s="28">
        <v>12.3</v>
      </c>
      <c r="AD42" s="28">
        <v>4.0013886478460297</v>
      </c>
    </row>
    <row r="43" spans="2:30" x14ac:dyDescent="0.25">
      <c r="B43" s="28" t="s">
        <v>572</v>
      </c>
      <c r="C43" s="28">
        <v>1.0204081632652999</v>
      </c>
      <c r="D43" s="28">
        <v>1</v>
      </c>
      <c r="E43" s="28">
        <v>1</v>
      </c>
      <c r="F43" s="28">
        <v>1</v>
      </c>
      <c r="G43" s="28">
        <v>1.05454545454545</v>
      </c>
      <c r="H43" s="28">
        <v>1</v>
      </c>
      <c r="I43" s="28">
        <v>1</v>
      </c>
      <c r="J43" s="28">
        <v>1</v>
      </c>
      <c r="K43" s="28">
        <v>1.04</v>
      </c>
      <c r="L43" s="28">
        <v>1.1020408163265301</v>
      </c>
      <c r="M43" s="28">
        <v>1.0216994434137201</v>
      </c>
      <c r="N43" s="28">
        <v>3.44728064991685E-2</v>
      </c>
      <c r="Q43" s="41">
        <f t="shared" si="1"/>
        <v>0.38912970702630245</v>
      </c>
      <c r="R43" s="28" t="s">
        <v>572</v>
      </c>
      <c r="S43" s="28">
        <v>1</v>
      </c>
      <c r="T43" s="28">
        <v>1.0270270270270201</v>
      </c>
      <c r="U43" s="28">
        <v>1</v>
      </c>
      <c r="V43" s="28">
        <v>1.02173913043478</v>
      </c>
      <c r="W43" s="28">
        <v>1</v>
      </c>
      <c r="X43" s="28">
        <v>1</v>
      </c>
      <c r="Y43" s="28">
        <v>1.0243902439024299</v>
      </c>
      <c r="Z43" s="28">
        <v>1</v>
      </c>
      <c r="AA43" s="28">
        <v>1.02173913043478</v>
      </c>
      <c r="AB43" s="28">
        <v>1.02</v>
      </c>
      <c r="AC43" s="28">
        <v>1.0114895531799</v>
      </c>
      <c r="AD43" s="28">
        <v>1.2249378437396E-2</v>
      </c>
    </row>
    <row r="44" spans="2:30" x14ac:dyDescent="0.25">
      <c r="B44" s="28" t="s">
        <v>573</v>
      </c>
      <c r="C44" s="28">
        <v>1</v>
      </c>
      <c r="D44" s="28">
        <v>1</v>
      </c>
      <c r="E44" s="28">
        <v>1</v>
      </c>
      <c r="F44" s="28">
        <v>1</v>
      </c>
      <c r="G44" s="28">
        <v>1.07317073170731</v>
      </c>
      <c r="H44" s="28">
        <v>1</v>
      </c>
      <c r="I44" s="28">
        <v>1</v>
      </c>
      <c r="J44" s="28">
        <v>1</v>
      </c>
      <c r="K44" s="28">
        <v>1.02857142857142</v>
      </c>
      <c r="L44" s="28">
        <v>1.125</v>
      </c>
      <c r="M44" s="28">
        <v>1.0226742160278699</v>
      </c>
      <c r="N44" s="28">
        <v>4.30168982099014E-2</v>
      </c>
      <c r="Q44" s="41">
        <f t="shared" si="1"/>
        <v>0.27761970981922524</v>
      </c>
      <c r="R44" s="28" t="s">
        <v>573</v>
      </c>
      <c r="S44" s="28">
        <v>1</v>
      </c>
      <c r="T44" s="28">
        <v>1</v>
      </c>
      <c r="U44" s="28">
        <v>1</v>
      </c>
      <c r="V44" s="28">
        <v>1</v>
      </c>
      <c r="W44" s="28">
        <v>1</v>
      </c>
      <c r="X44" s="28">
        <v>1</v>
      </c>
      <c r="Y44" s="28">
        <v>1.0370370370370301</v>
      </c>
      <c r="Z44" s="28">
        <v>1</v>
      </c>
      <c r="AA44" s="28">
        <v>1.02941176470588</v>
      </c>
      <c r="AB44" s="28">
        <v>1</v>
      </c>
      <c r="AC44" s="28">
        <v>1.00664488017429</v>
      </c>
      <c r="AD44" s="28">
        <v>1.41234623166561E-2</v>
      </c>
    </row>
    <row r="45" spans="2:30" x14ac:dyDescent="0.25">
      <c r="B45" s="28" t="s">
        <v>574</v>
      </c>
      <c r="C45" s="28">
        <v>1.0625</v>
      </c>
      <c r="D45" s="28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1.06666666666666</v>
      </c>
      <c r="L45" s="28">
        <v>1.0588235294117601</v>
      </c>
      <c r="M45" s="28">
        <v>1.01879901960784</v>
      </c>
      <c r="N45" s="28">
        <v>3.0325769523515501E-2</v>
      </c>
      <c r="Q45" s="41">
        <f t="shared" si="1"/>
        <v>0.90624135742018319</v>
      </c>
      <c r="R45" s="28" t="s">
        <v>574</v>
      </c>
      <c r="S45" s="28">
        <v>1</v>
      </c>
      <c r="T45" s="28">
        <v>1.0909090909090899</v>
      </c>
      <c r="U45" s="28">
        <v>1</v>
      </c>
      <c r="V45" s="28">
        <v>1.0588235294117601</v>
      </c>
      <c r="W45" s="28">
        <v>1</v>
      </c>
      <c r="X45" s="28">
        <v>1</v>
      </c>
      <c r="Y45" s="28">
        <v>1</v>
      </c>
      <c r="Z45" s="28">
        <v>1</v>
      </c>
      <c r="AA45" s="28">
        <v>1</v>
      </c>
      <c r="AB45" s="28">
        <v>1.05555555555555</v>
      </c>
      <c r="AC45" s="28">
        <v>1.0205288175876399</v>
      </c>
      <c r="AD45" s="28">
        <v>3.4313532575022301E-2</v>
      </c>
    </row>
    <row r="46" spans="2:30" x14ac:dyDescent="0.25">
      <c r="B46" s="28" t="s">
        <v>575</v>
      </c>
      <c r="C46" s="28">
        <v>100</v>
      </c>
      <c r="D46" s="28">
        <v>100</v>
      </c>
      <c r="E46" s="28">
        <v>100</v>
      </c>
      <c r="F46" s="28">
        <v>100</v>
      </c>
      <c r="G46" s="28">
        <v>100</v>
      </c>
      <c r="H46" s="28">
        <v>100</v>
      </c>
      <c r="I46" s="28">
        <v>100</v>
      </c>
      <c r="J46" s="28">
        <v>100</v>
      </c>
      <c r="K46" s="28">
        <v>100</v>
      </c>
      <c r="L46" s="28">
        <v>100</v>
      </c>
      <c r="M46" s="28">
        <v>100</v>
      </c>
      <c r="N46" s="28">
        <v>0</v>
      </c>
      <c r="Q46" s="41" t="e">
        <f t="shared" si="1"/>
        <v>#DIV/0!</v>
      </c>
      <c r="R46" s="28" t="s">
        <v>575</v>
      </c>
      <c r="S46" s="28">
        <v>100</v>
      </c>
      <c r="T46" s="28">
        <v>100</v>
      </c>
      <c r="U46" s="28">
        <v>100</v>
      </c>
      <c r="V46" s="28">
        <v>100</v>
      </c>
      <c r="W46" s="28">
        <v>100</v>
      </c>
      <c r="X46" s="28">
        <v>100</v>
      </c>
      <c r="Y46" s="28">
        <v>100</v>
      </c>
      <c r="Z46" s="28">
        <v>100</v>
      </c>
      <c r="AA46" s="28">
        <v>100</v>
      </c>
      <c r="AB46" s="28">
        <v>100</v>
      </c>
      <c r="AC46" s="28">
        <v>100</v>
      </c>
      <c r="AD46" s="28">
        <v>0</v>
      </c>
    </row>
    <row r="47" spans="2:30" x14ac:dyDescent="0.25">
      <c r="B47" s="28" t="s">
        <v>576</v>
      </c>
      <c r="C47" s="28">
        <v>100</v>
      </c>
      <c r="D47" s="28">
        <v>100</v>
      </c>
      <c r="E47" s="28">
        <v>100</v>
      </c>
      <c r="F47" s="28">
        <v>100</v>
      </c>
      <c r="G47" s="28">
        <v>100</v>
      </c>
      <c r="H47" s="28">
        <v>100</v>
      </c>
      <c r="I47" s="28">
        <v>100</v>
      </c>
      <c r="J47" s="28">
        <v>100</v>
      </c>
      <c r="K47" s="28">
        <v>100</v>
      </c>
      <c r="L47" s="28">
        <v>100</v>
      </c>
      <c r="M47" s="28">
        <v>100</v>
      </c>
      <c r="N47" s="28">
        <v>0</v>
      </c>
      <c r="Q47" s="41" t="e">
        <f t="shared" si="1"/>
        <v>#DIV/0!</v>
      </c>
      <c r="R47" s="28" t="s">
        <v>576</v>
      </c>
      <c r="S47" s="28">
        <v>100</v>
      </c>
      <c r="T47" s="28">
        <v>100</v>
      </c>
      <c r="U47" s="28">
        <v>100</v>
      </c>
      <c r="V47" s="28">
        <v>100</v>
      </c>
      <c r="W47" s="28">
        <v>100</v>
      </c>
      <c r="X47" s="28">
        <v>100</v>
      </c>
      <c r="Y47" s="28">
        <v>100</v>
      </c>
      <c r="Z47" s="28">
        <v>100</v>
      </c>
      <c r="AA47" s="28">
        <v>100</v>
      </c>
      <c r="AB47" s="28">
        <v>100</v>
      </c>
      <c r="AC47" s="28">
        <v>100</v>
      </c>
      <c r="AD47" s="28">
        <v>0</v>
      </c>
    </row>
    <row r="48" spans="2:30" x14ac:dyDescent="0.25">
      <c r="B48" s="28" t="s">
        <v>577</v>
      </c>
      <c r="C48" s="28">
        <v>100</v>
      </c>
      <c r="D48" s="28">
        <v>100</v>
      </c>
      <c r="E48" s="28">
        <v>100</v>
      </c>
      <c r="F48" s="28">
        <v>100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>
        <v>100</v>
      </c>
      <c r="M48" s="28">
        <v>100</v>
      </c>
      <c r="N48" s="28">
        <v>0</v>
      </c>
      <c r="Q48" s="41" t="e">
        <f t="shared" si="1"/>
        <v>#DIV/0!</v>
      </c>
      <c r="R48" s="28" t="s">
        <v>577</v>
      </c>
      <c r="S48" s="28">
        <v>100</v>
      </c>
      <c r="T48" s="28">
        <v>100</v>
      </c>
      <c r="U48" s="28">
        <v>100</v>
      </c>
      <c r="V48" s="28">
        <v>100</v>
      </c>
      <c r="W48" s="28">
        <v>100</v>
      </c>
      <c r="X48" s="28">
        <v>100</v>
      </c>
      <c r="Y48" s="28">
        <v>100</v>
      </c>
      <c r="Z48" s="28">
        <v>100</v>
      </c>
      <c r="AA48" s="28">
        <v>100</v>
      </c>
      <c r="AB48" s="28">
        <v>100</v>
      </c>
      <c r="AC48" s="28">
        <v>100</v>
      </c>
      <c r="AD48" s="28">
        <v>0</v>
      </c>
    </row>
    <row r="49" spans="2:30" x14ac:dyDescent="0.25">
      <c r="B49" s="28" t="s">
        <v>578</v>
      </c>
      <c r="C49" s="28">
        <v>1509</v>
      </c>
      <c r="D49" s="28">
        <v>454</v>
      </c>
      <c r="E49" s="28">
        <v>1145</v>
      </c>
      <c r="F49" s="28">
        <v>1076</v>
      </c>
      <c r="G49" s="28">
        <v>984</v>
      </c>
      <c r="H49" s="28">
        <v>437</v>
      </c>
      <c r="I49" s="28">
        <v>1296</v>
      </c>
      <c r="J49" s="28">
        <v>396</v>
      </c>
      <c r="K49" s="28">
        <v>1747</v>
      </c>
      <c r="L49" s="28">
        <v>650</v>
      </c>
      <c r="M49" s="28">
        <v>969.4</v>
      </c>
      <c r="N49" s="28">
        <v>474.31827101875598</v>
      </c>
      <c r="Q49" s="41">
        <f t="shared" si="1"/>
        <v>0.33936782171474111</v>
      </c>
      <c r="R49" s="28" t="s">
        <v>578</v>
      </c>
      <c r="S49" s="28">
        <v>840</v>
      </c>
      <c r="T49" s="28">
        <v>883</v>
      </c>
      <c r="U49" s="28">
        <v>1565</v>
      </c>
      <c r="V49" s="28">
        <v>916</v>
      </c>
      <c r="W49" s="28">
        <v>1654</v>
      </c>
      <c r="X49" s="28">
        <v>1214</v>
      </c>
      <c r="Y49" s="28">
        <v>350</v>
      </c>
      <c r="Z49" s="28">
        <v>1005</v>
      </c>
      <c r="AA49" s="28">
        <v>1793</v>
      </c>
      <c r="AB49" s="28">
        <v>1511</v>
      </c>
      <c r="AC49" s="28">
        <v>1173.0999999999999</v>
      </c>
      <c r="AD49" s="28">
        <v>453.62011762168402</v>
      </c>
    </row>
    <row r="50" spans="2:30" x14ac:dyDescent="0.25">
      <c r="B50" s="28" t="s">
        <v>579</v>
      </c>
      <c r="C50" s="28">
        <v>1215</v>
      </c>
      <c r="D50" s="28">
        <v>219</v>
      </c>
      <c r="E50" s="28">
        <v>967</v>
      </c>
      <c r="F50" s="28">
        <v>582</v>
      </c>
      <c r="G50" s="28">
        <v>728</v>
      </c>
      <c r="H50" s="28">
        <v>209</v>
      </c>
      <c r="I50" s="28">
        <v>923</v>
      </c>
      <c r="J50" s="28">
        <v>220</v>
      </c>
      <c r="K50" s="28">
        <v>1415</v>
      </c>
      <c r="L50" s="28">
        <v>538</v>
      </c>
      <c r="M50" s="28">
        <v>701.6</v>
      </c>
      <c r="N50" s="28">
        <v>427.03582987847699</v>
      </c>
      <c r="Q50" s="41">
        <f t="shared" si="1"/>
        <v>0.33250084984186434</v>
      </c>
      <c r="R50" s="28" t="s">
        <v>579</v>
      </c>
      <c r="S50" s="28">
        <v>785</v>
      </c>
      <c r="T50" s="28">
        <v>719</v>
      </c>
      <c r="U50" s="28">
        <v>1034</v>
      </c>
      <c r="V50" s="28">
        <v>582</v>
      </c>
      <c r="W50" s="28">
        <v>1220</v>
      </c>
      <c r="X50" s="28">
        <v>859</v>
      </c>
      <c r="Y50" s="28">
        <v>256</v>
      </c>
      <c r="Z50" s="28">
        <v>918</v>
      </c>
      <c r="AA50" s="28">
        <v>1222</v>
      </c>
      <c r="AB50" s="28">
        <v>1062</v>
      </c>
      <c r="AC50" s="28">
        <v>865.7</v>
      </c>
      <c r="AD50" s="28">
        <v>298.58371243812502</v>
      </c>
    </row>
    <row r="51" spans="2:30" x14ac:dyDescent="0.25">
      <c r="B51" s="28" t="s">
        <v>580</v>
      </c>
      <c r="C51" s="28">
        <v>293</v>
      </c>
      <c r="D51" s="28">
        <v>234</v>
      </c>
      <c r="E51" s="28">
        <v>177</v>
      </c>
      <c r="F51" s="28">
        <v>493</v>
      </c>
      <c r="G51" s="28">
        <v>255</v>
      </c>
      <c r="H51" s="28">
        <v>227</v>
      </c>
      <c r="I51" s="28">
        <v>372</v>
      </c>
      <c r="J51" s="28">
        <v>175</v>
      </c>
      <c r="K51" s="28">
        <v>331</v>
      </c>
      <c r="L51" s="28">
        <v>111</v>
      </c>
      <c r="M51" s="28">
        <v>266.8</v>
      </c>
      <c r="N51" s="28">
        <v>110.858067415552</v>
      </c>
      <c r="Q51" s="41">
        <f t="shared" si="1"/>
        <v>0.57956917499494998</v>
      </c>
      <c r="R51" s="28" t="s">
        <v>580</v>
      </c>
      <c r="S51" s="28">
        <v>54</v>
      </c>
      <c r="T51" s="28">
        <v>163</v>
      </c>
      <c r="U51" s="28">
        <v>530</v>
      </c>
      <c r="V51" s="28">
        <v>334</v>
      </c>
      <c r="W51" s="28">
        <v>434</v>
      </c>
      <c r="X51" s="28">
        <v>354</v>
      </c>
      <c r="Y51" s="28">
        <v>93</v>
      </c>
      <c r="Z51" s="28">
        <v>86</v>
      </c>
      <c r="AA51" s="28">
        <v>570</v>
      </c>
      <c r="AB51" s="28">
        <v>448</v>
      </c>
      <c r="AC51" s="28">
        <v>306.60000000000002</v>
      </c>
      <c r="AD51" s="28">
        <v>193.57065893363</v>
      </c>
    </row>
    <row r="52" spans="2:30" x14ac:dyDescent="0.25">
      <c r="B52" s="28" t="s">
        <v>581</v>
      </c>
      <c r="C52" s="28">
        <v>9.4632206759443296E-3</v>
      </c>
      <c r="D52" s="28">
        <v>9.0088105726872196E-3</v>
      </c>
      <c r="E52" s="28">
        <v>9.2663755458515292E-3</v>
      </c>
      <c r="F52" s="28">
        <v>9.4237918215613302E-3</v>
      </c>
      <c r="G52" s="28">
        <v>9.4105691056910502E-3</v>
      </c>
      <c r="H52" s="28">
        <v>8.6956521739130401E-3</v>
      </c>
      <c r="I52" s="28">
        <v>9.6373456790123397E-3</v>
      </c>
      <c r="J52" s="28">
        <v>8.4595959595959603E-3</v>
      </c>
      <c r="K52" s="28">
        <v>9.6851745850028599E-3</v>
      </c>
      <c r="L52" s="28">
        <v>9.5076923076923003E-3</v>
      </c>
      <c r="M52" s="28">
        <v>9.25582284269519E-3</v>
      </c>
      <c r="N52" s="28">
        <v>4.07895617675944E-4</v>
      </c>
      <c r="Q52" s="41">
        <f t="shared" si="1"/>
        <v>0.69740811502525779</v>
      </c>
      <c r="R52" s="28" t="s">
        <v>581</v>
      </c>
      <c r="S52" s="28">
        <v>9.2499999999999995E-3</v>
      </c>
      <c r="T52" s="28">
        <v>9.4110985277463099E-3</v>
      </c>
      <c r="U52" s="28">
        <v>9.6996805111821092E-3</v>
      </c>
      <c r="V52" s="28">
        <v>9.3231441048034908E-3</v>
      </c>
      <c r="W52" s="28">
        <v>8.8512696493349401E-3</v>
      </c>
      <c r="X52" s="28">
        <v>9.8187808896210808E-3</v>
      </c>
      <c r="Y52" s="28">
        <v>9.5428571428571394E-3</v>
      </c>
      <c r="Z52" s="28">
        <v>9.4328358208955205E-3</v>
      </c>
      <c r="AA52" s="28">
        <v>8.2877858337981006E-3</v>
      </c>
      <c r="AB52" s="28">
        <v>9.7088021178027804E-3</v>
      </c>
      <c r="AC52" s="28">
        <v>9.3326254598041503E-3</v>
      </c>
      <c r="AD52" s="28">
        <v>4.59866286504701E-4</v>
      </c>
    </row>
    <row r="53" spans="2:30" x14ac:dyDescent="0.25">
      <c r="B53" s="28" t="s">
        <v>582</v>
      </c>
      <c r="C53" s="28">
        <v>95.5555555555555</v>
      </c>
      <c r="D53" s="28">
        <v>90.867579908675793</v>
      </c>
      <c r="E53" s="28">
        <v>93.691830403309197</v>
      </c>
      <c r="F53" s="28">
        <v>95.360824742267994</v>
      </c>
      <c r="G53" s="28">
        <v>95.054945054944994</v>
      </c>
      <c r="H53" s="28">
        <v>89.952153110047803</v>
      </c>
      <c r="I53" s="28">
        <v>96.641386782231805</v>
      </c>
      <c r="J53" s="28">
        <v>85.454545454545396</v>
      </c>
      <c r="K53" s="28">
        <v>97.879858657243801</v>
      </c>
      <c r="L53" s="28">
        <v>96.282527881040807</v>
      </c>
      <c r="M53" s="28">
        <v>93.674120754986305</v>
      </c>
      <c r="N53" s="28">
        <v>3.81342039723285</v>
      </c>
      <c r="Q53" s="41">
        <f t="shared" si="1"/>
        <v>0.39535473311567493</v>
      </c>
      <c r="R53" s="28" t="s">
        <v>582</v>
      </c>
      <c r="S53" s="28">
        <v>95.796178343948995</v>
      </c>
      <c r="T53" s="28">
        <v>96.244784422809403</v>
      </c>
      <c r="U53" s="28">
        <v>97.582205029013494</v>
      </c>
      <c r="V53" s="28">
        <v>96.907216494845301</v>
      </c>
      <c r="W53" s="28">
        <v>90.081967213114694</v>
      </c>
      <c r="X53" s="28">
        <v>99.185098952269996</v>
      </c>
      <c r="Y53" s="28">
        <v>96.875</v>
      </c>
      <c r="Z53" s="28">
        <v>95.533769063180799</v>
      </c>
      <c r="AA53" s="28">
        <v>85.679214402618598</v>
      </c>
      <c r="AB53" s="28">
        <v>98.399246704331404</v>
      </c>
      <c r="AC53" s="28">
        <v>95.228468062613302</v>
      </c>
      <c r="AD53" s="28">
        <v>4.1620137444859697</v>
      </c>
    </row>
    <row r="54" spans="2:30" x14ac:dyDescent="0.25">
      <c r="B54" s="28" t="s">
        <v>583</v>
      </c>
      <c r="C54" s="28">
        <v>91.808873720136503</v>
      </c>
      <c r="D54" s="28">
        <v>90.598290598290603</v>
      </c>
      <c r="E54" s="28">
        <v>88.135593220338905</v>
      </c>
      <c r="F54" s="28">
        <v>93.509127789046602</v>
      </c>
      <c r="G54" s="28">
        <v>92.549019607843107</v>
      </c>
      <c r="H54" s="28">
        <v>85.462555066079204</v>
      </c>
      <c r="I54" s="28">
        <v>96.505376344086002</v>
      </c>
      <c r="J54" s="28">
        <v>85.142857142857096</v>
      </c>
      <c r="K54" s="28">
        <v>93.353474320241602</v>
      </c>
      <c r="L54" s="28">
        <v>90.990990990990994</v>
      </c>
      <c r="M54" s="28">
        <v>90.805615879991095</v>
      </c>
      <c r="N54" s="28">
        <v>3.62330903943919</v>
      </c>
      <c r="Q54" s="41">
        <f t="shared" si="1"/>
        <v>0.23996522894947106</v>
      </c>
      <c r="R54" s="28" t="s">
        <v>583</v>
      </c>
      <c r="S54" s="28">
        <v>50</v>
      </c>
      <c r="T54" s="28">
        <v>85.889570552147205</v>
      </c>
      <c r="U54" s="28">
        <v>96.415094339622598</v>
      </c>
      <c r="V54" s="28">
        <v>87.724550898203503</v>
      </c>
      <c r="W54" s="28">
        <v>84.792626728110605</v>
      </c>
      <c r="X54" s="28">
        <v>96.610169491525397</v>
      </c>
      <c r="Y54" s="28">
        <v>94.623655913978496</v>
      </c>
      <c r="Z54" s="28">
        <v>84.883720930232499</v>
      </c>
      <c r="AA54" s="28">
        <v>77.1929824561403</v>
      </c>
      <c r="AB54" s="28">
        <v>94.642857142857096</v>
      </c>
      <c r="AC54" s="28">
        <v>85.277522845281794</v>
      </c>
      <c r="AD54" s="28">
        <v>13.9210082366597</v>
      </c>
    </row>
    <row r="55" spans="2:30" x14ac:dyDescent="0.25">
      <c r="B55" s="28" t="s">
        <v>584</v>
      </c>
      <c r="C55" s="28">
        <v>22.3197222222222</v>
      </c>
      <c r="D55" s="28">
        <v>23.07</v>
      </c>
      <c r="E55" s="28">
        <v>22.864722222222198</v>
      </c>
      <c r="F55" s="28">
        <v>23.078333333333301</v>
      </c>
      <c r="G55" s="28">
        <v>22.786944444444401</v>
      </c>
      <c r="H55" s="28">
        <v>23.008888888888801</v>
      </c>
      <c r="I55" s="28">
        <v>22.8191666666666</v>
      </c>
      <c r="J55" s="28">
        <v>23.061111111111099</v>
      </c>
      <c r="K55" s="28">
        <v>22.9930555555555</v>
      </c>
      <c r="L55" s="28">
        <v>22.154444444444401</v>
      </c>
      <c r="M55" s="28">
        <v>22.815638888888799</v>
      </c>
      <c r="N55" s="28">
        <v>0.324746605078926</v>
      </c>
      <c r="Q55" s="41">
        <f t="shared" si="1"/>
        <v>0.93836953763628661</v>
      </c>
      <c r="R55" s="28" t="s">
        <v>584</v>
      </c>
      <c r="S55" s="28">
        <v>22.973333333333301</v>
      </c>
      <c r="T55" s="28">
        <v>22.147222222222201</v>
      </c>
      <c r="U55" s="28">
        <v>23.0686111111111</v>
      </c>
      <c r="V55" s="28">
        <v>22.8738888888888</v>
      </c>
      <c r="W55" s="28">
        <v>23.046666666666599</v>
      </c>
      <c r="X55" s="28">
        <v>22.885555555555499</v>
      </c>
      <c r="Y55" s="28">
        <v>22.834722222222201</v>
      </c>
      <c r="Z55" s="28">
        <v>22.8947222222222</v>
      </c>
      <c r="AA55" s="28">
        <v>22.535277777777701</v>
      </c>
      <c r="AB55" s="28">
        <v>22.7908333333333</v>
      </c>
      <c r="AC55" s="28">
        <v>22.8050833333333</v>
      </c>
      <c r="AD55" s="28">
        <v>0.27528175022983598</v>
      </c>
    </row>
    <row r="56" spans="2:30" x14ac:dyDescent="0.25">
      <c r="B56" s="28" t="s">
        <v>585</v>
      </c>
      <c r="C56" s="28">
        <v>-0.04</v>
      </c>
      <c r="D56" s="28">
        <v>-5.9999999999999602E-2</v>
      </c>
      <c r="E56" s="28">
        <v>-0.02</v>
      </c>
      <c r="F56" s="28">
        <v>-4.9999999999999802E-2</v>
      </c>
      <c r="G56" s="28">
        <v>-3.00000000000002E-2</v>
      </c>
      <c r="H56" s="28">
        <v>-0.04</v>
      </c>
      <c r="I56" s="28">
        <v>-0.04</v>
      </c>
      <c r="J56" s="28">
        <v>-0.04</v>
      </c>
      <c r="K56" s="28">
        <v>-4.9999999999999802E-2</v>
      </c>
      <c r="L56" s="28">
        <v>-4.9999999999999802E-2</v>
      </c>
      <c r="M56" s="28">
        <v>-4.1999999999999899E-2</v>
      </c>
      <c r="N56" s="28">
        <v>1.13529242439507E-2</v>
      </c>
      <c r="Q56" s="41">
        <f t="shared" si="1"/>
        <v>0.70307660723360199</v>
      </c>
      <c r="R56" s="28" t="s">
        <v>585</v>
      </c>
      <c r="S56" s="28">
        <v>-5.0000000000000697E-2</v>
      </c>
      <c r="T56" s="28">
        <v>-2.9999999999999302E-2</v>
      </c>
      <c r="U56" s="28">
        <v>-0.04</v>
      </c>
      <c r="V56" s="28">
        <v>-3.00000000000002E-2</v>
      </c>
      <c r="W56" s="28">
        <v>-5.0000000000000697E-2</v>
      </c>
      <c r="X56" s="28">
        <v>-3.9999999999999501E-2</v>
      </c>
      <c r="Y56" s="28">
        <v>-4.9999999999999802E-2</v>
      </c>
      <c r="Z56" s="28">
        <v>-3.00000000000002E-2</v>
      </c>
      <c r="AA56" s="28">
        <v>-5.9999999999999602E-2</v>
      </c>
      <c r="AB56" s="28">
        <v>-5.9999999999999602E-2</v>
      </c>
      <c r="AC56" s="28">
        <v>-4.3999999999999997E-2</v>
      </c>
      <c r="AD56" s="28">
        <v>1.1737877907772599E-2</v>
      </c>
    </row>
    <row r="57" spans="2:30" x14ac:dyDescent="0.25">
      <c r="B57" s="28" t="s">
        <v>586</v>
      </c>
      <c r="C57" s="28">
        <v>-1.7921369989172501E-3</v>
      </c>
      <c r="D57" s="28">
        <v>-2.6007802340701999E-3</v>
      </c>
      <c r="E57" s="28">
        <v>-8.7470994861079104E-4</v>
      </c>
      <c r="F57" s="28">
        <v>-2.1665342673503202E-3</v>
      </c>
      <c r="G57" s="28">
        <v>-1.31654334231347E-3</v>
      </c>
      <c r="H57" s="28">
        <v>-1.7384585667374901E-3</v>
      </c>
      <c r="I57" s="28">
        <v>-1.7529123908994601E-3</v>
      </c>
      <c r="J57" s="28">
        <v>-1.73452180197542E-3</v>
      </c>
      <c r="K57" s="28">
        <v>-2.1745696164300701E-3</v>
      </c>
      <c r="L57" s="28">
        <v>-2.2568834946587002E-3</v>
      </c>
      <c r="M57" s="28">
        <v>-1.84080506619632E-3</v>
      </c>
      <c r="N57" s="28">
        <v>4.9533788407437099E-4</v>
      </c>
      <c r="Q57" s="41">
        <f t="shared" si="1"/>
        <v>0.7011558778071737</v>
      </c>
      <c r="R57" s="28" t="s">
        <v>586</v>
      </c>
      <c r="S57" s="28">
        <v>-2.17643644805574E-3</v>
      </c>
      <c r="T57" s="28">
        <v>-1.3545716794180001E-3</v>
      </c>
      <c r="U57" s="28">
        <v>-1.73395787927318E-3</v>
      </c>
      <c r="V57" s="28">
        <v>-1.31153911543974E-3</v>
      </c>
      <c r="W57" s="28">
        <v>-2.1695111368238598E-3</v>
      </c>
      <c r="X57" s="28">
        <v>-1.74782735349806E-3</v>
      </c>
      <c r="Y57" s="28">
        <v>-2.1896478316404001E-3</v>
      </c>
      <c r="Z57" s="28">
        <v>-1.3103456643331201E-3</v>
      </c>
      <c r="AA57" s="28">
        <v>-2.66249214195025E-3</v>
      </c>
      <c r="AB57" s="28">
        <v>-2.6326373907638099E-3</v>
      </c>
      <c r="AC57" s="28">
        <v>-1.92889666411962E-3</v>
      </c>
      <c r="AD57" s="28">
        <v>5.1477588125409496E-4</v>
      </c>
    </row>
    <row r="58" spans="2:30" x14ac:dyDescent="0.25">
      <c r="B58" s="28" t="s">
        <v>587</v>
      </c>
      <c r="C58" s="28">
        <v>1.4117647058823499</v>
      </c>
      <c r="D58" s="28">
        <v>1.6666666666666601</v>
      </c>
      <c r="E58" s="28">
        <v>1.7692307692307601</v>
      </c>
      <c r="F58" s="28">
        <v>2.08510638297872</v>
      </c>
      <c r="G58" s="28">
        <v>1.3220338983050799</v>
      </c>
      <c r="H58" s="28">
        <v>1.9</v>
      </c>
      <c r="I58" s="28">
        <v>1.38333333333333</v>
      </c>
      <c r="J58" s="28">
        <v>1.8780487804878001</v>
      </c>
      <c r="K58" s="28">
        <v>1.7735849056603701</v>
      </c>
      <c r="L58" s="28">
        <v>1.5090909090908999</v>
      </c>
      <c r="M58" s="28">
        <v>1.6698860351636</v>
      </c>
      <c r="N58" s="28">
        <v>0.25493366285237601</v>
      </c>
      <c r="Q58" s="41">
        <f t="shared" si="1"/>
        <v>0.18523978050546208</v>
      </c>
      <c r="R58" s="28" t="s">
        <v>587</v>
      </c>
      <c r="S58" s="28">
        <v>1.6969696969696899</v>
      </c>
      <c r="T58" s="28">
        <v>1.7179487179487101</v>
      </c>
      <c r="U58" s="28">
        <v>1.8297872340425501</v>
      </c>
      <c r="V58" s="28">
        <v>1.6458333333333299</v>
      </c>
      <c r="W58" s="28">
        <v>1.8958333333333299</v>
      </c>
      <c r="X58" s="28">
        <v>1.9512195121951199</v>
      </c>
      <c r="Y58" s="28">
        <v>1.81395348837209</v>
      </c>
      <c r="Z58" s="28">
        <v>2.0434782608695601</v>
      </c>
      <c r="AA58" s="28">
        <v>1.5208333333333299</v>
      </c>
      <c r="AB58" s="28">
        <v>1.8846153846153799</v>
      </c>
      <c r="AC58" s="28">
        <v>1.8000472295013099</v>
      </c>
      <c r="AD58" s="28">
        <v>0.15585741255571001</v>
      </c>
    </row>
    <row r="59" spans="2:30" x14ac:dyDescent="0.25">
      <c r="B59" s="28" t="s">
        <v>588</v>
      </c>
      <c r="C59" s="28">
        <v>1</v>
      </c>
      <c r="D59" s="28">
        <v>1</v>
      </c>
      <c r="E59" s="28">
        <v>1</v>
      </c>
      <c r="F59" s="28">
        <v>2</v>
      </c>
      <c r="G59" s="28">
        <v>1</v>
      </c>
      <c r="H59" s="28">
        <v>2</v>
      </c>
      <c r="I59" s="28">
        <v>1</v>
      </c>
      <c r="J59" s="28">
        <v>2</v>
      </c>
      <c r="K59" s="28">
        <v>2</v>
      </c>
      <c r="L59" s="28">
        <v>1</v>
      </c>
      <c r="M59" s="28">
        <v>1.4</v>
      </c>
      <c r="N59" s="28">
        <v>0.51639777949432197</v>
      </c>
      <c r="Q59" s="41">
        <f t="shared" si="1"/>
        <v>1.7679235799594625E-2</v>
      </c>
      <c r="R59" s="28" t="s">
        <v>588</v>
      </c>
      <c r="S59" s="28">
        <v>2</v>
      </c>
      <c r="T59" s="28">
        <v>2</v>
      </c>
      <c r="U59" s="28">
        <v>2</v>
      </c>
      <c r="V59" s="28">
        <v>2</v>
      </c>
      <c r="W59" s="28">
        <v>2</v>
      </c>
      <c r="X59" s="28">
        <v>2</v>
      </c>
      <c r="Y59" s="28">
        <v>2</v>
      </c>
      <c r="Z59" s="28">
        <v>2</v>
      </c>
      <c r="AA59" s="28">
        <v>1</v>
      </c>
      <c r="AB59" s="28">
        <v>2</v>
      </c>
      <c r="AC59" s="28">
        <v>1.9</v>
      </c>
      <c r="AD59" s="28">
        <v>0.316227766016837</v>
      </c>
    </row>
    <row r="60" spans="2:30" x14ac:dyDescent="0.25">
      <c r="B60" s="28" t="s">
        <v>589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Q60" s="41" t="e">
        <f t="shared" si="1"/>
        <v>#DIV/0!</v>
      </c>
      <c r="R60" s="28" t="s">
        <v>589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</row>
    <row r="61" spans="2:30" x14ac:dyDescent="0.25">
      <c r="Q61" s="41" t="e">
        <f t="shared" si="1"/>
        <v>#DIV/0!</v>
      </c>
    </row>
    <row r="66" spans="1:31" x14ac:dyDescent="0.25">
      <c r="A66" s="49" t="s">
        <v>592</v>
      </c>
      <c r="O66" s="50"/>
      <c r="P66" s="50"/>
      <c r="Q66" s="50"/>
      <c r="R66" s="56" t="s">
        <v>593</v>
      </c>
    </row>
    <row r="67" spans="1:31" x14ac:dyDescent="0.25">
      <c r="B67" s="28" t="s">
        <v>558</v>
      </c>
      <c r="C67" s="28" t="s">
        <v>362</v>
      </c>
      <c r="D67" s="28" t="s">
        <v>412</v>
      </c>
      <c r="E67" s="28" t="s">
        <v>392</v>
      </c>
      <c r="F67" s="28" t="s">
        <v>442</v>
      </c>
      <c r="G67" s="28" t="s">
        <v>352</v>
      </c>
      <c r="H67" s="28" t="s">
        <v>402</v>
      </c>
      <c r="I67" s="28" t="s">
        <v>372</v>
      </c>
      <c r="J67" s="28" t="s">
        <v>422</v>
      </c>
      <c r="K67" s="28" t="s">
        <v>382</v>
      </c>
      <c r="L67" s="28" t="s">
        <v>432</v>
      </c>
      <c r="M67" s="28" t="s">
        <v>559</v>
      </c>
      <c r="N67" s="28" t="s">
        <v>560</v>
      </c>
      <c r="O67" s="53" t="s">
        <v>129</v>
      </c>
      <c r="P67" s="52" t="s">
        <v>13</v>
      </c>
      <c r="Q67" s="41" t="s">
        <v>594</v>
      </c>
      <c r="S67" s="28" t="s">
        <v>558</v>
      </c>
      <c r="T67" s="28" t="s">
        <v>250</v>
      </c>
      <c r="U67" s="28" t="s">
        <v>301</v>
      </c>
      <c r="V67" s="28" t="s">
        <v>260</v>
      </c>
      <c r="W67" s="28" t="s">
        <v>312</v>
      </c>
      <c r="X67" s="28" t="s">
        <v>270</v>
      </c>
      <c r="Y67" s="28" t="s">
        <v>322</v>
      </c>
      <c r="Z67" s="28" t="s">
        <v>280</v>
      </c>
      <c r="AA67" s="28" t="s">
        <v>332</v>
      </c>
      <c r="AB67" s="28" t="s">
        <v>291</v>
      </c>
      <c r="AC67" s="28" t="s">
        <v>342</v>
      </c>
      <c r="AD67" s="28" t="s">
        <v>559</v>
      </c>
      <c r="AE67" s="28" t="s">
        <v>560</v>
      </c>
    </row>
    <row r="68" spans="1:31" x14ac:dyDescent="0.25">
      <c r="B68" s="28" t="s">
        <v>563</v>
      </c>
      <c r="C68" s="28">
        <v>74</v>
      </c>
      <c r="D68" s="28">
        <v>77</v>
      </c>
      <c r="E68" s="28">
        <v>91</v>
      </c>
      <c r="F68" s="28">
        <v>58</v>
      </c>
      <c r="G68" s="28">
        <v>105</v>
      </c>
      <c r="H68" s="28">
        <v>78</v>
      </c>
      <c r="I68" s="28">
        <v>75</v>
      </c>
      <c r="J68" s="28">
        <v>106</v>
      </c>
      <c r="K68" s="28">
        <v>78</v>
      </c>
      <c r="L68" s="28">
        <v>70</v>
      </c>
      <c r="M68" s="28">
        <v>81.2</v>
      </c>
      <c r="N68" s="28">
        <v>15.164285527368399</v>
      </c>
      <c r="O68" s="54">
        <f>_xlfn.T.TEST(C68:L68,C99:L99,2,2)</f>
        <v>3.1291807312490418E-6</v>
      </c>
      <c r="P68" s="54">
        <f>_xlfn.T.TEST(T68:AC68,T99:AC99,2,2)</f>
        <v>3.9712841257171968E-7</v>
      </c>
      <c r="Q68" s="54">
        <f>_xlfn.T.TEST(C68:L68,T68:AC68,2,2)</f>
        <v>0.52629597252925553</v>
      </c>
      <c r="S68" s="28" t="s">
        <v>563</v>
      </c>
      <c r="T68" s="28">
        <v>86</v>
      </c>
      <c r="U68" s="28">
        <v>87</v>
      </c>
      <c r="V68" s="28">
        <v>82</v>
      </c>
      <c r="W68" s="28">
        <v>76</v>
      </c>
      <c r="X68" s="28">
        <v>103</v>
      </c>
      <c r="Y68" s="28">
        <v>86</v>
      </c>
      <c r="Z68" s="28">
        <v>96</v>
      </c>
      <c r="AA68" s="28">
        <v>85</v>
      </c>
      <c r="AB68" s="28">
        <v>81</v>
      </c>
      <c r="AC68" s="28">
        <v>67</v>
      </c>
      <c r="AD68" s="28">
        <v>84.9</v>
      </c>
      <c r="AE68" s="28">
        <v>9.8933198562352</v>
      </c>
    </row>
    <row r="69" spans="1:31" x14ac:dyDescent="0.25">
      <c r="B69" s="28" t="s">
        <v>564</v>
      </c>
      <c r="C69" s="28">
        <v>45</v>
      </c>
      <c r="D69" s="28">
        <v>37</v>
      </c>
      <c r="E69" s="28">
        <v>52</v>
      </c>
      <c r="F69" s="28">
        <v>29</v>
      </c>
      <c r="G69" s="28">
        <v>66</v>
      </c>
      <c r="H69" s="28">
        <v>43</v>
      </c>
      <c r="I69" s="28">
        <v>52</v>
      </c>
      <c r="J69" s="28">
        <v>61</v>
      </c>
      <c r="K69" s="28">
        <v>36</v>
      </c>
      <c r="L69" s="28">
        <v>40</v>
      </c>
      <c r="M69" s="28">
        <v>46.1</v>
      </c>
      <c r="N69" s="28">
        <v>11.608904628201</v>
      </c>
      <c r="O69" s="54">
        <f t="shared" ref="O69:O94" si="3">_xlfn.T.TEST(C69:L69,C100:L100,2,2)</f>
        <v>1.9539114704103101E-3</v>
      </c>
      <c r="P69" s="54">
        <f t="shared" ref="P69:P94" si="4">_xlfn.T.TEST(T69:AC69,T100:AC100,2,2)</f>
        <v>2.7332336691605419E-3</v>
      </c>
      <c r="Q69" s="54">
        <f t="shared" ref="Q69:Q125" si="5">_xlfn.T.TEST(C69:L69,T69:AC69,2,2)</f>
        <v>0.80710144949113283</v>
      </c>
      <c r="S69" s="28" t="s">
        <v>564</v>
      </c>
      <c r="T69" s="28">
        <v>50</v>
      </c>
      <c r="U69" s="28">
        <v>41</v>
      </c>
      <c r="V69" s="28">
        <v>45</v>
      </c>
      <c r="W69" s="28">
        <v>43</v>
      </c>
      <c r="X69" s="28">
        <v>54</v>
      </c>
      <c r="Y69" s="28">
        <v>42</v>
      </c>
      <c r="Z69" s="28">
        <v>53</v>
      </c>
      <c r="AA69" s="28">
        <v>42</v>
      </c>
      <c r="AB69" s="28">
        <v>42</v>
      </c>
      <c r="AC69" s="28">
        <v>39</v>
      </c>
      <c r="AD69" s="28">
        <v>45.1</v>
      </c>
      <c r="AE69" s="28">
        <v>5.3009433122794203</v>
      </c>
    </row>
    <row r="70" spans="1:31" x14ac:dyDescent="0.25">
      <c r="B70" s="28" t="s">
        <v>565</v>
      </c>
      <c r="C70" s="28">
        <v>29</v>
      </c>
      <c r="D70" s="28">
        <v>40</v>
      </c>
      <c r="E70" s="28">
        <v>39</v>
      </c>
      <c r="F70" s="28">
        <v>29</v>
      </c>
      <c r="G70" s="28">
        <v>39</v>
      </c>
      <c r="H70" s="28">
        <v>35</v>
      </c>
      <c r="I70" s="28">
        <v>23</v>
      </c>
      <c r="J70" s="28">
        <v>45</v>
      </c>
      <c r="K70" s="28">
        <v>42</v>
      </c>
      <c r="L70" s="28">
        <v>30</v>
      </c>
      <c r="M70" s="28">
        <v>35.1</v>
      </c>
      <c r="N70" s="28">
        <v>7.0466698202452704</v>
      </c>
      <c r="O70" s="54">
        <f t="shared" si="3"/>
        <v>2.508106131350991E-6</v>
      </c>
      <c r="P70" s="54">
        <f t="shared" si="4"/>
        <v>3.9983138877417659E-8</v>
      </c>
      <c r="Q70" s="54">
        <f t="shared" si="5"/>
        <v>0.13607023706489979</v>
      </c>
      <c r="S70" s="28" t="s">
        <v>565</v>
      </c>
      <c r="T70" s="28">
        <v>36</v>
      </c>
      <c r="U70" s="28">
        <v>46</v>
      </c>
      <c r="V70" s="28">
        <v>37</v>
      </c>
      <c r="W70" s="28">
        <v>33</v>
      </c>
      <c r="X70" s="28">
        <v>49</v>
      </c>
      <c r="Y70" s="28">
        <v>44</v>
      </c>
      <c r="Z70" s="28">
        <v>43</v>
      </c>
      <c r="AA70" s="28">
        <v>43</v>
      </c>
      <c r="AB70" s="28">
        <v>39</v>
      </c>
      <c r="AC70" s="28">
        <v>28</v>
      </c>
      <c r="AD70" s="28">
        <v>39.799999999999997</v>
      </c>
      <c r="AE70" s="28">
        <v>6.4083279150388801</v>
      </c>
    </row>
    <row r="71" spans="1:31" x14ac:dyDescent="0.25">
      <c r="B71" s="28" t="s">
        <v>566</v>
      </c>
      <c r="C71" s="28">
        <v>3.2963769550583999</v>
      </c>
      <c r="D71" s="28">
        <v>3.3757535164099099</v>
      </c>
      <c r="E71" s="28">
        <v>4.0726513258494004</v>
      </c>
      <c r="F71" s="28">
        <v>2.6011560693641602</v>
      </c>
      <c r="G71" s="28">
        <v>4.70348157180897</v>
      </c>
      <c r="H71" s="28">
        <v>3.41626619624064</v>
      </c>
      <c r="I71" s="28">
        <v>3.3790548658390001</v>
      </c>
      <c r="J71" s="28">
        <v>4.6288771091352299</v>
      </c>
      <c r="K71" s="28">
        <v>3.47589280188153</v>
      </c>
      <c r="L71" s="28">
        <v>3.05769580780197</v>
      </c>
      <c r="M71" s="28">
        <v>3.6007206219389198</v>
      </c>
      <c r="N71" s="28">
        <v>0.66931870011691197</v>
      </c>
      <c r="O71" s="54">
        <f t="shared" si="3"/>
        <v>2.8823733904149881E-6</v>
      </c>
      <c r="P71" s="54">
        <f t="shared" si="4"/>
        <v>1.0199824523885963E-6</v>
      </c>
      <c r="Q71" s="54">
        <f t="shared" si="5"/>
        <v>0.50259495697329171</v>
      </c>
      <c r="S71" s="28" t="s">
        <v>566</v>
      </c>
      <c r="T71" s="28">
        <v>3.8415246981747702</v>
      </c>
      <c r="U71" s="28">
        <v>3.8007402463442701</v>
      </c>
      <c r="V71" s="28">
        <v>3.6573127671436501</v>
      </c>
      <c r="W71" s="28">
        <v>3.3195020746887902</v>
      </c>
      <c r="X71" s="28">
        <v>4.5996973230456204</v>
      </c>
      <c r="Y71" s="28">
        <v>4.0275790295303704</v>
      </c>
      <c r="Z71" s="28">
        <v>4.2779160013368402</v>
      </c>
      <c r="AA71" s="28">
        <v>3.7176979431167898</v>
      </c>
      <c r="AB71" s="28">
        <v>3.6062775943308698</v>
      </c>
      <c r="AC71" s="28">
        <v>2.9264386503439601</v>
      </c>
      <c r="AD71" s="28">
        <v>3.77746863280559</v>
      </c>
      <c r="AE71" s="28">
        <v>0.46845007847815101</v>
      </c>
    </row>
    <row r="72" spans="1:31" x14ac:dyDescent="0.25">
      <c r="B72" s="28" t="s">
        <v>567</v>
      </c>
      <c r="C72" s="28">
        <v>4.0098017375807498</v>
      </c>
      <c r="D72" s="28">
        <v>2.97813352412467</v>
      </c>
      <c r="E72" s="28">
        <v>4.3339352687873296</v>
      </c>
      <c r="F72" s="28">
        <v>2.5718086416711801</v>
      </c>
      <c r="G72" s="28">
        <v>5.8306748466257599</v>
      </c>
      <c r="H72" s="28">
        <v>3.61995182751444</v>
      </c>
      <c r="I72" s="28">
        <v>4.3317289892632296</v>
      </c>
      <c r="J72" s="28">
        <v>5.3277694211266899</v>
      </c>
      <c r="K72" s="28">
        <v>3.16909157598728</v>
      </c>
      <c r="L72" s="28">
        <v>3.4876961829102799</v>
      </c>
      <c r="M72" s="28">
        <v>3.96605920155916</v>
      </c>
      <c r="N72" s="28">
        <v>1.02771145355478</v>
      </c>
      <c r="O72" s="54">
        <f t="shared" si="3"/>
        <v>2.5395420176156243E-3</v>
      </c>
      <c r="P72" s="54">
        <f t="shared" si="4"/>
        <v>6.2517019654949298E-3</v>
      </c>
      <c r="Q72" s="54">
        <f t="shared" si="5"/>
        <v>0.55453462079741467</v>
      </c>
      <c r="S72" s="28" t="s">
        <v>567</v>
      </c>
      <c r="T72" s="28">
        <v>4.2638872438706601</v>
      </c>
      <c r="U72" s="28">
        <v>3.4692678340580501</v>
      </c>
      <c r="V72" s="28">
        <v>3.3347056401811401</v>
      </c>
      <c r="W72" s="28">
        <v>3.6138671647017602</v>
      </c>
      <c r="X72" s="28">
        <v>4.6157133698981401</v>
      </c>
      <c r="Y72" s="28">
        <v>3.5147260512796601</v>
      </c>
      <c r="Z72" s="28">
        <v>4.4356619783796303</v>
      </c>
      <c r="AA72" s="28">
        <v>3.4951456310679601</v>
      </c>
      <c r="AB72" s="28">
        <v>3.4846738879926198</v>
      </c>
      <c r="AC72" s="28">
        <v>3.2627640538216598</v>
      </c>
      <c r="AD72" s="28">
        <v>3.7490412855251298</v>
      </c>
      <c r="AE72" s="28">
        <v>0.49233868107048301</v>
      </c>
    </row>
    <row r="73" spans="1:31" x14ac:dyDescent="0.25">
      <c r="B73" s="28" t="s">
        <v>568</v>
      </c>
      <c r="C73" s="28">
        <v>2.58319930718792</v>
      </c>
      <c r="D73" s="28">
        <v>3.8514001444275001</v>
      </c>
      <c r="E73" s="28">
        <v>3.7696335078534</v>
      </c>
      <c r="F73" s="28">
        <v>2.6311810071072101</v>
      </c>
      <c r="G73" s="28">
        <v>3.5440226171243898</v>
      </c>
      <c r="H73" s="28">
        <v>3.1953743152769301</v>
      </c>
      <c r="I73" s="28">
        <v>2.25686873092019</v>
      </c>
      <c r="J73" s="28">
        <v>3.9300356614347001</v>
      </c>
      <c r="K73" s="28">
        <v>3.79042366507896</v>
      </c>
      <c r="L73" s="28">
        <v>2.6260121088336099</v>
      </c>
      <c r="M73" s="28">
        <v>3.2178151065244802</v>
      </c>
      <c r="N73" s="28">
        <v>0.638445391537519</v>
      </c>
      <c r="O73" s="54">
        <f t="shared" si="3"/>
        <v>2.3662315453170422E-6</v>
      </c>
      <c r="P73" s="54">
        <f t="shared" si="4"/>
        <v>8.7429274326056528E-8</v>
      </c>
      <c r="Q73" s="54">
        <f t="shared" si="5"/>
        <v>5.1404087086081594E-2</v>
      </c>
      <c r="S73" s="28" t="s">
        <v>568</v>
      </c>
      <c r="T73" s="28">
        <v>3.37693470217312</v>
      </c>
      <c r="U73" s="28">
        <v>4.1545408931259402</v>
      </c>
      <c r="V73" s="28">
        <v>4.1450132254551102</v>
      </c>
      <c r="W73" s="28">
        <v>3.0009851718998601</v>
      </c>
      <c r="X73" s="28">
        <v>4.5821752344338504</v>
      </c>
      <c r="Y73" s="28">
        <v>4.6793300050219999</v>
      </c>
      <c r="Z73" s="28">
        <v>4.0982738536482</v>
      </c>
      <c r="AA73" s="28">
        <v>3.96425004481548</v>
      </c>
      <c r="AB73" s="28">
        <v>3.7470976006832299</v>
      </c>
      <c r="AC73" s="28">
        <v>2.55902513328255</v>
      </c>
      <c r="AD73" s="28">
        <v>3.8307625864539299</v>
      </c>
      <c r="AE73" s="28">
        <v>0.67465719302446703</v>
      </c>
    </row>
    <row r="74" spans="1:31" x14ac:dyDescent="0.25">
      <c r="B74" s="28" t="s">
        <v>569</v>
      </c>
      <c r="C74" s="28">
        <v>64</v>
      </c>
      <c r="D74" s="28">
        <v>62</v>
      </c>
      <c r="E74" s="28">
        <v>74</v>
      </c>
      <c r="F74" s="28">
        <v>51</v>
      </c>
      <c r="G74" s="28">
        <v>59</v>
      </c>
      <c r="H74" s="28">
        <v>66</v>
      </c>
      <c r="I74" s="28">
        <v>60</v>
      </c>
      <c r="J74" s="28">
        <v>86</v>
      </c>
      <c r="K74" s="28">
        <v>64</v>
      </c>
      <c r="L74" s="28">
        <v>63</v>
      </c>
      <c r="M74" s="28">
        <v>64.900000000000006</v>
      </c>
      <c r="N74" s="28">
        <v>9.3979903289066105</v>
      </c>
      <c r="O74" s="54">
        <f t="shared" si="3"/>
        <v>6.1588428293161301E-6</v>
      </c>
      <c r="P74" s="54">
        <f t="shared" si="4"/>
        <v>9.9576507494784105E-6</v>
      </c>
      <c r="Q74" s="54">
        <f t="shared" si="5"/>
        <v>6.8567892613568146E-2</v>
      </c>
      <c r="S74" s="28" t="s">
        <v>569</v>
      </c>
      <c r="T74" s="28">
        <v>71</v>
      </c>
      <c r="U74" s="28">
        <v>75</v>
      </c>
      <c r="V74" s="28">
        <v>69</v>
      </c>
      <c r="W74" s="28">
        <v>72</v>
      </c>
      <c r="X74" s="28">
        <v>90</v>
      </c>
      <c r="Y74" s="28">
        <v>77</v>
      </c>
      <c r="Z74" s="28">
        <v>80</v>
      </c>
      <c r="AA74" s="28">
        <v>70</v>
      </c>
      <c r="AB74" s="28">
        <v>64</v>
      </c>
      <c r="AC74" s="28">
        <v>59</v>
      </c>
      <c r="AD74" s="28">
        <v>72.7</v>
      </c>
      <c r="AE74" s="28">
        <v>8.5900459189045595</v>
      </c>
    </row>
    <row r="75" spans="1:31" x14ac:dyDescent="0.25">
      <c r="B75" s="28" t="s">
        <v>570</v>
      </c>
      <c r="C75" s="28">
        <v>43</v>
      </c>
      <c r="D75" s="28">
        <v>31</v>
      </c>
      <c r="E75" s="28">
        <v>47</v>
      </c>
      <c r="F75" s="28">
        <v>28</v>
      </c>
      <c r="G75" s="28">
        <v>36</v>
      </c>
      <c r="H75" s="28">
        <v>43</v>
      </c>
      <c r="I75" s="28">
        <v>46</v>
      </c>
      <c r="J75" s="28">
        <v>50</v>
      </c>
      <c r="K75" s="28">
        <v>32</v>
      </c>
      <c r="L75" s="28">
        <v>40</v>
      </c>
      <c r="M75" s="28">
        <v>39.6</v>
      </c>
      <c r="N75" s="28">
        <v>7.5011110288187703</v>
      </c>
      <c r="O75" s="54">
        <f t="shared" si="3"/>
        <v>3.5614528103608458E-3</v>
      </c>
      <c r="P75" s="54">
        <f t="shared" si="4"/>
        <v>8.4561653566001763E-3</v>
      </c>
      <c r="Q75" s="54">
        <f t="shared" si="5"/>
        <v>0.26151612804292851</v>
      </c>
      <c r="S75" s="28" t="s">
        <v>570</v>
      </c>
      <c r="T75" s="28">
        <v>49</v>
      </c>
      <c r="U75" s="28">
        <v>37</v>
      </c>
      <c r="V75" s="28">
        <v>40</v>
      </c>
      <c r="W75" s="28">
        <v>43</v>
      </c>
      <c r="X75" s="28">
        <v>54</v>
      </c>
      <c r="Y75" s="28">
        <v>42</v>
      </c>
      <c r="Z75" s="28">
        <v>52</v>
      </c>
      <c r="AA75" s="28">
        <v>41</v>
      </c>
      <c r="AB75" s="28">
        <v>38</v>
      </c>
      <c r="AC75" s="28">
        <v>36</v>
      </c>
      <c r="AD75" s="28">
        <v>43.2</v>
      </c>
      <c r="AE75" s="28">
        <v>6.3385943061358399</v>
      </c>
    </row>
    <row r="76" spans="1:31" x14ac:dyDescent="0.25">
      <c r="B76" s="28" t="s">
        <v>571</v>
      </c>
      <c r="C76" s="28">
        <v>21</v>
      </c>
      <c r="D76" s="28">
        <v>31</v>
      </c>
      <c r="E76" s="28">
        <v>27</v>
      </c>
      <c r="F76" s="28">
        <v>23</v>
      </c>
      <c r="G76" s="28">
        <v>23</v>
      </c>
      <c r="H76" s="28">
        <v>23</v>
      </c>
      <c r="I76" s="28">
        <v>14</v>
      </c>
      <c r="J76" s="28">
        <v>36</v>
      </c>
      <c r="K76" s="28">
        <v>32</v>
      </c>
      <c r="L76" s="28">
        <v>23</v>
      </c>
      <c r="M76" s="28">
        <v>25.3</v>
      </c>
      <c r="N76" s="28">
        <v>6.3429751168779802</v>
      </c>
      <c r="O76" s="54">
        <f t="shared" si="3"/>
        <v>2.1888813332454252E-4</v>
      </c>
      <c r="P76" s="54">
        <f t="shared" si="4"/>
        <v>5.5260101334230967E-6</v>
      </c>
      <c r="Q76" s="54">
        <f t="shared" si="5"/>
        <v>0.1271305248885013</v>
      </c>
      <c r="S76" s="28" t="s">
        <v>571</v>
      </c>
      <c r="T76" s="28">
        <v>22</v>
      </c>
      <c r="U76" s="28">
        <v>38</v>
      </c>
      <c r="V76" s="28">
        <v>29</v>
      </c>
      <c r="W76" s="28">
        <v>29</v>
      </c>
      <c r="X76" s="28">
        <v>36</v>
      </c>
      <c r="Y76" s="28">
        <v>35</v>
      </c>
      <c r="Z76" s="28">
        <v>28</v>
      </c>
      <c r="AA76" s="28">
        <v>29</v>
      </c>
      <c r="AB76" s="28">
        <v>26</v>
      </c>
      <c r="AC76" s="28">
        <v>23</v>
      </c>
      <c r="AD76" s="28">
        <v>29.5</v>
      </c>
      <c r="AE76" s="28">
        <v>5.3593117302711697</v>
      </c>
    </row>
    <row r="77" spans="1:31" x14ac:dyDescent="0.25">
      <c r="B77" s="28" t="s">
        <v>572</v>
      </c>
      <c r="C77" s="28">
        <v>1.140625</v>
      </c>
      <c r="D77" s="28">
        <v>1.2258064516128999</v>
      </c>
      <c r="E77" s="28">
        <v>1.21621621621621</v>
      </c>
      <c r="F77" s="28">
        <v>1.1176470588235199</v>
      </c>
      <c r="G77" s="28">
        <v>1.7627118644067701</v>
      </c>
      <c r="H77" s="28">
        <v>1.1666666666666601</v>
      </c>
      <c r="I77" s="28">
        <v>1.2333333333333301</v>
      </c>
      <c r="J77" s="28">
        <v>1.2209302325581299</v>
      </c>
      <c r="K77" s="28">
        <v>1.203125</v>
      </c>
      <c r="L77" s="28">
        <v>1.09523809523809</v>
      </c>
      <c r="M77" s="28">
        <v>1.2382299918855599</v>
      </c>
      <c r="N77" s="28">
        <v>0.190587038989943</v>
      </c>
      <c r="O77" s="54">
        <f t="shared" si="3"/>
        <v>1.6506434183940905E-2</v>
      </c>
      <c r="P77" s="54">
        <f t="shared" si="4"/>
        <v>1.0475332329767337E-5</v>
      </c>
      <c r="Q77" s="54">
        <f t="shared" si="5"/>
        <v>0.2052329143599726</v>
      </c>
      <c r="S77" s="28" t="s">
        <v>572</v>
      </c>
      <c r="T77" s="28">
        <v>1.1971830985915399</v>
      </c>
      <c r="U77" s="28">
        <v>1.1466666666666601</v>
      </c>
      <c r="V77" s="28">
        <v>1.1739130434782601</v>
      </c>
      <c r="W77" s="28">
        <v>1.0416666666666601</v>
      </c>
      <c r="X77" s="28">
        <v>1.13333333333333</v>
      </c>
      <c r="Y77" s="28">
        <v>1.1038961038960999</v>
      </c>
      <c r="Z77" s="28">
        <v>1.1875</v>
      </c>
      <c r="AA77" s="28">
        <v>1.2</v>
      </c>
      <c r="AB77" s="28">
        <v>1.25</v>
      </c>
      <c r="AC77" s="28">
        <v>1.1186440677966101</v>
      </c>
      <c r="AD77" s="28">
        <v>1.15528029804291</v>
      </c>
      <c r="AE77" s="28">
        <v>5.9216436050939299E-2</v>
      </c>
    </row>
    <row r="78" spans="1:31" x14ac:dyDescent="0.25">
      <c r="B78" s="28" t="s">
        <v>573</v>
      </c>
      <c r="C78" s="28">
        <v>1.0465116279069699</v>
      </c>
      <c r="D78" s="28">
        <v>1.19354838709677</v>
      </c>
      <c r="E78" s="28">
        <v>1.1063829787234001</v>
      </c>
      <c r="F78" s="28">
        <v>1.03571428571428</v>
      </c>
      <c r="G78" s="28">
        <v>1.8333333333333299</v>
      </c>
      <c r="H78" s="28">
        <v>1</v>
      </c>
      <c r="I78" s="28">
        <v>1.13043478260869</v>
      </c>
      <c r="J78" s="28">
        <v>1.22</v>
      </c>
      <c r="K78" s="28">
        <v>1.125</v>
      </c>
      <c r="L78" s="28">
        <v>1</v>
      </c>
      <c r="M78" s="28">
        <v>1.16909253953834</v>
      </c>
      <c r="N78" s="28">
        <v>0.245351667278671</v>
      </c>
      <c r="O78" s="54">
        <f t="shared" si="3"/>
        <v>0.19052889869159381</v>
      </c>
      <c r="P78" s="54">
        <f t="shared" si="4"/>
        <v>0.14991217648194136</v>
      </c>
      <c r="Q78" s="54">
        <f t="shared" si="5"/>
        <v>0.14557840052044047</v>
      </c>
      <c r="S78" s="28" t="s">
        <v>573</v>
      </c>
      <c r="T78" s="28">
        <v>1.0204081632652999</v>
      </c>
      <c r="U78" s="28">
        <v>1.1081081081080999</v>
      </c>
      <c r="V78" s="28">
        <v>1.125</v>
      </c>
      <c r="W78" s="28">
        <v>1</v>
      </c>
      <c r="X78" s="28">
        <v>1</v>
      </c>
      <c r="Y78" s="28">
        <v>1</v>
      </c>
      <c r="Z78" s="28">
        <v>1.0192307692307601</v>
      </c>
      <c r="AA78" s="28">
        <v>1.0243902439024299</v>
      </c>
      <c r="AB78" s="28">
        <v>1.1052631578947301</v>
      </c>
      <c r="AC78" s="28">
        <v>1.0833333333333299</v>
      </c>
      <c r="AD78" s="28">
        <v>1.04857337757346</v>
      </c>
      <c r="AE78" s="28">
        <v>5.0689259672016401E-2</v>
      </c>
    </row>
    <row r="79" spans="1:31" x14ac:dyDescent="0.25">
      <c r="B79" s="28" t="s">
        <v>574</v>
      </c>
      <c r="C79" s="28">
        <v>1.3333333333333299</v>
      </c>
      <c r="D79" s="28">
        <v>1.25806451612903</v>
      </c>
      <c r="E79" s="28">
        <v>1.4074074074073999</v>
      </c>
      <c r="F79" s="28">
        <v>1.2173913043478199</v>
      </c>
      <c r="G79" s="28">
        <v>1.6521739130434701</v>
      </c>
      <c r="H79" s="28">
        <v>1.47826086956521</v>
      </c>
      <c r="I79" s="28">
        <v>1.5714285714285701</v>
      </c>
      <c r="J79" s="28">
        <v>1.2222222222222201</v>
      </c>
      <c r="K79" s="28">
        <v>1.28125</v>
      </c>
      <c r="L79" s="28">
        <v>1.26086956521739</v>
      </c>
      <c r="M79" s="28">
        <v>1.36824017026944</v>
      </c>
      <c r="N79" s="28">
        <v>0.15350426829913899</v>
      </c>
      <c r="O79" s="54">
        <f t="shared" si="3"/>
        <v>2.0906321647205434E-3</v>
      </c>
      <c r="P79" s="54">
        <f t="shared" si="4"/>
        <v>9.7724655756169907E-5</v>
      </c>
      <c r="Q79" s="54">
        <f t="shared" si="5"/>
        <v>0.56513509348278412</v>
      </c>
      <c r="S79" s="28" t="s">
        <v>574</v>
      </c>
      <c r="T79" s="28">
        <v>1.5909090909090899</v>
      </c>
      <c r="U79" s="28">
        <v>1.1842105263157801</v>
      </c>
      <c r="V79" s="28">
        <v>1.2413793103448201</v>
      </c>
      <c r="W79" s="28">
        <v>1.1034482758620601</v>
      </c>
      <c r="X79" s="28">
        <v>1.3333333333333299</v>
      </c>
      <c r="Y79" s="28">
        <v>1.22857142857142</v>
      </c>
      <c r="Z79" s="28">
        <v>1.5</v>
      </c>
      <c r="AA79" s="28">
        <v>1.44827586206896</v>
      </c>
      <c r="AB79" s="28">
        <v>1.4615384615384599</v>
      </c>
      <c r="AC79" s="28">
        <v>1.1739130434782601</v>
      </c>
      <c r="AD79" s="28">
        <v>1.3265579332422199</v>
      </c>
      <c r="AE79" s="28">
        <v>0.16439873853487899</v>
      </c>
    </row>
    <row r="80" spans="1:31" x14ac:dyDescent="0.25">
      <c r="B80" s="28" t="s">
        <v>575</v>
      </c>
      <c r="C80" s="28">
        <v>100</v>
      </c>
      <c r="D80" s="28">
        <v>100</v>
      </c>
      <c r="E80" s="28">
        <v>100</v>
      </c>
      <c r="F80" s="28">
        <v>100</v>
      </c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100</v>
      </c>
      <c r="N80" s="28">
        <v>0</v>
      </c>
      <c r="O80" s="54" t="e">
        <f t="shared" si="3"/>
        <v>#DIV/0!</v>
      </c>
      <c r="P80" s="54" t="e">
        <f t="shared" si="4"/>
        <v>#DIV/0!</v>
      </c>
      <c r="Q80" s="54" t="e">
        <f t="shared" si="5"/>
        <v>#DIV/0!</v>
      </c>
      <c r="S80" s="28" t="s">
        <v>575</v>
      </c>
      <c r="T80" s="28">
        <v>100</v>
      </c>
      <c r="U80" s="28">
        <v>100</v>
      </c>
      <c r="V80" s="28">
        <v>100</v>
      </c>
      <c r="W80" s="28">
        <v>100</v>
      </c>
      <c r="X80" s="28">
        <v>100</v>
      </c>
      <c r="Y80" s="28">
        <v>100</v>
      </c>
      <c r="Z80" s="28">
        <v>100</v>
      </c>
      <c r="AA80" s="28">
        <v>100</v>
      </c>
      <c r="AB80" s="28">
        <v>100</v>
      </c>
      <c r="AC80" s="28">
        <v>100</v>
      </c>
      <c r="AD80" s="28">
        <v>100</v>
      </c>
      <c r="AE80" s="28">
        <v>0</v>
      </c>
    </row>
    <row r="81" spans="2:31" x14ac:dyDescent="0.25">
      <c r="B81" s="28" t="s">
        <v>576</v>
      </c>
      <c r="C81" s="28">
        <v>100</v>
      </c>
      <c r="D81" s="28">
        <v>100</v>
      </c>
      <c r="E81" s="28">
        <v>100</v>
      </c>
      <c r="F81" s="28">
        <v>100</v>
      </c>
      <c r="G81" s="28">
        <v>100</v>
      </c>
      <c r="H81" s="28">
        <v>100</v>
      </c>
      <c r="I81" s="28">
        <v>100</v>
      </c>
      <c r="J81" s="28">
        <v>100</v>
      </c>
      <c r="K81" s="28">
        <v>100</v>
      </c>
      <c r="L81" s="28">
        <v>100</v>
      </c>
      <c r="M81" s="28">
        <v>100</v>
      </c>
      <c r="N81" s="28">
        <v>0</v>
      </c>
      <c r="O81" s="54" t="e">
        <f t="shared" si="3"/>
        <v>#DIV/0!</v>
      </c>
      <c r="P81" s="54" t="e">
        <f t="shared" si="4"/>
        <v>#DIV/0!</v>
      </c>
      <c r="Q81" s="54" t="e">
        <f t="shared" si="5"/>
        <v>#DIV/0!</v>
      </c>
      <c r="S81" s="28" t="s">
        <v>576</v>
      </c>
      <c r="T81" s="28">
        <v>100</v>
      </c>
      <c r="U81" s="28">
        <v>100</v>
      </c>
      <c r="V81" s="28">
        <v>100</v>
      </c>
      <c r="W81" s="28">
        <v>100</v>
      </c>
      <c r="X81" s="28">
        <v>100</v>
      </c>
      <c r="Y81" s="28">
        <v>100</v>
      </c>
      <c r="Z81" s="28">
        <v>100</v>
      </c>
      <c r="AA81" s="28">
        <v>100</v>
      </c>
      <c r="AB81" s="28">
        <v>100</v>
      </c>
      <c r="AC81" s="28">
        <v>100</v>
      </c>
      <c r="AD81" s="28">
        <v>100</v>
      </c>
      <c r="AE81" s="28">
        <v>0</v>
      </c>
    </row>
    <row r="82" spans="2:31" x14ac:dyDescent="0.25">
      <c r="B82" s="28" t="s">
        <v>577</v>
      </c>
      <c r="C82" s="28">
        <v>100</v>
      </c>
      <c r="D82" s="28">
        <v>100</v>
      </c>
      <c r="E82" s="28">
        <v>100</v>
      </c>
      <c r="F82" s="28">
        <v>100</v>
      </c>
      <c r="G82" s="28">
        <v>100</v>
      </c>
      <c r="H82" s="28">
        <v>100</v>
      </c>
      <c r="I82" s="28">
        <v>100</v>
      </c>
      <c r="J82" s="28">
        <v>100</v>
      </c>
      <c r="K82" s="28">
        <v>100</v>
      </c>
      <c r="L82" s="28">
        <v>100</v>
      </c>
      <c r="M82" s="28">
        <v>100</v>
      </c>
      <c r="N82" s="28">
        <v>0</v>
      </c>
      <c r="O82" s="54" t="e">
        <f t="shared" si="3"/>
        <v>#DIV/0!</v>
      </c>
      <c r="P82" s="54" t="e">
        <f t="shared" si="4"/>
        <v>#DIV/0!</v>
      </c>
      <c r="Q82" s="54" t="e">
        <f t="shared" si="5"/>
        <v>#DIV/0!</v>
      </c>
      <c r="S82" s="28" t="s">
        <v>577</v>
      </c>
      <c r="T82" s="28">
        <v>100</v>
      </c>
      <c r="U82" s="28">
        <v>100</v>
      </c>
      <c r="V82" s="28">
        <v>100</v>
      </c>
      <c r="W82" s="28">
        <v>100</v>
      </c>
      <c r="X82" s="28">
        <v>100</v>
      </c>
      <c r="Y82" s="28">
        <v>100</v>
      </c>
      <c r="Z82" s="28">
        <v>100</v>
      </c>
      <c r="AA82" s="28">
        <v>100</v>
      </c>
      <c r="AB82" s="28">
        <v>100</v>
      </c>
      <c r="AC82" s="28">
        <v>100</v>
      </c>
      <c r="AD82" s="28">
        <v>100</v>
      </c>
      <c r="AE82" s="28">
        <v>0</v>
      </c>
    </row>
    <row r="83" spans="2:31" x14ac:dyDescent="0.25">
      <c r="B83" s="28" t="s">
        <v>578</v>
      </c>
      <c r="C83" s="28">
        <v>944</v>
      </c>
      <c r="D83" s="28">
        <v>1071</v>
      </c>
      <c r="E83" s="28">
        <v>1899</v>
      </c>
      <c r="F83" s="28">
        <v>1093</v>
      </c>
      <c r="G83" s="28">
        <v>1248</v>
      </c>
      <c r="H83" s="28">
        <v>2329</v>
      </c>
      <c r="I83" s="28">
        <v>1534</v>
      </c>
      <c r="J83" s="28">
        <v>1672</v>
      </c>
      <c r="K83" s="28">
        <v>1156</v>
      </c>
      <c r="L83" s="28">
        <v>1989</v>
      </c>
      <c r="M83" s="28">
        <v>1493.5</v>
      </c>
      <c r="N83" s="28">
        <v>466.255354452424</v>
      </c>
      <c r="O83" s="54">
        <f t="shared" si="3"/>
        <v>1.3000020598527041E-3</v>
      </c>
      <c r="P83" s="54">
        <f t="shared" si="4"/>
        <v>3.6083993880896684E-5</v>
      </c>
      <c r="Q83" s="55">
        <f t="shared" si="5"/>
        <v>3.1699441907815885E-5</v>
      </c>
      <c r="S83" s="28" t="s">
        <v>578</v>
      </c>
      <c r="T83" s="28">
        <v>3333</v>
      </c>
      <c r="U83" s="28">
        <v>2394</v>
      </c>
      <c r="V83" s="28">
        <v>2674</v>
      </c>
      <c r="W83" s="28">
        <v>2624</v>
      </c>
      <c r="X83" s="28">
        <v>4487</v>
      </c>
      <c r="Y83" s="28">
        <v>3659</v>
      </c>
      <c r="Z83" s="28">
        <v>4064</v>
      </c>
      <c r="AA83" s="28">
        <v>3415</v>
      </c>
      <c r="AB83" s="28">
        <v>1965</v>
      </c>
      <c r="AC83" s="28">
        <v>2522</v>
      </c>
      <c r="AD83" s="28">
        <v>3113.7</v>
      </c>
      <c r="AE83" s="28">
        <v>805.94872321038099</v>
      </c>
    </row>
    <row r="84" spans="2:31" x14ac:dyDescent="0.25">
      <c r="B84" s="28" t="s">
        <v>579</v>
      </c>
      <c r="C84" s="28">
        <v>682</v>
      </c>
      <c r="D84" s="28">
        <v>624</v>
      </c>
      <c r="E84" s="28">
        <v>1465</v>
      </c>
      <c r="F84" s="28">
        <v>825</v>
      </c>
      <c r="G84" s="28">
        <v>889</v>
      </c>
      <c r="H84" s="28">
        <v>1969</v>
      </c>
      <c r="I84" s="28">
        <v>1253</v>
      </c>
      <c r="J84" s="28">
        <v>1120</v>
      </c>
      <c r="K84" s="28">
        <v>602</v>
      </c>
      <c r="L84" s="28">
        <v>1661</v>
      </c>
      <c r="M84" s="28">
        <v>1109</v>
      </c>
      <c r="N84" s="28">
        <v>470.88049911250698</v>
      </c>
      <c r="O84" s="54">
        <f t="shared" si="3"/>
        <v>2.7909162572794504E-2</v>
      </c>
      <c r="P84" s="54">
        <f t="shared" si="4"/>
        <v>3.3755379130447462E-4</v>
      </c>
      <c r="Q84" s="54">
        <f t="shared" si="5"/>
        <v>1.1116672646129345E-4</v>
      </c>
      <c r="S84" s="28" t="s">
        <v>579</v>
      </c>
      <c r="T84" s="28">
        <v>2616</v>
      </c>
      <c r="U84" s="28">
        <v>1821</v>
      </c>
      <c r="V84" s="28">
        <v>2173</v>
      </c>
      <c r="W84" s="28">
        <v>1901</v>
      </c>
      <c r="X84" s="28">
        <v>3554</v>
      </c>
      <c r="Y84" s="28">
        <v>2659</v>
      </c>
      <c r="Z84" s="28">
        <v>2802</v>
      </c>
      <c r="AA84" s="28">
        <v>2360</v>
      </c>
      <c r="AB84" s="28">
        <v>1541</v>
      </c>
      <c r="AC84" s="28">
        <v>1699</v>
      </c>
      <c r="AD84" s="28">
        <v>2312.6</v>
      </c>
      <c r="AE84" s="28">
        <v>614.39422740343696</v>
      </c>
    </row>
    <row r="85" spans="2:31" x14ac:dyDescent="0.25">
      <c r="B85" s="28" t="s">
        <v>580</v>
      </c>
      <c r="C85" s="28">
        <v>261</v>
      </c>
      <c r="D85" s="28">
        <v>446</v>
      </c>
      <c r="E85" s="28">
        <v>433</v>
      </c>
      <c r="F85" s="28">
        <v>267</v>
      </c>
      <c r="G85" s="28">
        <v>358</v>
      </c>
      <c r="H85" s="28">
        <v>359</v>
      </c>
      <c r="I85" s="28">
        <v>280</v>
      </c>
      <c r="J85" s="28">
        <v>551</v>
      </c>
      <c r="K85" s="28">
        <v>553</v>
      </c>
      <c r="L85" s="28">
        <v>327</v>
      </c>
      <c r="M85" s="28">
        <v>383.5</v>
      </c>
      <c r="N85" s="28">
        <v>108.97323830494599</v>
      </c>
      <c r="O85" s="54">
        <f t="shared" si="3"/>
        <v>9.3445786778430001E-6</v>
      </c>
      <c r="P85" s="54">
        <f t="shared" si="4"/>
        <v>1.5441818325575322E-5</v>
      </c>
      <c r="Q85" s="54">
        <f t="shared" si="5"/>
        <v>2.2154420279122438E-4</v>
      </c>
      <c r="S85" s="28" t="s">
        <v>580</v>
      </c>
      <c r="T85" s="28">
        <v>716</v>
      </c>
      <c r="U85" s="28">
        <v>572</v>
      </c>
      <c r="V85" s="28">
        <v>501</v>
      </c>
      <c r="W85" s="28">
        <v>722</v>
      </c>
      <c r="X85" s="28">
        <v>932</v>
      </c>
      <c r="Y85" s="28">
        <v>999</v>
      </c>
      <c r="Z85" s="28">
        <v>1261</v>
      </c>
      <c r="AA85" s="28">
        <v>1054</v>
      </c>
      <c r="AB85" s="28">
        <v>423</v>
      </c>
      <c r="AC85" s="28">
        <v>822</v>
      </c>
      <c r="AD85" s="28">
        <v>800.2</v>
      </c>
      <c r="AE85" s="28">
        <v>264.82690363497602</v>
      </c>
    </row>
    <row r="86" spans="2:31" x14ac:dyDescent="0.25">
      <c r="B86" s="28" t="s">
        <v>581</v>
      </c>
      <c r="C86" s="28">
        <v>9.0466101694915198E-3</v>
      </c>
      <c r="D86" s="28">
        <v>9.0756302521008397E-3</v>
      </c>
      <c r="E86" s="28">
        <v>9.2522380200105309E-3</v>
      </c>
      <c r="F86" s="28">
        <v>9.4144556267154594E-3</v>
      </c>
      <c r="G86" s="28">
        <v>9.5993589743589708E-3</v>
      </c>
      <c r="H86" s="28">
        <v>9.4718763417775808E-3</v>
      </c>
      <c r="I86" s="28">
        <v>9.4263363754889095E-3</v>
      </c>
      <c r="J86" s="28">
        <v>9.5873205741626704E-3</v>
      </c>
      <c r="K86" s="28">
        <v>9.6799307958477503E-3</v>
      </c>
      <c r="L86" s="28">
        <v>9.5274007038712895E-3</v>
      </c>
      <c r="M86" s="28">
        <v>9.4081157833825497E-3</v>
      </c>
      <c r="N86" s="28">
        <v>2.1775853479591301E-4</v>
      </c>
      <c r="O86" s="54">
        <f t="shared" si="3"/>
        <v>1.0210747407636271E-2</v>
      </c>
      <c r="P86" s="54">
        <f t="shared" si="4"/>
        <v>0.23978071438454776</v>
      </c>
      <c r="Q86" s="54">
        <f t="shared" si="5"/>
        <v>0.44459820438856235</v>
      </c>
      <c r="S86" s="28" t="s">
        <v>581</v>
      </c>
      <c r="T86" s="28">
        <v>9.8079807980797993E-3</v>
      </c>
      <c r="U86" s="28">
        <v>9.6282372598161994E-3</v>
      </c>
      <c r="V86" s="28">
        <v>9.5923709798055295E-3</v>
      </c>
      <c r="W86" s="28">
        <v>9.5198170731707298E-3</v>
      </c>
      <c r="X86" s="28">
        <v>9.7035881435257407E-3</v>
      </c>
      <c r="Y86" s="28">
        <v>9.5217272478819292E-3</v>
      </c>
      <c r="Z86" s="28">
        <v>9.5029527559055103E-3</v>
      </c>
      <c r="AA86" s="28">
        <v>9.4084919472913597E-3</v>
      </c>
      <c r="AB86" s="28">
        <v>9.2162849872773501E-3</v>
      </c>
      <c r="AC86" s="28">
        <v>8.9809674861221194E-3</v>
      </c>
      <c r="AD86" s="28">
        <v>9.4882418678876295E-3</v>
      </c>
      <c r="AE86" s="28">
        <v>2.4014605538480999E-4</v>
      </c>
    </row>
    <row r="87" spans="2:31" x14ac:dyDescent="0.25">
      <c r="B87" s="28" t="s">
        <v>582</v>
      </c>
      <c r="C87" s="28">
        <v>91.055718475073306</v>
      </c>
      <c r="D87" s="28">
        <v>92.948717948717899</v>
      </c>
      <c r="E87" s="28">
        <v>92.0136518771331</v>
      </c>
      <c r="F87" s="28">
        <v>95.030303030303003</v>
      </c>
      <c r="G87" s="28">
        <v>97.750281214848101</v>
      </c>
      <c r="H87" s="28">
        <v>95.632300660233597</v>
      </c>
      <c r="I87" s="28">
        <v>93.535514764564994</v>
      </c>
      <c r="J87" s="28">
        <v>97.321428571428498</v>
      </c>
      <c r="K87" s="28">
        <v>98.006644518272395</v>
      </c>
      <c r="L87" s="28">
        <v>97.049969897652005</v>
      </c>
      <c r="M87" s="28">
        <v>95.034453095822698</v>
      </c>
      <c r="N87" s="28">
        <v>2.5256973596202799</v>
      </c>
      <c r="O87" s="54">
        <f t="shared" si="3"/>
        <v>0.10347024960123703</v>
      </c>
      <c r="P87" s="54">
        <f t="shared" si="4"/>
        <v>0.50808231047391439</v>
      </c>
      <c r="Q87" s="54">
        <f t="shared" si="5"/>
        <v>0.77235090819619034</v>
      </c>
      <c r="S87" s="28" t="s">
        <v>582</v>
      </c>
      <c r="T87" s="28">
        <v>98.700305810397495</v>
      </c>
      <c r="U87" s="28">
        <v>96.485447556287696</v>
      </c>
      <c r="V87" s="28">
        <v>96.456511734928597</v>
      </c>
      <c r="W87" s="28">
        <v>96.317727511835798</v>
      </c>
      <c r="X87" s="28">
        <v>97.664603263927901</v>
      </c>
      <c r="Y87" s="28">
        <v>95.675065814215799</v>
      </c>
      <c r="Z87" s="28">
        <v>95.217701641684499</v>
      </c>
      <c r="AA87" s="28">
        <v>94.067796610169495</v>
      </c>
      <c r="AB87" s="28">
        <v>93.186242699545701</v>
      </c>
      <c r="AC87" s="28">
        <v>89.876397881106499</v>
      </c>
      <c r="AD87" s="28">
        <v>95.364780052409998</v>
      </c>
      <c r="AE87" s="28">
        <v>2.5042018175271701</v>
      </c>
    </row>
    <row r="88" spans="2:31" x14ac:dyDescent="0.25">
      <c r="B88" s="28" t="s">
        <v>583</v>
      </c>
      <c r="C88" s="28">
        <v>90.038314176245194</v>
      </c>
      <c r="D88" s="28">
        <v>88.3408071748878</v>
      </c>
      <c r="E88" s="28">
        <v>94.919168591223993</v>
      </c>
      <c r="F88" s="28">
        <v>92.509363295880107</v>
      </c>
      <c r="G88" s="28">
        <v>92.458100558659197</v>
      </c>
      <c r="H88" s="28">
        <v>90.529247910863504</v>
      </c>
      <c r="I88" s="28">
        <v>98.571428571428498</v>
      </c>
      <c r="J88" s="28">
        <v>93.284936479128802</v>
      </c>
      <c r="K88" s="28">
        <v>96.021699819168106</v>
      </c>
      <c r="L88" s="28">
        <v>87.155963302752298</v>
      </c>
      <c r="M88" s="28">
        <v>92.382902988023702</v>
      </c>
      <c r="N88" s="28">
        <v>3.5181942442960801</v>
      </c>
      <c r="O88" s="54">
        <f t="shared" si="3"/>
        <v>4.5065878635102774E-4</v>
      </c>
      <c r="P88" s="54">
        <f t="shared" si="4"/>
        <v>1.7675554827986422E-2</v>
      </c>
      <c r="Q88" s="54">
        <f t="shared" si="5"/>
        <v>0.35076913288870626</v>
      </c>
      <c r="S88" s="28" t="s">
        <v>583</v>
      </c>
      <c r="T88" s="28">
        <v>96.229050279329599</v>
      </c>
      <c r="U88" s="28">
        <v>96.153846153846104</v>
      </c>
      <c r="V88" s="28">
        <v>94.211576846307395</v>
      </c>
      <c r="W88" s="28">
        <v>92.659279778393298</v>
      </c>
      <c r="X88" s="28">
        <v>94.957081545064298</v>
      </c>
      <c r="Y88" s="28">
        <v>94.194194194194196</v>
      </c>
      <c r="Z88" s="28">
        <v>94.766058683584404</v>
      </c>
      <c r="AA88" s="28">
        <v>94.402277039848101</v>
      </c>
      <c r="AB88" s="28">
        <v>89.125295508274206</v>
      </c>
      <c r="AC88" s="28">
        <v>90.024330900243299</v>
      </c>
      <c r="AD88" s="28">
        <v>93.672299092908503</v>
      </c>
      <c r="AE88" s="28">
        <v>2.3955331787982002</v>
      </c>
    </row>
    <row r="89" spans="2:31" x14ac:dyDescent="0.25">
      <c r="B89" s="28" t="s">
        <v>584</v>
      </c>
      <c r="C89" s="28">
        <v>22.448888888888799</v>
      </c>
      <c r="D89" s="28">
        <v>22.809722222222199</v>
      </c>
      <c r="E89" s="28">
        <v>22.344166666666599</v>
      </c>
      <c r="F89" s="28">
        <v>22.2977777777777</v>
      </c>
      <c r="G89" s="28">
        <v>22.323888888888799</v>
      </c>
      <c r="H89" s="28">
        <v>22.8319444444444</v>
      </c>
      <c r="I89" s="28">
        <v>22.195555555555501</v>
      </c>
      <c r="J89" s="28">
        <v>22.899722222222199</v>
      </c>
      <c r="K89" s="28">
        <v>22.440277777777698</v>
      </c>
      <c r="L89" s="28">
        <v>22.893055555555499</v>
      </c>
      <c r="M89" s="28">
        <v>22.548499999999901</v>
      </c>
      <c r="N89" s="28">
        <v>0.27727272604613301</v>
      </c>
      <c r="O89" s="54">
        <f t="shared" si="3"/>
        <v>0.74041573055111998</v>
      </c>
      <c r="P89" s="54">
        <f t="shared" si="4"/>
        <v>0.83599839214665739</v>
      </c>
      <c r="Q89" s="54">
        <f t="shared" si="5"/>
        <v>0.77965825181108328</v>
      </c>
      <c r="S89" s="28" t="s">
        <v>584</v>
      </c>
      <c r="T89" s="28">
        <v>22.386944444444399</v>
      </c>
      <c r="U89" s="28">
        <v>22.890277777777701</v>
      </c>
      <c r="V89" s="28">
        <v>22.420833333333299</v>
      </c>
      <c r="W89" s="28">
        <v>22.895</v>
      </c>
      <c r="X89" s="28">
        <v>22.392777777777699</v>
      </c>
      <c r="Y89" s="28">
        <v>21.3527777777777</v>
      </c>
      <c r="Z89" s="28">
        <v>22.440833333333298</v>
      </c>
      <c r="AA89" s="28">
        <v>22.863611111111101</v>
      </c>
      <c r="AB89" s="28">
        <v>22.460833333333301</v>
      </c>
      <c r="AC89" s="28">
        <v>22.8947222222222</v>
      </c>
      <c r="AD89" s="28">
        <v>22.499861111111102</v>
      </c>
      <c r="AE89" s="28">
        <v>0.46524298285227</v>
      </c>
    </row>
    <row r="90" spans="2:31" x14ac:dyDescent="0.25">
      <c r="B90" s="28" t="s">
        <v>585</v>
      </c>
      <c r="C90" s="28">
        <v>-4.9999999999999802E-2</v>
      </c>
      <c r="D90" s="28">
        <v>-5.0000000000000697E-2</v>
      </c>
      <c r="E90" s="28">
        <v>-4.9999999999999802E-2</v>
      </c>
      <c r="F90" s="28">
        <v>-0.06</v>
      </c>
      <c r="G90" s="28">
        <v>-4.9999999999999802E-2</v>
      </c>
      <c r="H90" s="28">
        <v>-4.9999999999999802E-2</v>
      </c>
      <c r="I90" s="28">
        <v>-5.0000000000000697E-2</v>
      </c>
      <c r="J90" s="28">
        <v>-4.9999999999999802E-2</v>
      </c>
      <c r="K90" s="28">
        <v>-4.9999999999999802E-2</v>
      </c>
      <c r="L90" s="28">
        <v>-0.04</v>
      </c>
      <c r="M90" s="28">
        <v>-0.05</v>
      </c>
      <c r="N90" s="28">
        <v>4.7140452079103201E-3</v>
      </c>
      <c r="O90" s="54">
        <f t="shared" si="3"/>
        <v>0.27302456266966713</v>
      </c>
      <c r="P90" s="54">
        <f t="shared" si="4"/>
        <v>0.23172765994816882</v>
      </c>
      <c r="Q90" s="54">
        <f t="shared" si="5"/>
        <v>1.0360761545173113E-2</v>
      </c>
      <c r="S90" s="28" t="s">
        <v>585</v>
      </c>
      <c r="T90" s="28">
        <v>-0.04</v>
      </c>
      <c r="U90" s="28">
        <v>-5.0000000000000697E-2</v>
      </c>
      <c r="V90" s="28">
        <v>-3.00000000000002E-2</v>
      </c>
      <c r="W90" s="28">
        <v>-4.9999999999999802E-2</v>
      </c>
      <c r="X90" s="28">
        <v>-0.04</v>
      </c>
      <c r="Y90" s="28">
        <v>-4.9999999999999802E-2</v>
      </c>
      <c r="Z90" s="28">
        <v>-2.9999999999999801E-2</v>
      </c>
      <c r="AA90" s="28">
        <v>-4.9999999999999802E-2</v>
      </c>
      <c r="AB90" s="28">
        <v>-2.9999999999999302E-2</v>
      </c>
      <c r="AC90" s="28">
        <v>-0.04</v>
      </c>
      <c r="AD90" s="28">
        <v>-4.0999999999999898E-2</v>
      </c>
      <c r="AE90" s="28">
        <v>8.7559503577092305E-3</v>
      </c>
    </row>
    <row r="91" spans="2:31" x14ac:dyDescent="0.25">
      <c r="B91" s="28" t="s">
        <v>586</v>
      </c>
      <c r="C91" s="28">
        <v>-2.2272817263908002E-3</v>
      </c>
      <c r="D91" s="28">
        <v>-2.1920477379285398E-3</v>
      </c>
      <c r="E91" s="28">
        <v>-2.2377205087084498E-3</v>
      </c>
      <c r="F91" s="28">
        <v>-2.6908511062387901E-3</v>
      </c>
      <c r="G91" s="28">
        <v>-2.23975312943283E-3</v>
      </c>
      <c r="H91" s="28">
        <v>-2.1899142283593799E-3</v>
      </c>
      <c r="I91" s="28">
        <v>-2.2527032438926999E-3</v>
      </c>
      <c r="J91" s="28">
        <v>-2.18343259864869E-3</v>
      </c>
      <c r="K91" s="28">
        <v>-2.2281364114625098E-3</v>
      </c>
      <c r="L91" s="28">
        <v>-1.74725474731541E-3</v>
      </c>
      <c r="M91" s="28">
        <v>-2.2189095438378101E-3</v>
      </c>
      <c r="N91" s="28">
        <v>2.2363003528409601E-4</v>
      </c>
      <c r="O91" s="54">
        <f t="shared" si="3"/>
        <v>0.27328341868959111</v>
      </c>
      <c r="P91" s="54">
        <f t="shared" si="4"/>
        <v>0.23170667054293373</v>
      </c>
      <c r="Q91" s="54">
        <f t="shared" si="5"/>
        <v>1.2394822239588987E-2</v>
      </c>
      <c r="S91" s="28" t="s">
        <v>586</v>
      </c>
      <c r="T91" s="28">
        <v>-1.78675567356966E-3</v>
      </c>
      <c r="U91" s="28">
        <v>-2.1843334749105298E-3</v>
      </c>
      <c r="V91" s="28">
        <v>-1.3380412562720701E-3</v>
      </c>
      <c r="W91" s="28">
        <v>-2.1838829438742E-3</v>
      </c>
      <c r="X91" s="28">
        <v>-1.7862902225419901E-3</v>
      </c>
      <c r="Y91" s="28">
        <v>-2.3416157148432302E-3</v>
      </c>
      <c r="Z91" s="28">
        <v>-1.3368487504177499E-3</v>
      </c>
      <c r="AA91" s="28">
        <v>-2.1868811430098599E-3</v>
      </c>
      <c r="AB91" s="28">
        <v>-1.33565836827066E-3</v>
      </c>
      <c r="AC91" s="28">
        <v>-1.7471275524441601E-3</v>
      </c>
      <c r="AD91" s="28">
        <v>-1.82274351001541E-3</v>
      </c>
      <c r="AE91" s="28">
        <v>3.9152369605914198E-4</v>
      </c>
    </row>
    <row r="92" spans="2:31" x14ac:dyDescent="0.25">
      <c r="B92" s="28" t="s">
        <v>587</v>
      </c>
      <c r="C92" s="28">
        <v>1.6216216216216199</v>
      </c>
      <c r="D92" s="28">
        <v>1.4545454545454499</v>
      </c>
      <c r="E92" s="28">
        <v>1.71428571428571</v>
      </c>
      <c r="F92" s="28">
        <v>1.72413793103448</v>
      </c>
      <c r="G92" s="28">
        <v>1.4952380952380899</v>
      </c>
      <c r="H92" s="28">
        <v>1.94871794871794</v>
      </c>
      <c r="I92" s="28">
        <v>1.93333333333333</v>
      </c>
      <c r="J92" s="28">
        <v>1.6886792452830099</v>
      </c>
      <c r="K92" s="28">
        <v>1.5</v>
      </c>
      <c r="L92" s="28">
        <v>1.5571428571428501</v>
      </c>
      <c r="M92" s="28">
        <v>1.66377022012025</v>
      </c>
      <c r="N92" s="28">
        <v>0.17410746323296</v>
      </c>
      <c r="O92" s="54">
        <f t="shared" si="3"/>
        <v>0.56633102634384458</v>
      </c>
      <c r="P92" s="54">
        <f t="shared" si="4"/>
        <v>2.4838026250882047E-2</v>
      </c>
      <c r="Q92" s="54">
        <f t="shared" si="5"/>
        <v>4.733212110340816E-3</v>
      </c>
      <c r="S92" s="28" t="s">
        <v>587</v>
      </c>
      <c r="T92" s="28">
        <v>1.69767441860465</v>
      </c>
      <c r="U92" s="28">
        <v>1.6666666666666601</v>
      </c>
      <c r="V92" s="28">
        <v>2.35365853658536</v>
      </c>
      <c r="W92" s="28">
        <v>1.98684210526315</v>
      </c>
      <c r="X92" s="28">
        <v>1.8737864077669899</v>
      </c>
      <c r="Y92" s="28">
        <v>2.1511627906976698</v>
      </c>
      <c r="Z92" s="28">
        <v>2.1666666666666599</v>
      </c>
      <c r="AA92" s="28">
        <v>2.1294117647058801</v>
      </c>
      <c r="AB92" s="28">
        <v>1.75308641975308</v>
      </c>
      <c r="AC92" s="28">
        <v>1.8208955223880501</v>
      </c>
      <c r="AD92" s="28">
        <v>1.9599851299098201</v>
      </c>
      <c r="AE92" s="28">
        <v>0.23287990073005099</v>
      </c>
    </row>
    <row r="93" spans="2:31" x14ac:dyDescent="0.25">
      <c r="B93" s="28" t="s">
        <v>588</v>
      </c>
      <c r="C93" s="28">
        <v>1</v>
      </c>
      <c r="D93" s="28">
        <v>1</v>
      </c>
      <c r="E93" s="28">
        <v>1</v>
      </c>
      <c r="F93" s="28">
        <v>1.5</v>
      </c>
      <c r="G93" s="28">
        <v>1</v>
      </c>
      <c r="H93" s="28">
        <v>2</v>
      </c>
      <c r="I93" s="28">
        <v>2</v>
      </c>
      <c r="J93" s="28">
        <v>2</v>
      </c>
      <c r="K93" s="28">
        <v>1</v>
      </c>
      <c r="L93" s="28">
        <v>1</v>
      </c>
      <c r="M93" s="28">
        <v>1.35</v>
      </c>
      <c r="N93" s="28">
        <v>0.474341649025256</v>
      </c>
      <c r="O93" s="54">
        <f t="shared" si="3"/>
        <v>0.82413553046482346</v>
      </c>
      <c r="P93" s="54">
        <f t="shared" si="4"/>
        <v>1.7354295899317657E-3</v>
      </c>
      <c r="Q93" s="54">
        <f t="shared" si="5"/>
        <v>4.0039826799759129E-4</v>
      </c>
      <c r="S93" s="28" t="s">
        <v>588</v>
      </c>
      <c r="T93" s="28">
        <v>2</v>
      </c>
      <c r="U93" s="28">
        <v>2</v>
      </c>
      <c r="V93" s="28">
        <v>2</v>
      </c>
      <c r="W93" s="28">
        <v>2</v>
      </c>
      <c r="X93" s="28">
        <v>2</v>
      </c>
      <c r="Y93" s="28">
        <v>2</v>
      </c>
      <c r="Z93" s="28">
        <v>2</v>
      </c>
      <c r="AA93" s="28">
        <v>2</v>
      </c>
      <c r="AB93" s="28">
        <v>2</v>
      </c>
      <c r="AC93" s="28">
        <v>2</v>
      </c>
      <c r="AD93" s="28">
        <v>2</v>
      </c>
      <c r="AE93" s="28">
        <v>0</v>
      </c>
    </row>
    <row r="94" spans="2:31" x14ac:dyDescent="0.25">
      <c r="B94" s="28" t="s">
        <v>589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54" t="e">
        <f t="shared" si="3"/>
        <v>#DIV/0!</v>
      </c>
      <c r="P94" s="54" t="e">
        <f t="shared" si="4"/>
        <v>#DIV/0!</v>
      </c>
      <c r="Q94" s="54" t="e">
        <f t="shared" si="5"/>
        <v>#DIV/0!</v>
      </c>
      <c r="S94" s="28" t="s">
        <v>589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</row>
    <row r="95" spans="2:31" x14ac:dyDescent="0.25">
      <c r="O95" s="41"/>
      <c r="Q95" s="54" t="e">
        <f t="shared" si="5"/>
        <v>#DIV/0!</v>
      </c>
    </row>
    <row r="96" spans="2:31" x14ac:dyDescent="0.25">
      <c r="O96" s="41"/>
      <c r="Q96" s="54" t="e">
        <f t="shared" si="5"/>
        <v>#DIV/0!</v>
      </c>
    </row>
    <row r="97" spans="1:31" x14ac:dyDescent="0.25">
      <c r="A97" s="49" t="s">
        <v>595</v>
      </c>
      <c r="O97" s="41"/>
      <c r="Q97" s="54" t="e">
        <f t="shared" si="5"/>
        <v>#DIV/0!</v>
      </c>
      <c r="R97" s="56" t="s">
        <v>596</v>
      </c>
    </row>
    <row r="98" spans="1:31" x14ac:dyDescent="0.25">
      <c r="B98" s="28" t="s">
        <v>558</v>
      </c>
      <c r="C98" s="28" t="s">
        <v>393</v>
      </c>
      <c r="D98" s="28" t="s">
        <v>443</v>
      </c>
      <c r="E98" s="28" t="s">
        <v>353</v>
      </c>
      <c r="F98" s="28" t="s">
        <v>403</v>
      </c>
      <c r="G98" s="28" t="s">
        <v>363</v>
      </c>
      <c r="H98" s="28" t="s">
        <v>413</v>
      </c>
      <c r="I98" s="28" t="s">
        <v>373</v>
      </c>
      <c r="J98" s="28" t="s">
        <v>423</v>
      </c>
      <c r="K98" s="28" t="s">
        <v>383</v>
      </c>
      <c r="L98" s="28" t="s">
        <v>433</v>
      </c>
      <c r="M98" s="28" t="s">
        <v>559</v>
      </c>
      <c r="N98" s="28" t="s">
        <v>560</v>
      </c>
      <c r="O98" s="41"/>
      <c r="Q98" s="54" t="e">
        <f t="shared" si="5"/>
        <v>#DIV/0!</v>
      </c>
      <c r="S98" s="28" t="s">
        <v>558</v>
      </c>
      <c r="T98" s="28" t="s">
        <v>251</v>
      </c>
      <c r="U98" s="28" t="s">
        <v>302</v>
      </c>
      <c r="V98" s="28" t="s">
        <v>261</v>
      </c>
      <c r="W98" s="28" t="s">
        <v>313</v>
      </c>
      <c r="X98" s="28" t="s">
        <v>271</v>
      </c>
      <c r="Y98" s="28" t="s">
        <v>323</v>
      </c>
      <c r="Z98" s="28" t="s">
        <v>281</v>
      </c>
      <c r="AA98" s="28" t="s">
        <v>333</v>
      </c>
      <c r="AB98" s="28" t="s">
        <v>292</v>
      </c>
      <c r="AC98" s="28" t="s">
        <v>343</v>
      </c>
      <c r="AD98" s="28" t="s">
        <v>559</v>
      </c>
      <c r="AE98" s="28" t="s">
        <v>560</v>
      </c>
    </row>
    <row r="99" spans="1:31" x14ac:dyDescent="0.25">
      <c r="B99" s="28" t="s">
        <v>563</v>
      </c>
      <c r="C99" s="28">
        <v>48</v>
      </c>
      <c r="D99" s="28">
        <v>39</v>
      </c>
      <c r="E99" s="28">
        <v>44</v>
      </c>
      <c r="F99" s="28">
        <v>52</v>
      </c>
      <c r="G99" s="28">
        <v>43</v>
      </c>
      <c r="H99" s="28">
        <v>52</v>
      </c>
      <c r="I99" s="28">
        <v>41</v>
      </c>
      <c r="J99" s="28">
        <v>45</v>
      </c>
      <c r="K99" s="28">
        <v>58</v>
      </c>
      <c r="L99" s="28">
        <v>49</v>
      </c>
      <c r="M99" s="28">
        <v>47.1</v>
      </c>
      <c r="N99" s="28">
        <v>5.8204619900638201</v>
      </c>
      <c r="O99" s="41"/>
      <c r="Q99" s="54">
        <f t="shared" si="5"/>
        <v>0.15931058236533063</v>
      </c>
      <c r="S99" s="28" t="s">
        <v>563</v>
      </c>
      <c r="T99" s="28">
        <v>66</v>
      </c>
      <c r="U99" s="28">
        <v>61</v>
      </c>
      <c r="V99" s="28">
        <v>53</v>
      </c>
      <c r="W99" s="28">
        <v>39</v>
      </c>
      <c r="X99" s="28">
        <v>55</v>
      </c>
      <c r="Y99" s="28">
        <v>59</v>
      </c>
      <c r="Z99" s="28">
        <v>47</v>
      </c>
      <c r="AA99" s="28">
        <v>40</v>
      </c>
      <c r="AB99" s="28">
        <v>56</v>
      </c>
      <c r="AC99" s="28">
        <v>45</v>
      </c>
      <c r="AD99" s="28">
        <v>52.1</v>
      </c>
      <c r="AE99" s="28">
        <v>9.0609050320594307</v>
      </c>
    </row>
    <row r="100" spans="1:31" x14ac:dyDescent="0.25">
      <c r="B100" s="28" t="s">
        <v>564</v>
      </c>
      <c r="C100" s="28">
        <v>38</v>
      </c>
      <c r="D100" s="28">
        <v>24</v>
      </c>
      <c r="E100" s="28">
        <v>27</v>
      </c>
      <c r="F100" s="28">
        <v>37</v>
      </c>
      <c r="G100" s="28">
        <v>31</v>
      </c>
      <c r="H100" s="28">
        <v>31</v>
      </c>
      <c r="I100" s="28">
        <v>35</v>
      </c>
      <c r="J100" s="28">
        <v>22</v>
      </c>
      <c r="K100" s="28">
        <v>34</v>
      </c>
      <c r="L100" s="28">
        <v>35</v>
      </c>
      <c r="M100" s="28">
        <v>31.4</v>
      </c>
      <c r="N100" s="28">
        <v>5.4812812776251896</v>
      </c>
      <c r="O100" s="41"/>
      <c r="Q100" s="54">
        <f t="shared" si="5"/>
        <v>0.12263928037655993</v>
      </c>
      <c r="S100" s="28" t="s">
        <v>564</v>
      </c>
      <c r="T100" s="28">
        <v>48</v>
      </c>
      <c r="U100" s="28">
        <v>35</v>
      </c>
      <c r="V100" s="28">
        <v>43</v>
      </c>
      <c r="W100" s="28">
        <v>29</v>
      </c>
      <c r="X100" s="28">
        <v>38</v>
      </c>
      <c r="Y100" s="28">
        <v>39</v>
      </c>
      <c r="Z100" s="28">
        <v>29</v>
      </c>
      <c r="AA100" s="28">
        <v>30</v>
      </c>
      <c r="AB100" s="28">
        <v>38</v>
      </c>
      <c r="AC100" s="28">
        <v>29</v>
      </c>
      <c r="AD100" s="28">
        <v>35.799999999999997</v>
      </c>
      <c r="AE100" s="28">
        <v>6.6131182760731901</v>
      </c>
    </row>
    <row r="101" spans="1:31" x14ac:dyDescent="0.25">
      <c r="B101" s="28" t="s">
        <v>565</v>
      </c>
      <c r="C101" s="28">
        <v>10</v>
      </c>
      <c r="D101" s="28">
        <v>15</v>
      </c>
      <c r="E101" s="28">
        <v>17</v>
      </c>
      <c r="F101" s="28">
        <v>15</v>
      </c>
      <c r="G101" s="28">
        <v>12</v>
      </c>
      <c r="H101" s="28">
        <v>21</v>
      </c>
      <c r="I101" s="28">
        <v>6</v>
      </c>
      <c r="J101" s="28">
        <v>23</v>
      </c>
      <c r="K101" s="28">
        <v>24</v>
      </c>
      <c r="L101" s="28">
        <v>14</v>
      </c>
      <c r="M101" s="28">
        <v>15.7</v>
      </c>
      <c r="N101" s="28">
        <v>5.7358521598799896</v>
      </c>
      <c r="O101" s="41"/>
      <c r="Q101" s="54">
        <f t="shared" si="5"/>
        <v>0.80790348343336238</v>
      </c>
      <c r="S101" s="28" t="s">
        <v>565</v>
      </c>
      <c r="T101" s="28">
        <v>18</v>
      </c>
      <c r="U101" s="28">
        <v>26</v>
      </c>
      <c r="V101" s="28">
        <v>10</v>
      </c>
      <c r="W101" s="28">
        <v>10</v>
      </c>
      <c r="X101" s="28">
        <v>17</v>
      </c>
      <c r="Y101" s="28">
        <v>20</v>
      </c>
      <c r="Z101" s="28">
        <v>18</v>
      </c>
      <c r="AA101" s="28">
        <v>10</v>
      </c>
      <c r="AB101" s="28">
        <v>18</v>
      </c>
      <c r="AC101" s="28">
        <v>16</v>
      </c>
      <c r="AD101" s="28">
        <v>16.3</v>
      </c>
      <c r="AE101" s="28">
        <v>5.1218486246015997</v>
      </c>
    </row>
    <row r="102" spans="1:31" x14ac:dyDescent="0.25">
      <c r="B102" s="28" t="s">
        <v>566</v>
      </c>
      <c r="C102" s="28">
        <v>2.17290160326941</v>
      </c>
      <c r="D102" s="28">
        <v>1.74835624626419</v>
      </c>
      <c r="E102" s="28">
        <v>1.9716942380223299</v>
      </c>
      <c r="F102" s="28">
        <v>2.2711831505386701</v>
      </c>
      <c r="G102" s="28">
        <v>1.9147988719014299</v>
      </c>
      <c r="H102" s="28">
        <v>2.2714587327395801</v>
      </c>
      <c r="I102" s="28">
        <v>1.85494715411393</v>
      </c>
      <c r="J102" s="28">
        <v>1.97604352174867</v>
      </c>
      <c r="K102" s="28">
        <v>2.5926293831330001</v>
      </c>
      <c r="L102" s="28">
        <v>2.14616816517221</v>
      </c>
      <c r="M102" s="28">
        <v>2.0920181066903401</v>
      </c>
      <c r="N102" s="28">
        <v>0.24900374292991301</v>
      </c>
      <c r="O102" s="41"/>
      <c r="Q102" s="54">
        <f t="shared" si="5"/>
        <v>0.15552051581393589</v>
      </c>
      <c r="S102" s="28" t="s">
        <v>566</v>
      </c>
      <c r="T102" s="28">
        <v>2.9498305337256499</v>
      </c>
      <c r="U102" s="28">
        <v>2.6949083902953799</v>
      </c>
      <c r="V102" s="28">
        <v>2.3714825494680301</v>
      </c>
      <c r="W102" s="28">
        <v>1.70800841838907</v>
      </c>
      <c r="X102" s="28">
        <v>2.4531668153434398</v>
      </c>
      <c r="Y102" s="28">
        <v>2.76594913466421</v>
      </c>
      <c r="Z102" s="28">
        <v>2.0957712983377501</v>
      </c>
      <c r="AA102" s="28">
        <v>1.74801830563614</v>
      </c>
      <c r="AB102" s="28">
        <v>2.4978317432783999</v>
      </c>
      <c r="AC102" s="28">
        <v>1.96537542310165</v>
      </c>
      <c r="AD102" s="28">
        <v>2.3250342612239701</v>
      </c>
      <c r="AE102" s="28">
        <v>0.43019399158201599</v>
      </c>
    </row>
    <row r="103" spans="1:31" x14ac:dyDescent="0.25">
      <c r="B103" s="28" t="s">
        <v>567</v>
      </c>
      <c r="C103" s="28">
        <v>3.3296823658269399</v>
      </c>
      <c r="D103" s="28">
        <v>2.3337475014856</v>
      </c>
      <c r="E103" s="28">
        <v>2.4633787825029101</v>
      </c>
      <c r="F103" s="28">
        <v>3.1040991820279098</v>
      </c>
      <c r="G103" s="28">
        <v>2.7634022533118698</v>
      </c>
      <c r="H103" s="28">
        <v>2.4905155099308098</v>
      </c>
      <c r="I103" s="28">
        <v>2.8956863466090499</v>
      </c>
      <c r="J103" s="28">
        <v>1.8102029621503</v>
      </c>
      <c r="K103" s="28">
        <v>2.9950083194675501</v>
      </c>
      <c r="L103" s="28">
        <v>3.0438458751056801</v>
      </c>
      <c r="M103" s="28">
        <v>2.72295690984186</v>
      </c>
      <c r="N103" s="28">
        <v>0.45066022349858398</v>
      </c>
      <c r="O103" s="41"/>
      <c r="Q103" s="54">
        <f t="shared" si="5"/>
        <v>0.19795853264715463</v>
      </c>
      <c r="S103" s="28" t="s">
        <v>567</v>
      </c>
      <c r="T103" s="28">
        <v>4.1162458313482597</v>
      </c>
      <c r="U103" s="28">
        <v>2.9484029484029399</v>
      </c>
      <c r="V103" s="28">
        <v>3.2130181199277601</v>
      </c>
      <c r="W103" s="28">
        <v>2.5736472328361799</v>
      </c>
      <c r="X103" s="28">
        <v>3.4605752447446299</v>
      </c>
      <c r="Y103" s="28">
        <v>3.23316062176165</v>
      </c>
      <c r="Z103" s="28">
        <v>2.3676690706218499</v>
      </c>
      <c r="AA103" s="28">
        <v>2.5028388681606399</v>
      </c>
      <c r="AB103" s="28">
        <v>3.33536511032549</v>
      </c>
      <c r="AC103" s="28">
        <v>2.4940277114190099</v>
      </c>
      <c r="AD103" s="28">
        <v>3.0244950759548401</v>
      </c>
      <c r="AE103" s="28">
        <v>0.55295198371696297</v>
      </c>
    </row>
    <row r="104" spans="1:31" x14ac:dyDescent="0.25">
      <c r="B104" s="28" t="s">
        <v>568</v>
      </c>
      <c r="C104" s="28">
        <v>0.936524453694068</v>
      </c>
      <c r="D104" s="28">
        <v>1.2476318099902901</v>
      </c>
      <c r="E104" s="28">
        <v>1.4971012011057001</v>
      </c>
      <c r="F104" s="28">
        <v>1.3666388277275801</v>
      </c>
      <c r="G104" s="28">
        <v>1.0677475963320799</v>
      </c>
      <c r="H104" s="28">
        <v>2.0104244229337298</v>
      </c>
      <c r="I104" s="28">
        <v>0.59903488823562001</v>
      </c>
      <c r="J104" s="28">
        <v>2.16583834684802</v>
      </c>
      <c r="K104" s="28">
        <v>2.1780780477967099</v>
      </c>
      <c r="L104" s="28">
        <v>1.23535467424873</v>
      </c>
      <c r="M104" s="28">
        <v>1.4304374268912501</v>
      </c>
      <c r="N104" s="28">
        <v>0.535711317392635</v>
      </c>
      <c r="O104" s="41"/>
      <c r="Q104" s="54">
        <f t="shared" si="5"/>
        <v>0.62527001458755049</v>
      </c>
      <c r="S104" s="28" t="s">
        <v>568</v>
      </c>
      <c r="T104" s="28">
        <v>1.6801929110379299</v>
      </c>
      <c r="U104" s="28">
        <v>2.4153592072667198</v>
      </c>
      <c r="V104" s="28">
        <v>1.11534529231341</v>
      </c>
      <c r="W104" s="28">
        <v>0.86463637237006397</v>
      </c>
      <c r="X104" s="28">
        <v>1.4861222408392201</v>
      </c>
      <c r="Y104" s="28">
        <v>2.1578852724330102</v>
      </c>
      <c r="Z104" s="28">
        <v>1.76855895196506</v>
      </c>
      <c r="AA104" s="28">
        <v>0.91771183848271598</v>
      </c>
      <c r="AB104" s="28">
        <v>1.6324474115127801</v>
      </c>
      <c r="AC104" s="28">
        <v>1.4198732960287901</v>
      </c>
      <c r="AD104" s="28">
        <v>1.5458132794249699</v>
      </c>
      <c r="AE104" s="28">
        <v>0.50212451138174097</v>
      </c>
    </row>
    <row r="105" spans="1:31" x14ac:dyDescent="0.25">
      <c r="B105" s="28" t="s">
        <v>569</v>
      </c>
      <c r="C105" s="28">
        <v>41</v>
      </c>
      <c r="D105" s="28">
        <v>38</v>
      </c>
      <c r="E105" s="28">
        <v>36</v>
      </c>
      <c r="F105" s="28">
        <v>46</v>
      </c>
      <c r="G105" s="28">
        <v>42</v>
      </c>
      <c r="H105" s="28">
        <v>49</v>
      </c>
      <c r="I105" s="28">
        <v>39</v>
      </c>
      <c r="J105" s="28">
        <v>40</v>
      </c>
      <c r="K105" s="28">
        <v>53</v>
      </c>
      <c r="L105" s="28">
        <v>48</v>
      </c>
      <c r="M105" s="28">
        <v>43.2</v>
      </c>
      <c r="N105" s="28">
        <v>5.5136195008360804</v>
      </c>
      <c r="O105" s="41"/>
      <c r="Q105" s="54">
        <f t="shared" si="5"/>
        <v>5.5327856006616417E-2</v>
      </c>
      <c r="S105" s="28" t="s">
        <v>569</v>
      </c>
      <c r="T105" s="28">
        <v>60</v>
      </c>
      <c r="U105" s="28">
        <v>60</v>
      </c>
      <c r="V105" s="28">
        <v>51</v>
      </c>
      <c r="W105" s="28">
        <v>38</v>
      </c>
      <c r="X105" s="28">
        <v>54</v>
      </c>
      <c r="Y105" s="28">
        <v>57</v>
      </c>
      <c r="Z105" s="28">
        <v>43</v>
      </c>
      <c r="AA105" s="28">
        <v>39</v>
      </c>
      <c r="AB105" s="28">
        <v>52</v>
      </c>
      <c r="AC105" s="28">
        <v>43</v>
      </c>
      <c r="AD105" s="28">
        <v>49.7</v>
      </c>
      <c r="AE105" s="28">
        <v>8.3805329981650498</v>
      </c>
    </row>
    <row r="106" spans="1:31" x14ac:dyDescent="0.25">
      <c r="B106" s="28" t="s">
        <v>570</v>
      </c>
      <c r="C106" s="28">
        <v>32</v>
      </c>
      <c r="D106" s="28">
        <v>24</v>
      </c>
      <c r="E106" s="28">
        <v>22</v>
      </c>
      <c r="F106" s="28">
        <v>37</v>
      </c>
      <c r="G106" s="28">
        <v>31</v>
      </c>
      <c r="H106" s="28">
        <v>29</v>
      </c>
      <c r="I106" s="28">
        <v>34</v>
      </c>
      <c r="J106" s="28">
        <v>22</v>
      </c>
      <c r="K106" s="28">
        <v>32</v>
      </c>
      <c r="L106" s="28">
        <v>35</v>
      </c>
      <c r="M106" s="28">
        <v>29.8</v>
      </c>
      <c r="N106" s="28">
        <v>5.4119209980273002</v>
      </c>
      <c r="O106" s="41"/>
      <c r="Q106" s="54">
        <f t="shared" si="5"/>
        <v>4.428804024503414E-2</v>
      </c>
      <c r="S106" s="28" t="s">
        <v>570</v>
      </c>
      <c r="T106" s="28">
        <v>45</v>
      </c>
      <c r="U106" s="28">
        <v>35</v>
      </c>
      <c r="V106" s="28">
        <v>42</v>
      </c>
      <c r="W106" s="28">
        <v>29</v>
      </c>
      <c r="X106" s="28">
        <v>38</v>
      </c>
      <c r="Y106" s="28">
        <v>39</v>
      </c>
      <c r="Z106" s="28">
        <v>29</v>
      </c>
      <c r="AA106" s="28">
        <v>31</v>
      </c>
      <c r="AB106" s="28">
        <v>35</v>
      </c>
      <c r="AC106" s="28">
        <v>29</v>
      </c>
      <c r="AD106" s="28">
        <v>35.200000000000003</v>
      </c>
      <c r="AE106" s="28">
        <v>5.7503623074260801</v>
      </c>
    </row>
    <row r="107" spans="1:31" x14ac:dyDescent="0.25">
      <c r="B107" s="28" t="s">
        <v>571</v>
      </c>
      <c r="C107" s="28">
        <v>9</v>
      </c>
      <c r="D107" s="28">
        <v>14</v>
      </c>
      <c r="E107" s="28">
        <v>14</v>
      </c>
      <c r="F107" s="28">
        <v>9</v>
      </c>
      <c r="G107" s="28">
        <v>11</v>
      </c>
      <c r="H107" s="28">
        <v>20</v>
      </c>
      <c r="I107" s="28">
        <v>5</v>
      </c>
      <c r="J107" s="28">
        <v>18</v>
      </c>
      <c r="K107" s="28">
        <v>21</v>
      </c>
      <c r="L107" s="28">
        <v>13</v>
      </c>
      <c r="M107" s="28">
        <v>13.4</v>
      </c>
      <c r="N107" s="28">
        <v>5.1467357508316702</v>
      </c>
      <c r="O107" s="41"/>
      <c r="Q107" s="54">
        <f t="shared" si="5"/>
        <v>0.57586758908772695</v>
      </c>
      <c r="S107" s="28" t="s">
        <v>571</v>
      </c>
      <c r="T107" s="28">
        <v>15</v>
      </c>
      <c r="U107" s="28">
        <v>25</v>
      </c>
      <c r="V107" s="28">
        <v>9</v>
      </c>
      <c r="W107" s="28">
        <v>9</v>
      </c>
      <c r="X107" s="28">
        <v>16</v>
      </c>
      <c r="Y107" s="28">
        <v>19</v>
      </c>
      <c r="Z107" s="28">
        <v>14</v>
      </c>
      <c r="AA107" s="28">
        <v>9</v>
      </c>
      <c r="AB107" s="28">
        <v>17</v>
      </c>
      <c r="AC107" s="28">
        <v>14</v>
      </c>
      <c r="AD107" s="28">
        <v>14.7</v>
      </c>
      <c r="AE107" s="28">
        <v>5.0563491440629997</v>
      </c>
    </row>
    <row r="108" spans="1:31" x14ac:dyDescent="0.25">
      <c r="B108" s="28" t="s">
        <v>572</v>
      </c>
      <c r="C108" s="28">
        <v>1.1463414634146301</v>
      </c>
      <c r="D108" s="28">
        <v>1</v>
      </c>
      <c r="E108" s="28">
        <v>1.19444444444444</v>
      </c>
      <c r="F108" s="28">
        <v>1.10869565217391</v>
      </c>
      <c r="G108" s="28">
        <v>1</v>
      </c>
      <c r="H108" s="28">
        <v>1.0408163265306101</v>
      </c>
      <c r="I108" s="28">
        <v>1.02564102564102</v>
      </c>
      <c r="J108" s="28">
        <v>1.1000000000000001</v>
      </c>
      <c r="K108" s="28">
        <v>1.0754716981132</v>
      </c>
      <c r="L108" s="28">
        <v>1</v>
      </c>
      <c r="M108" s="28">
        <v>1.06914106103178</v>
      </c>
      <c r="N108" s="28">
        <v>6.7703404976426101E-2</v>
      </c>
      <c r="O108" s="41"/>
      <c r="Q108" s="54">
        <f t="shared" si="5"/>
        <v>9.2307135642581389E-2</v>
      </c>
      <c r="S108" s="28" t="s">
        <v>572</v>
      </c>
      <c r="T108" s="28">
        <v>1.0833333333333299</v>
      </c>
      <c r="U108" s="28">
        <v>1</v>
      </c>
      <c r="V108" s="28">
        <v>1.0196078431372499</v>
      </c>
      <c r="W108" s="28">
        <v>1</v>
      </c>
      <c r="X108" s="28">
        <v>1</v>
      </c>
      <c r="Y108" s="28">
        <v>1.01754385964912</v>
      </c>
      <c r="Z108" s="28">
        <v>1.0697674418604599</v>
      </c>
      <c r="AA108" s="28">
        <v>1</v>
      </c>
      <c r="AB108" s="28">
        <v>1.0576923076922999</v>
      </c>
      <c r="AC108" s="28">
        <v>1.02325581395348</v>
      </c>
      <c r="AD108" s="28">
        <v>1.02712005996259</v>
      </c>
      <c r="AE108" s="28">
        <v>3.1655179737350297E-2</v>
      </c>
    </row>
    <row r="109" spans="1:31" x14ac:dyDescent="0.25">
      <c r="B109" s="28" t="s">
        <v>573</v>
      </c>
      <c r="C109" s="28">
        <v>1.1875</v>
      </c>
      <c r="D109" s="28">
        <v>1</v>
      </c>
      <c r="E109" s="28">
        <v>1.22727272727272</v>
      </c>
      <c r="F109" s="28">
        <v>1</v>
      </c>
      <c r="G109" s="28">
        <v>1</v>
      </c>
      <c r="H109" s="28">
        <v>1.0689655172413699</v>
      </c>
      <c r="I109" s="28">
        <v>1.02941176470588</v>
      </c>
      <c r="J109" s="28">
        <v>1</v>
      </c>
      <c r="K109" s="28">
        <v>1.0625</v>
      </c>
      <c r="L109" s="28">
        <v>1</v>
      </c>
      <c r="M109" s="28">
        <v>1.0575650009219899</v>
      </c>
      <c r="N109" s="28">
        <v>8.3798298658127907E-2</v>
      </c>
      <c r="O109" s="41"/>
      <c r="Q109" s="54">
        <f t="shared" si="5"/>
        <v>0.2032618993386521</v>
      </c>
      <c r="S109" s="28" t="s">
        <v>573</v>
      </c>
      <c r="T109" s="28">
        <v>1.06666666666666</v>
      </c>
      <c r="U109" s="28">
        <v>1</v>
      </c>
      <c r="V109" s="28">
        <v>1.02380952380952</v>
      </c>
      <c r="W109" s="28">
        <v>1</v>
      </c>
      <c r="X109" s="28">
        <v>1</v>
      </c>
      <c r="Y109" s="28">
        <v>1.02564102564102</v>
      </c>
      <c r="Z109" s="28">
        <v>1</v>
      </c>
      <c r="AA109" s="28">
        <v>1</v>
      </c>
      <c r="AB109" s="28">
        <v>1.0857142857142801</v>
      </c>
      <c r="AC109" s="28">
        <v>1</v>
      </c>
      <c r="AD109" s="28">
        <v>1.02018315018315</v>
      </c>
      <c r="AE109" s="28">
        <v>3.1520968905650197E-2</v>
      </c>
    </row>
    <row r="110" spans="1:31" x14ac:dyDescent="0.25">
      <c r="B110" s="28" t="s">
        <v>574</v>
      </c>
      <c r="C110" s="28">
        <v>1</v>
      </c>
      <c r="D110" s="28">
        <v>1</v>
      </c>
      <c r="E110" s="28">
        <v>1.1428571428571399</v>
      </c>
      <c r="F110" s="28">
        <v>1.55555555555555</v>
      </c>
      <c r="G110" s="28">
        <v>1</v>
      </c>
      <c r="H110" s="28">
        <v>1</v>
      </c>
      <c r="I110" s="28">
        <v>1</v>
      </c>
      <c r="J110" s="28">
        <v>1.2222222222222201</v>
      </c>
      <c r="K110" s="28">
        <v>1.09523809523809</v>
      </c>
      <c r="L110" s="28">
        <v>1</v>
      </c>
      <c r="M110" s="28">
        <v>1.1015873015872999</v>
      </c>
      <c r="N110" s="28">
        <v>0.17773368059794001</v>
      </c>
      <c r="O110" s="41"/>
      <c r="Q110" s="54">
        <f t="shared" si="5"/>
        <v>0.34130037713834449</v>
      </c>
      <c r="S110" s="28" t="s">
        <v>574</v>
      </c>
      <c r="T110" s="28">
        <v>1.13333333333333</v>
      </c>
      <c r="U110" s="28">
        <v>1</v>
      </c>
      <c r="V110" s="28">
        <v>1</v>
      </c>
      <c r="W110" s="28">
        <v>1</v>
      </c>
      <c r="X110" s="28">
        <v>1</v>
      </c>
      <c r="Y110" s="28">
        <v>1</v>
      </c>
      <c r="Z110" s="28">
        <v>1.21428571428571</v>
      </c>
      <c r="AA110" s="28">
        <v>1</v>
      </c>
      <c r="AB110" s="28">
        <v>1</v>
      </c>
      <c r="AC110" s="28">
        <v>1.0714285714285701</v>
      </c>
      <c r="AD110" s="28">
        <v>1.0419047619047599</v>
      </c>
      <c r="AE110" s="28">
        <v>7.5452777901954496E-2</v>
      </c>
    </row>
    <row r="111" spans="1:31" x14ac:dyDescent="0.25">
      <c r="B111" s="28" t="s">
        <v>575</v>
      </c>
      <c r="C111" s="28">
        <v>100</v>
      </c>
      <c r="D111" s="28">
        <v>100</v>
      </c>
      <c r="E111" s="28">
        <v>100</v>
      </c>
      <c r="F111" s="28">
        <v>100</v>
      </c>
      <c r="G111" s="28">
        <v>100</v>
      </c>
      <c r="H111" s="28">
        <v>100</v>
      </c>
      <c r="I111" s="28">
        <v>100</v>
      </c>
      <c r="J111" s="28">
        <v>100</v>
      </c>
      <c r="K111" s="28">
        <v>100</v>
      </c>
      <c r="L111" s="28">
        <v>100</v>
      </c>
      <c r="M111" s="28">
        <v>100</v>
      </c>
      <c r="N111" s="28">
        <v>0</v>
      </c>
      <c r="O111" s="41"/>
      <c r="Q111" s="54" t="e">
        <f t="shared" si="5"/>
        <v>#DIV/0!</v>
      </c>
      <c r="S111" s="28" t="s">
        <v>575</v>
      </c>
      <c r="T111" s="28">
        <v>100</v>
      </c>
      <c r="U111" s="28">
        <v>100</v>
      </c>
      <c r="V111" s="28">
        <v>100</v>
      </c>
      <c r="W111" s="28">
        <v>100</v>
      </c>
      <c r="X111" s="28">
        <v>100</v>
      </c>
      <c r="Y111" s="28">
        <v>100</v>
      </c>
      <c r="Z111" s="28">
        <v>100</v>
      </c>
      <c r="AA111" s="28">
        <v>100</v>
      </c>
      <c r="AB111" s="28">
        <v>100</v>
      </c>
      <c r="AC111" s="28">
        <v>100</v>
      </c>
      <c r="AD111" s="28">
        <v>100</v>
      </c>
      <c r="AE111" s="28">
        <v>0</v>
      </c>
    </row>
    <row r="112" spans="1:31" x14ac:dyDescent="0.25">
      <c r="B112" s="28" t="s">
        <v>576</v>
      </c>
      <c r="C112" s="28">
        <v>100</v>
      </c>
      <c r="D112" s="28">
        <v>100</v>
      </c>
      <c r="E112" s="28">
        <v>100</v>
      </c>
      <c r="F112" s="28">
        <v>100</v>
      </c>
      <c r="G112" s="28">
        <v>100</v>
      </c>
      <c r="H112" s="28">
        <v>100</v>
      </c>
      <c r="I112" s="28">
        <v>100</v>
      </c>
      <c r="J112" s="28">
        <v>100</v>
      </c>
      <c r="K112" s="28">
        <v>100</v>
      </c>
      <c r="L112" s="28">
        <v>100</v>
      </c>
      <c r="M112" s="28">
        <v>100</v>
      </c>
      <c r="N112" s="28">
        <v>0</v>
      </c>
      <c r="O112" s="41"/>
      <c r="Q112" s="54" t="e">
        <f t="shared" si="5"/>
        <v>#DIV/0!</v>
      </c>
      <c r="S112" s="28" t="s">
        <v>576</v>
      </c>
      <c r="T112" s="28">
        <v>100</v>
      </c>
      <c r="U112" s="28">
        <v>100</v>
      </c>
      <c r="V112" s="28">
        <v>100</v>
      </c>
      <c r="W112" s="28">
        <v>100</v>
      </c>
      <c r="X112" s="28">
        <v>100</v>
      </c>
      <c r="Y112" s="28">
        <v>100</v>
      </c>
      <c r="Z112" s="28">
        <v>100</v>
      </c>
      <c r="AA112" s="28">
        <v>100</v>
      </c>
      <c r="AB112" s="28">
        <v>100</v>
      </c>
      <c r="AC112" s="28">
        <v>100</v>
      </c>
      <c r="AD112" s="28">
        <v>100</v>
      </c>
      <c r="AE112" s="28">
        <v>0</v>
      </c>
    </row>
    <row r="113" spans="2:31" x14ac:dyDescent="0.25">
      <c r="B113" s="28" t="s">
        <v>577</v>
      </c>
      <c r="C113" s="28">
        <v>100</v>
      </c>
      <c r="D113" s="28">
        <v>100</v>
      </c>
      <c r="E113" s="28">
        <v>100</v>
      </c>
      <c r="F113" s="28">
        <v>100</v>
      </c>
      <c r="G113" s="28">
        <v>100</v>
      </c>
      <c r="H113" s="28">
        <v>100</v>
      </c>
      <c r="I113" s="28">
        <v>100</v>
      </c>
      <c r="J113" s="28">
        <v>100</v>
      </c>
      <c r="K113" s="28">
        <v>100</v>
      </c>
      <c r="L113" s="28">
        <v>100</v>
      </c>
      <c r="M113" s="28">
        <v>100</v>
      </c>
      <c r="N113" s="28">
        <v>0</v>
      </c>
      <c r="O113" s="41"/>
      <c r="Q113" s="54" t="e">
        <f t="shared" si="5"/>
        <v>#DIV/0!</v>
      </c>
      <c r="S113" s="28" t="s">
        <v>577</v>
      </c>
      <c r="T113" s="28">
        <v>100</v>
      </c>
      <c r="U113" s="28">
        <v>100</v>
      </c>
      <c r="V113" s="28">
        <v>100</v>
      </c>
      <c r="W113" s="28">
        <v>100</v>
      </c>
      <c r="X113" s="28">
        <v>100</v>
      </c>
      <c r="Y113" s="28">
        <v>100</v>
      </c>
      <c r="Z113" s="28">
        <v>100</v>
      </c>
      <c r="AA113" s="28">
        <v>100</v>
      </c>
      <c r="AB113" s="28">
        <v>100</v>
      </c>
      <c r="AC113" s="28">
        <v>100</v>
      </c>
      <c r="AD113" s="28">
        <v>100</v>
      </c>
      <c r="AE113" s="28">
        <v>0</v>
      </c>
    </row>
    <row r="114" spans="2:31" x14ac:dyDescent="0.25">
      <c r="B114" s="28" t="s">
        <v>578</v>
      </c>
      <c r="C114" s="28">
        <v>1070</v>
      </c>
      <c r="D114" s="28">
        <v>670</v>
      </c>
      <c r="E114" s="28">
        <v>304</v>
      </c>
      <c r="F114" s="28">
        <v>1338</v>
      </c>
      <c r="G114" s="28">
        <v>410</v>
      </c>
      <c r="H114" s="28">
        <v>702</v>
      </c>
      <c r="I114" s="28">
        <v>830</v>
      </c>
      <c r="J114" s="28">
        <v>703</v>
      </c>
      <c r="K114" s="28">
        <v>896</v>
      </c>
      <c r="L114" s="28">
        <v>1178</v>
      </c>
      <c r="M114" s="28">
        <v>810.1</v>
      </c>
      <c r="N114" s="28">
        <v>324.61137448408101</v>
      </c>
      <c r="O114" s="41"/>
      <c r="Q114" s="54">
        <f t="shared" si="5"/>
        <v>6.6266889102084157E-4</v>
      </c>
      <c r="S114" s="28" t="s">
        <v>578</v>
      </c>
      <c r="T114" s="28">
        <v>2479</v>
      </c>
      <c r="U114" s="28">
        <v>1628</v>
      </c>
      <c r="V114" s="28">
        <v>1537</v>
      </c>
      <c r="W114" s="28">
        <v>1067</v>
      </c>
      <c r="X114" s="28">
        <v>1753</v>
      </c>
      <c r="Y114" s="28">
        <v>1891</v>
      </c>
      <c r="Z114" s="28">
        <v>1270</v>
      </c>
      <c r="AA114" s="28">
        <v>920</v>
      </c>
      <c r="AB114" s="28">
        <v>1397</v>
      </c>
      <c r="AC114" s="28">
        <v>1335</v>
      </c>
      <c r="AD114" s="28">
        <v>1527.7</v>
      </c>
      <c r="AE114" s="28">
        <v>447.21783158645201</v>
      </c>
    </row>
    <row r="115" spans="2:31" x14ac:dyDescent="0.25">
      <c r="B115" s="28" t="s">
        <v>579</v>
      </c>
      <c r="C115" s="28">
        <v>1017</v>
      </c>
      <c r="D115" s="28">
        <v>565</v>
      </c>
      <c r="E115" s="28">
        <v>206</v>
      </c>
      <c r="F115" s="28">
        <v>1255</v>
      </c>
      <c r="G115" s="28">
        <v>328</v>
      </c>
      <c r="H115" s="28">
        <v>517</v>
      </c>
      <c r="I115" s="28">
        <v>704</v>
      </c>
      <c r="J115" s="28">
        <v>538</v>
      </c>
      <c r="K115" s="28">
        <v>603</v>
      </c>
      <c r="L115" s="28">
        <v>1015</v>
      </c>
      <c r="M115" s="28">
        <v>674.8</v>
      </c>
      <c r="N115" s="28">
        <v>328.496845917548</v>
      </c>
      <c r="O115" s="41"/>
      <c r="Q115" s="54">
        <f t="shared" si="5"/>
        <v>3.9902578667924595E-3</v>
      </c>
      <c r="S115" s="28" t="s">
        <v>579</v>
      </c>
      <c r="T115" s="28">
        <v>2112</v>
      </c>
      <c r="U115" s="28">
        <v>1370</v>
      </c>
      <c r="V115" s="28">
        <v>1450</v>
      </c>
      <c r="W115" s="28">
        <v>887</v>
      </c>
      <c r="X115" s="28">
        <v>1503</v>
      </c>
      <c r="Y115" s="28">
        <v>1622</v>
      </c>
      <c r="Z115" s="28">
        <v>833</v>
      </c>
      <c r="AA115" s="28">
        <v>624</v>
      </c>
      <c r="AB115" s="28">
        <v>1188</v>
      </c>
      <c r="AC115" s="28">
        <v>943</v>
      </c>
      <c r="AD115" s="28">
        <v>1253.2</v>
      </c>
      <c r="AE115" s="28">
        <v>446.63701394109899</v>
      </c>
    </row>
    <row r="116" spans="2:31" x14ac:dyDescent="0.25">
      <c r="B116" s="28" t="s">
        <v>580</v>
      </c>
      <c r="C116" s="28">
        <v>52</v>
      </c>
      <c r="D116" s="28">
        <v>104</v>
      </c>
      <c r="E116" s="28">
        <v>97</v>
      </c>
      <c r="F116" s="28">
        <v>82</v>
      </c>
      <c r="G116" s="28">
        <v>81</v>
      </c>
      <c r="H116" s="28">
        <v>184</v>
      </c>
      <c r="I116" s="28">
        <v>125</v>
      </c>
      <c r="J116" s="28">
        <v>164</v>
      </c>
      <c r="K116" s="28">
        <v>292</v>
      </c>
      <c r="L116" s="28">
        <v>162</v>
      </c>
      <c r="M116" s="28">
        <v>134.30000000000001</v>
      </c>
      <c r="N116" s="28">
        <v>69.708998303263797</v>
      </c>
      <c r="O116" s="41"/>
      <c r="Q116" s="54">
        <f t="shared" si="5"/>
        <v>2.5572082195569204E-3</v>
      </c>
      <c r="S116" s="28" t="s">
        <v>580</v>
      </c>
      <c r="T116" s="28">
        <v>366</v>
      </c>
      <c r="U116" s="28">
        <v>257</v>
      </c>
      <c r="V116" s="28">
        <v>86</v>
      </c>
      <c r="W116" s="28">
        <v>179</v>
      </c>
      <c r="X116" s="28">
        <v>249</v>
      </c>
      <c r="Y116" s="28">
        <v>268</v>
      </c>
      <c r="Z116" s="28">
        <v>437</v>
      </c>
      <c r="AA116" s="28">
        <v>295</v>
      </c>
      <c r="AB116" s="28">
        <v>208</v>
      </c>
      <c r="AC116" s="28">
        <v>391</v>
      </c>
      <c r="AD116" s="28">
        <v>273.60000000000002</v>
      </c>
      <c r="AE116" s="28">
        <v>104.794189830458</v>
      </c>
    </row>
    <row r="117" spans="2:31" x14ac:dyDescent="0.25">
      <c r="B117" s="28" t="s">
        <v>581</v>
      </c>
      <c r="C117" s="28">
        <v>9.1214953271028E-3</v>
      </c>
      <c r="D117" s="28">
        <v>9.17910447761194E-3</v>
      </c>
      <c r="E117" s="28">
        <v>8.0592105263157902E-3</v>
      </c>
      <c r="F117" s="28">
        <v>9.4618834080717404E-3</v>
      </c>
      <c r="G117" s="28">
        <v>8.5365853658536592E-3</v>
      </c>
      <c r="H117" s="28">
        <v>8.7606837606837608E-3</v>
      </c>
      <c r="I117" s="28">
        <v>9.2891566265060205E-3</v>
      </c>
      <c r="J117" s="28">
        <v>8.9900426742532003E-3</v>
      </c>
      <c r="K117" s="28">
        <v>9.3303571428571402E-3</v>
      </c>
      <c r="L117" s="28">
        <v>9.0407470288624697E-3</v>
      </c>
      <c r="M117" s="28">
        <v>8.9769266338118499E-3</v>
      </c>
      <c r="N117" s="28">
        <v>4.22488539398882E-4</v>
      </c>
      <c r="O117" s="41"/>
      <c r="Q117" s="54">
        <f t="shared" si="5"/>
        <v>0.15663634467042475</v>
      </c>
      <c r="S117" s="28" t="s">
        <v>581</v>
      </c>
      <c r="T117" s="28">
        <v>9.6409842678499402E-3</v>
      </c>
      <c r="U117" s="28">
        <v>9.4164619164619108E-3</v>
      </c>
      <c r="V117" s="28">
        <v>9.55757970071568E-3</v>
      </c>
      <c r="W117" s="28">
        <v>9.4657919400187394E-3</v>
      </c>
      <c r="X117" s="28">
        <v>9.6919566457501407E-3</v>
      </c>
      <c r="Y117" s="28">
        <v>9.5716552088841791E-3</v>
      </c>
      <c r="Z117" s="28">
        <v>9.4488188976377899E-3</v>
      </c>
      <c r="AA117" s="28">
        <v>8.1086956521739095E-3</v>
      </c>
      <c r="AB117" s="28">
        <v>8.8833214030064403E-3</v>
      </c>
      <c r="AC117" s="28">
        <v>9.0037453183520605E-3</v>
      </c>
      <c r="AD117" s="28">
        <v>9.2789010950850796E-3</v>
      </c>
      <c r="AE117" s="28">
        <v>4.8869256960826202E-4</v>
      </c>
    </row>
    <row r="118" spans="2:31" x14ac:dyDescent="0.25">
      <c r="B118" s="28" t="s">
        <v>582</v>
      </c>
      <c r="C118" s="28">
        <v>92.527040314650904</v>
      </c>
      <c r="D118" s="28">
        <v>96.283185840707901</v>
      </c>
      <c r="E118" s="28">
        <v>85.4368932038834</v>
      </c>
      <c r="F118" s="28">
        <v>95.378486055776804</v>
      </c>
      <c r="G118" s="28">
        <v>86.585365853658502</v>
      </c>
      <c r="H118" s="28">
        <v>91.876208897485398</v>
      </c>
      <c r="I118" s="28">
        <v>92.471590909090907</v>
      </c>
      <c r="J118" s="28">
        <v>93.122676579925596</v>
      </c>
      <c r="K118" s="28">
        <v>97.678275290215595</v>
      </c>
      <c r="L118" s="28">
        <v>93.793103448275801</v>
      </c>
      <c r="M118" s="28">
        <v>92.515282639367101</v>
      </c>
      <c r="N118" s="28">
        <v>3.8977379111111401</v>
      </c>
      <c r="O118" s="41"/>
      <c r="Q118" s="54">
        <f t="shared" si="5"/>
        <v>0.32561499899163038</v>
      </c>
      <c r="S118" s="28" t="s">
        <v>582</v>
      </c>
      <c r="T118" s="28">
        <v>97.443181818181799</v>
      </c>
      <c r="U118" s="28">
        <v>95.328467153284606</v>
      </c>
      <c r="V118" s="28">
        <v>97.586206896551701</v>
      </c>
      <c r="W118" s="28">
        <v>96.054114994363005</v>
      </c>
      <c r="X118" s="28">
        <v>97.737857618097095</v>
      </c>
      <c r="Y118" s="28">
        <v>97.040690505548696</v>
      </c>
      <c r="Z118" s="28">
        <v>95.078031212484902</v>
      </c>
      <c r="AA118" s="28">
        <v>85.4166666666666</v>
      </c>
      <c r="AB118" s="28">
        <v>89.057239057239002</v>
      </c>
      <c r="AC118" s="28">
        <v>92.576882290561997</v>
      </c>
      <c r="AD118" s="28">
        <v>94.331933821297895</v>
      </c>
      <c r="AE118" s="28">
        <v>4.1380092394269399</v>
      </c>
    </row>
    <row r="119" spans="2:31" x14ac:dyDescent="0.25">
      <c r="B119" s="28" t="s">
        <v>583</v>
      </c>
      <c r="C119" s="28">
        <v>71.153846153846104</v>
      </c>
      <c r="D119" s="28">
        <v>70.192307692307693</v>
      </c>
      <c r="E119" s="28">
        <v>73.195876288659704</v>
      </c>
      <c r="F119" s="28">
        <v>85.365853658536494</v>
      </c>
      <c r="G119" s="28">
        <v>83.950617283950606</v>
      </c>
      <c r="H119" s="28">
        <v>77.173913043478194</v>
      </c>
      <c r="I119" s="28">
        <v>97.6</v>
      </c>
      <c r="J119" s="28">
        <v>81.097560975609696</v>
      </c>
      <c r="K119" s="28">
        <v>85.273972602739704</v>
      </c>
      <c r="L119" s="28">
        <v>70.987654320987602</v>
      </c>
      <c r="M119" s="28">
        <v>79.599160202011603</v>
      </c>
      <c r="N119" s="28">
        <v>8.7656081234018792</v>
      </c>
      <c r="O119" s="41"/>
      <c r="Q119" s="54">
        <f t="shared" si="5"/>
        <v>0.15824504546629209</v>
      </c>
      <c r="S119" s="28" t="s">
        <v>583</v>
      </c>
      <c r="T119" s="28">
        <v>91.256830601092901</v>
      </c>
      <c r="U119" s="28">
        <v>89.105058365758694</v>
      </c>
      <c r="V119" s="28">
        <v>65.116279069767401</v>
      </c>
      <c r="W119" s="28">
        <v>89.385474860335194</v>
      </c>
      <c r="X119" s="28">
        <v>93.172690763052202</v>
      </c>
      <c r="Y119" s="28">
        <v>88.432835820895505</v>
      </c>
      <c r="Z119" s="28">
        <v>94.050343249427897</v>
      </c>
      <c r="AA119" s="28">
        <v>72.203389830508399</v>
      </c>
      <c r="AB119" s="28">
        <v>88.942307692307693</v>
      </c>
      <c r="AC119" s="28">
        <v>84.398976982097096</v>
      </c>
      <c r="AD119" s="28">
        <v>85.6064187235243</v>
      </c>
      <c r="AE119" s="28">
        <v>9.4695942885616091</v>
      </c>
    </row>
    <row r="120" spans="2:31" x14ac:dyDescent="0.25">
      <c r="B120" s="28" t="s">
        <v>584</v>
      </c>
      <c r="C120" s="28">
        <v>22.0902777777777</v>
      </c>
      <c r="D120" s="28">
        <v>22.306666666666601</v>
      </c>
      <c r="E120" s="28">
        <v>22.315833333333298</v>
      </c>
      <c r="F120" s="28">
        <v>22.8955555555555</v>
      </c>
      <c r="G120" s="28">
        <v>22.456666666666599</v>
      </c>
      <c r="H120" s="28">
        <v>22.892777777777699</v>
      </c>
      <c r="I120" s="28">
        <v>22.1030555555555</v>
      </c>
      <c r="J120" s="28">
        <v>22.772777777777701</v>
      </c>
      <c r="K120" s="28">
        <v>22.371111111111102</v>
      </c>
      <c r="L120" s="28">
        <v>22.831388888888799</v>
      </c>
      <c r="M120" s="28">
        <v>22.503611111111098</v>
      </c>
      <c r="N120" s="28">
        <v>0.31798968264961702</v>
      </c>
      <c r="O120" s="41"/>
      <c r="Q120" s="54">
        <f t="shared" si="5"/>
        <v>0.79176024440822501</v>
      </c>
      <c r="S120" s="28" t="s">
        <v>584</v>
      </c>
      <c r="T120" s="28">
        <v>22.3741666666666</v>
      </c>
      <c r="U120" s="28">
        <v>22.635277777777699</v>
      </c>
      <c r="V120" s="28">
        <v>22.348888888888801</v>
      </c>
      <c r="W120" s="28">
        <v>22.8336111111111</v>
      </c>
      <c r="X120" s="28">
        <v>22.42</v>
      </c>
      <c r="Y120" s="28">
        <v>21.330833333333299</v>
      </c>
      <c r="Z120" s="28">
        <v>22.426111111111101</v>
      </c>
      <c r="AA120" s="28">
        <v>22.883055555555501</v>
      </c>
      <c r="AB120" s="28">
        <v>22.419444444444402</v>
      </c>
      <c r="AC120" s="28">
        <v>22.896388888888801</v>
      </c>
      <c r="AD120" s="28">
        <v>22.456777777777699</v>
      </c>
      <c r="AE120" s="28">
        <v>0.45200032093291198</v>
      </c>
    </row>
    <row r="121" spans="2:31" x14ac:dyDescent="0.25">
      <c r="B121" s="28" t="s">
        <v>585</v>
      </c>
      <c r="C121" s="28">
        <v>-0.04</v>
      </c>
      <c r="D121" s="28">
        <v>-0.04</v>
      </c>
      <c r="E121" s="28">
        <v>-0.04</v>
      </c>
      <c r="F121" s="28">
        <v>0.55000000000000004</v>
      </c>
      <c r="G121" s="28">
        <v>-3.9999999999999501E-2</v>
      </c>
      <c r="H121" s="28">
        <v>-0.04</v>
      </c>
      <c r="I121" s="28">
        <v>-5.0000000000000197E-2</v>
      </c>
      <c r="J121" s="28">
        <v>-0.04</v>
      </c>
      <c r="K121" s="28">
        <v>-0.04</v>
      </c>
      <c r="L121" s="28">
        <v>-5.0000000000000197E-2</v>
      </c>
      <c r="M121" s="28">
        <v>1.6999999999999901E-2</v>
      </c>
      <c r="N121" s="28">
        <v>0.18732325002519001</v>
      </c>
      <c r="O121" s="41"/>
      <c r="Q121" s="54">
        <f t="shared" si="5"/>
        <v>0.30930065009532104</v>
      </c>
      <c r="S121" s="28" t="s">
        <v>585</v>
      </c>
      <c r="T121" s="28">
        <v>-3.9999999999999501E-2</v>
      </c>
      <c r="U121" s="28">
        <v>-0.04</v>
      </c>
      <c r="V121" s="28">
        <v>-4.9999999999999802E-2</v>
      </c>
      <c r="W121" s="28">
        <v>-0.04</v>
      </c>
      <c r="X121" s="28">
        <v>-4.9999999999999802E-2</v>
      </c>
      <c r="Y121" s="28">
        <v>-4.9999999999999802E-2</v>
      </c>
      <c r="Z121" s="28">
        <v>-4.9999999999999802E-2</v>
      </c>
      <c r="AA121" s="28">
        <v>-0.04</v>
      </c>
      <c r="AB121" s="28">
        <v>-5.0000000000000197E-2</v>
      </c>
      <c r="AC121" s="28">
        <v>-0.04</v>
      </c>
      <c r="AD121" s="28">
        <v>-4.4999999999999901E-2</v>
      </c>
      <c r="AE121" s="28">
        <v>5.2704627669472801E-3</v>
      </c>
    </row>
    <row r="122" spans="2:31" x14ac:dyDescent="0.25">
      <c r="B122" s="28" t="s">
        <v>586</v>
      </c>
      <c r="C122" s="28">
        <v>-1.81075133605784E-3</v>
      </c>
      <c r="D122" s="28">
        <v>-1.7931858936043E-3</v>
      </c>
      <c r="E122" s="28">
        <v>-1.79244930729302E-3</v>
      </c>
      <c r="F122" s="28">
        <v>2.4022129476851398E-2</v>
      </c>
      <c r="G122" s="28">
        <v>-1.7812082529315501E-3</v>
      </c>
      <c r="H122" s="28">
        <v>-1.74727594826121E-3</v>
      </c>
      <c r="I122" s="28">
        <v>-2.2621306757487098E-3</v>
      </c>
      <c r="J122" s="28">
        <v>-1.75648313044326E-3</v>
      </c>
      <c r="K122" s="28">
        <v>-1.78802026422966E-3</v>
      </c>
      <c r="L122" s="28">
        <v>-2.18996751548186E-3</v>
      </c>
      <c r="M122" s="28">
        <v>7.1006571527999405E-4</v>
      </c>
      <c r="N122" s="28">
        <v>8.1931482242261697E-3</v>
      </c>
      <c r="O122" s="41"/>
      <c r="Q122" s="54">
        <f t="shared" si="5"/>
        <v>0.30838674001716038</v>
      </c>
      <c r="S122" s="28" t="s">
        <v>586</v>
      </c>
      <c r="T122" s="28">
        <v>-1.78777608104583E-3</v>
      </c>
      <c r="U122" s="28">
        <v>-1.76715304281664E-3</v>
      </c>
      <c r="V122" s="28">
        <v>-2.23724768817738E-3</v>
      </c>
      <c r="W122" s="28">
        <v>-1.75180350604007E-3</v>
      </c>
      <c r="X122" s="28">
        <v>-2.23015165031221E-3</v>
      </c>
      <c r="Y122" s="28">
        <v>-2.3440246903933901E-3</v>
      </c>
      <c r="Z122" s="28">
        <v>-2.2295439344018498E-3</v>
      </c>
      <c r="AA122" s="28">
        <v>-1.7480183056361399E-3</v>
      </c>
      <c r="AB122" s="28">
        <v>-2.23020691364144E-3</v>
      </c>
      <c r="AC122" s="28">
        <v>-1.7470003760903601E-3</v>
      </c>
      <c r="AD122" s="28">
        <v>-2.0072926188555301E-3</v>
      </c>
      <c r="AE122" s="28">
        <v>2.6270491137632998E-4</v>
      </c>
    </row>
    <row r="123" spans="2:31" x14ac:dyDescent="0.25">
      <c r="B123" s="28" t="s">
        <v>587</v>
      </c>
      <c r="C123" s="28">
        <v>1.5</v>
      </c>
      <c r="D123" s="28">
        <v>2.0512820512820502</v>
      </c>
      <c r="E123" s="28">
        <v>1.47727272727272</v>
      </c>
      <c r="F123" s="28">
        <v>1.8076923076922999</v>
      </c>
      <c r="G123" s="28">
        <v>1.65116279069767</v>
      </c>
      <c r="H123" s="28">
        <v>1.84615384615384</v>
      </c>
      <c r="I123" s="28">
        <v>1.9756097560975601</v>
      </c>
      <c r="J123" s="28">
        <v>1.5333333333333301</v>
      </c>
      <c r="K123" s="28">
        <v>1.67241379310344</v>
      </c>
      <c r="L123" s="28">
        <v>1.6122448979591799</v>
      </c>
      <c r="M123" s="28">
        <v>1.7127165503592101</v>
      </c>
      <c r="N123" s="28">
        <v>0.19970354031030699</v>
      </c>
      <c r="O123" s="41"/>
      <c r="Q123" s="54">
        <f t="shared" si="5"/>
        <v>0.97569531657553932</v>
      </c>
      <c r="S123" s="28" t="s">
        <v>587</v>
      </c>
      <c r="T123" s="28">
        <v>1.5757575757575699</v>
      </c>
      <c r="U123" s="28">
        <v>1.8196721311475399</v>
      </c>
      <c r="V123" s="28">
        <v>1.64150943396226</v>
      </c>
      <c r="W123" s="28">
        <v>1.5128205128205101</v>
      </c>
      <c r="X123" s="28">
        <v>1.7636363636363599</v>
      </c>
      <c r="Y123" s="28">
        <v>2.2542372881355899</v>
      </c>
      <c r="Z123" s="28">
        <v>1.6595744680850999</v>
      </c>
      <c r="AA123" s="28">
        <v>1.45</v>
      </c>
      <c r="AB123" s="28">
        <v>1.6428571428571399</v>
      </c>
      <c r="AC123" s="28">
        <v>1.7777777777777699</v>
      </c>
      <c r="AD123" s="28">
        <v>1.7097842694179799</v>
      </c>
      <c r="AE123" s="28">
        <v>0.224087050847219</v>
      </c>
    </row>
    <row r="124" spans="2:31" x14ac:dyDescent="0.25">
      <c r="B124" s="28" t="s">
        <v>588</v>
      </c>
      <c r="C124" s="28">
        <v>1</v>
      </c>
      <c r="D124" s="28">
        <v>2</v>
      </c>
      <c r="E124" s="28">
        <v>1</v>
      </c>
      <c r="F124" s="28">
        <v>2</v>
      </c>
      <c r="G124" s="28">
        <v>1</v>
      </c>
      <c r="H124" s="28">
        <v>2</v>
      </c>
      <c r="I124" s="28">
        <v>2</v>
      </c>
      <c r="J124" s="28">
        <v>1</v>
      </c>
      <c r="K124" s="28">
        <v>1</v>
      </c>
      <c r="L124" s="28">
        <v>1</v>
      </c>
      <c r="M124" s="28">
        <v>1.4</v>
      </c>
      <c r="N124" s="28">
        <v>0.51639777949432197</v>
      </c>
      <c r="O124" s="41"/>
      <c r="Q124" s="54">
        <f t="shared" si="5"/>
        <v>1</v>
      </c>
      <c r="S124" s="28" t="s">
        <v>588</v>
      </c>
      <c r="T124" s="28">
        <v>1</v>
      </c>
      <c r="U124" s="28">
        <v>2</v>
      </c>
      <c r="V124" s="28">
        <v>1</v>
      </c>
      <c r="W124" s="28">
        <v>1</v>
      </c>
      <c r="X124" s="28">
        <v>2</v>
      </c>
      <c r="Y124" s="28">
        <v>2</v>
      </c>
      <c r="Z124" s="28">
        <v>1</v>
      </c>
      <c r="AA124" s="28">
        <v>1</v>
      </c>
      <c r="AB124" s="28">
        <v>1</v>
      </c>
      <c r="AC124" s="28">
        <v>2</v>
      </c>
      <c r="AD124" s="28">
        <v>1.4</v>
      </c>
      <c r="AE124" s="28">
        <v>0.51639777949432197</v>
      </c>
    </row>
    <row r="125" spans="2:31" x14ac:dyDescent="0.25">
      <c r="B125" s="28" t="s">
        <v>589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41"/>
      <c r="Q125" s="54" t="e">
        <f t="shared" si="5"/>
        <v>#DIV/0!</v>
      </c>
      <c r="S125" s="28" t="s">
        <v>589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FED_METAFILE</vt:lpstr>
      <vt:lpstr>BODYWEIGHT</vt:lpstr>
      <vt:lpstr>FOOD_INTAKE</vt:lpstr>
      <vt:lpstr>BODY_COMPOSITION</vt:lpstr>
      <vt:lpstr>S1_CAS20_CAS5</vt:lpstr>
      <vt:lpstr>S2_CAS20_SUC</vt:lpstr>
      <vt:lpstr>S3_CAS5_SUC</vt:lpstr>
      <vt:lpstr>S4_CE_CAS5_SUC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Taghipourbibalan</dc:creator>
  <cp:lastModifiedBy>Hamid Taghipourbibalan</cp:lastModifiedBy>
  <dcterms:created xsi:type="dcterms:W3CDTF">2015-06-05T18:17:20Z</dcterms:created>
  <dcterms:modified xsi:type="dcterms:W3CDTF">2023-12-21T15:02:40Z</dcterms:modified>
</cp:coreProperties>
</file>