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universitetetitromso.sharepoint.com/sites/O365-Pipette2/Shared Documents/People/Hamid/EXPERIMENTS/FED Experiments/FEDX Experiments/FEDXB 12 Female Mice/"/>
    </mc:Choice>
  </mc:AlternateContent>
  <xr:revisionPtr revIDLastSave="2631" documentId="13_ncr:1_{9D4FA498-BE34-4617-B161-8FB54C86DB21}" xr6:coauthVersionLast="47" xr6:coauthVersionMax="47" xr10:uidLastSave="{43D8FD76-A0A1-400D-BFFF-750FA0D9915C}"/>
  <bookViews>
    <workbookView xWindow="-120" yWindow="-120" windowWidth="30960" windowHeight="15720" firstSheet="1" activeTab="9" xr2:uid="{00000000-000D-0000-FFFF-FFFF00000000}"/>
  </bookViews>
  <sheets>
    <sheet name="FEDXA Overal Scheme" sheetId="1" r:id="rId1"/>
    <sheet name="FEDXB01" sheetId="2" r:id="rId2"/>
    <sheet name="FEDXB02" sheetId="3" r:id="rId3"/>
    <sheet name="FEDXB03" sheetId="4" r:id="rId4"/>
    <sheet name="FEDXB04" sheetId="5" r:id="rId5"/>
    <sheet name="FEDXB05" sheetId="6" r:id="rId6"/>
    <sheet name="FEDXB06" sheetId="7" r:id="rId7"/>
    <sheet name="FEDXB07" sheetId="8" r:id="rId8"/>
    <sheet name="FEDXB08" sheetId="9" r:id="rId9"/>
    <sheet name="FEDXB09" sheetId="10" r:id="rId10"/>
    <sheet name="FEDXB10" sheetId="11" r:id="rId11"/>
    <sheet name="FEDXB11" sheetId="12" r:id="rId12"/>
    <sheet name="FEDXB12" sheetId="13" r:id="rId13"/>
    <sheet name="Analysis" sheetId="14"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64" i="14" l="1"/>
  <c r="Y32" i="14"/>
  <c r="H20" i="13"/>
  <c r="H19" i="13"/>
  <c r="H19" i="12"/>
  <c r="H20" i="11"/>
  <c r="H19" i="11"/>
  <c r="H20" i="9"/>
  <c r="H19" i="9"/>
  <c r="H20" i="8"/>
  <c r="H19" i="8"/>
  <c r="H20" i="7"/>
  <c r="H19" i="7"/>
  <c r="H20" i="6"/>
  <c r="H19" i="6"/>
  <c r="H20" i="5"/>
  <c r="H20" i="4"/>
  <c r="H19" i="4"/>
  <c r="H20" i="3"/>
  <c r="H19" i="3"/>
  <c r="H20" i="2"/>
  <c r="H19" i="2"/>
  <c r="H18" i="13"/>
  <c r="H18" i="12"/>
  <c r="H18" i="11"/>
  <c r="H18" i="9"/>
  <c r="H18" i="8"/>
  <c r="H18" i="7"/>
  <c r="H18" i="6"/>
  <c r="H18" i="5"/>
  <c r="H18" i="4"/>
  <c r="H18" i="3"/>
  <c r="H18" i="2"/>
  <c r="H17" i="13"/>
  <c r="H17" i="12"/>
  <c r="H17" i="11"/>
  <c r="H17" i="9"/>
  <c r="H17" i="8"/>
  <c r="H17" i="7"/>
  <c r="H17" i="6"/>
  <c r="H17" i="5"/>
  <c r="H17" i="4"/>
  <c r="H17" i="3"/>
  <c r="H17" i="2"/>
  <c r="H16" i="13"/>
  <c r="H16" i="11"/>
  <c r="H16" i="9"/>
  <c r="H16" i="8"/>
  <c r="H16" i="7"/>
  <c r="H16" i="6"/>
  <c r="H16" i="5"/>
  <c r="H16" i="4"/>
  <c r="H16" i="3"/>
  <c r="H16" i="2"/>
  <c r="H15" i="13"/>
  <c r="H15" i="12"/>
  <c r="H15" i="11"/>
  <c r="H15" i="8"/>
  <c r="H15" i="7"/>
  <c r="H15" i="6"/>
  <c r="H15" i="5"/>
  <c r="H15" i="4"/>
  <c r="E15" i="4"/>
  <c r="H15" i="3"/>
  <c r="H15" i="2"/>
  <c r="H13" i="13"/>
  <c r="H13" i="12"/>
  <c r="H13" i="11"/>
  <c r="H13" i="9"/>
  <c r="H13" i="8"/>
  <c r="H13" i="6"/>
  <c r="H13" i="5"/>
  <c r="H13" i="3"/>
  <c r="H13" i="2"/>
  <c r="H12" i="13"/>
  <c r="H11" i="13"/>
  <c r="H10" i="13"/>
  <c r="H12" i="12"/>
  <c r="H11" i="12"/>
  <c r="H10" i="12"/>
  <c r="H12" i="11"/>
  <c r="H11" i="11"/>
  <c r="H10" i="11"/>
  <c r="H12" i="10"/>
  <c r="H11" i="10"/>
  <c r="H10" i="10"/>
  <c r="H12" i="9"/>
  <c r="H11" i="9"/>
  <c r="H10" i="9"/>
  <c r="H12" i="8"/>
  <c r="H11" i="8"/>
  <c r="H10" i="8"/>
  <c r="H12" i="7"/>
  <c r="H11" i="7"/>
  <c r="H10" i="7"/>
  <c r="H12" i="6"/>
  <c r="H11" i="6"/>
  <c r="H10" i="6"/>
  <c r="H12" i="5"/>
  <c r="H11" i="5"/>
  <c r="H10" i="5"/>
  <c r="H12" i="4"/>
  <c r="H12" i="3"/>
  <c r="H11" i="3"/>
  <c r="H10" i="3"/>
  <c r="H12" i="2"/>
  <c r="H11" i="2"/>
  <c r="H10" i="2"/>
  <c r="H9" i="13"/>
  <c r="H9" i="12"/>
  <c r="H9" i="9"/>
  <c r="H9" i="8"/>
  <c r="H9" i="7"/>
  <c r="H9" i="6"/>
  <c r="H9" i="5"/>
  <c r="H9" i="4"/>
  <c r="H9" i="3"/>
  <c r="H8" i="13"/>
  <c r="H8" i="11"/>
  <c r="H8" i="9"/>
  <c r="H8" i="8"/>
  <c r="H8" i="7"/>
  <c r="H8" i="6"/>
  <c r="H8" i="5"/>
  <c r="H8" i="4"/>
  <c r="H6" i="13"/>
  <c r="H5" i="13"/>
  <c r="H7" i="12"/>
  <c r="H6" i="12"/>
  <c r="H5" i="12"/>
  <c r="H6" i="11"/>
  <c r="H5" i="11"/>
  <c r="H7" i="10"/>
  <c r="H6" i="10"/>
  <c r="H5" i="10"/>
  <c r="H6" i="9"/>
  <c r="H5" i="9"/>
  <c r="H6" i="8"/>
  <c r="H5" i="8"/>
  <c r="H6" i="7"/>
  <c r="H5" i="7"/>
  <c r="H6" i="6"/>
  <c r="H5" i="6"/>
  <c r="H6" i="5"/>
  <c r="H5" i="5"/>
  <c r="H6" i="4"/>
  <c r="H5" i="4"/>
  <c r="H7" i="3"/>
  <c r="H6" i="3"/>
  <c r="H5" i="3"/>
  <c r="H6" i="2"/>
  <c r="H5" i="2"/>
  <c r="I5" i="2"/>
  <c r="I6" i="2"/>
  <c r="I7" i="2"/>
  <c r="I8" i="2"/>
  <c r="I9" i="2"/>
  <c r="I10" i="2"/>
  <c r="I11" i="2"/>
  <c r="I12" i="2"/>
  <c r="I13" i="2"/>
  <c r="I14" i="2"/>
  <c r="I15" i="2"/>
  <c r="I16" i="2"/>
  <c r="I17" i="2"/>
  <c r="I18" i="2"/>
  <c r="I19" i="2"/>
  <c r="I20" i="2"/>
  <c r="I21" i="2"/>
  <c r="I22" i="2"/>
  <c r="I23" i="2"/>
  <c r="I24" i="2"/>
  <c r="I25" i="2"/>
  <c r="I26" i="2"/>
  <c r="I27" i="2"/>
  <c r="I28" i="2"/>
  <c r="I4" i="2"/>
  <c r="N75" i="14" a="1"/>
  <c r="N75" i="14" s="1"/>
  <c r="J28" i="3" l="1"/>
  <c r="I28" i="3"/>
  <c r="J28" i="2"/>
  <c r="J28" i="4"/>
  <c r="J28" i="5"/>
  <c r="J28" i="6"/>
  <c r="J28" i="7"/>
  <c r="J27" i="2"/>
  <c r="J26" i="2"/>
  <c r="J25" i="2"/>
  <c r="J24" i="2"/>
  <c r="J23" i="2"/>
  <c r="J27" i="3"/>
  <c r="I27" i="3"/>
  <c r="J26" i="3"/>
  <c r="I26" i="3"/>
  <c r="J25" i="3"/>
  <c r="I25" i="3"/>
  <c r="J24" i="3"/>
  <c r="I24" i="3"/>
  <c r="J23" i="3"/>
  <c r="I23" i="3"/>
  <c r="J27" i="4"/>
  <c r="I27" i="4"/>
  <c r="J26" i="4"/>
  <c r="I26" i="4"/>
  <c r="J25" i="4"/>
  <c r="I25" i="4"/>
  <c r="J24" i="4"/>
  <c r="I24" i="4"/>
  <c r="J23" i="4"/>
  <c r="I23" i="4"/>
  <c r="J27" i="5"/>
  <c r="I27" i="5"/>
  <c r="J26" i="5"/>
  <c r="I26" i="5"/>
  <c r="J25" i="5"/>
  <c r="I25" i="5"/>
  <c r="J24" i="5"/>
  <c r="I24" i="5"/>
  <c r="J23" i="5"/>
  <c r="I23" i="5"/>
  <c r="J27" i="6"/>
  <c r="I27" i="6"/>
  <c r="J26" i="6"/>
  <c r="I26" i="6"/>
  <c r="J25" i="6"/>
  <c r="I25" i="6"/>
  <c r="J24" i="6"/>
  <c r="I24" i="6"/>
  <c r="J23" i="6"/>
  <c r="I23" i="6"/>
  <c r="J27" i="7"/>
  <c r="I27" i="7"/>
  <c r="J26" i="7"/>
  <c r="I26" i="7"/>
  <c r="J25" i="7"/>
  <c r="I25" i="7"/>
  <c r="J24" i="7"/>
  <c r="I24" i="7"/>
  <c r="J23" i="7"/>
  <c r="I23" i="7"/>
  <c r="J27" i="8"/>
  <c r="I27" i="8"/>
  <c r="J26" i="8"/>
  <c r="I26" i="8"/>
  <c r="J25" i="8"/>
  <c r="I25" i="8"/>
  <c r="J24" i="8"/>
  <c r="I24" i="8"/>
  <c r="J23" i="8"/>
  <c r="I23" i="8"/>
  <c r="J27" i="9"/>
  <c r="I27" i="9"/>
  <c r="J26" i="9"/>
  <c r="I26" i="9"/>
  <c r="J25" i="9"/>
  <c r="I25" i="9"/>
  <c r="J24" i="9"/>
  <c r="I24" i="9"/>
  <c r="J23" i="9"/>
  <c r="I23" i="9"/>
  <c r="I28" i="10"/>
  <c r="J27" i="10"/>
  <c r="I27" i="10"/>
  <c r="J26" i="10"/>
  <c r="I26" i="10"/>
  <c r="J25" i="10"/>
  <c r="I25" i="10"/>
  <c r="J24" i="10"/>
  <c r="I24" i="10"/>
  <c r="J23" i="10"/>
  <c r="I23" i="10"/>
  <c r="J27" i="11"/>
  <c r="I27" i="11"/>
  <c r="J26" i="11"/>
  <c r="I26" i="11"/>
  <c r="J25" i="11"/>
  <c r="I25" i="11"/>
  <c r="J24" i="11"/>
  <c r="I24" i="11"/>
  <c r="J23" i="11"/>
  <c r="I23" i="11"/>
  <c r="J27" i="12"/>
  <c r="I27" i="12"/>
  <c r="J26" i="12"/>
  <c r="I26" i="12"/>
  <c r="J25" i="12"/>
  <c r="I25" i="12"/>
  <c r="J24" i="12"/>
  <c r="I24" i="12"/>
  <c r="J23" i="12"/>
  <c r="I23" i="12"/>
  <c r="J24" i="13"/>
  <c r="J25" i="13"/>
  <c r="J26" i="13"/>
  <c r="J27" i="13"/>
  <c r="J23" i="13"/>
  <c r="I23" i="13"/>
  <c r="I24" i="13"/>
  <c r="I25" i="13"/>
  <c r="I26" i="13"/>
  <c r="I27" i="13"/>
  <c r="I28" i="13"/>
  <c r="AG1" i="14"/>
  <c r="AH1" i="14"/>
  <c r="AO1" i="14"/>
  <c r="AG2" i="14"/>
  <c r="AI2" i="14"/>
  <c r="AJ2" i="14"/>
  <c r="AK2" i="14"/>
  <c r="AL2" i="14"/>
  <c r="AM2" i="14"/>
  <c r="AN2" i="14"/>
  <c r="AP2" i="14"/>
  <c r="AQ2" i="14"/>
  <c r="AR2" i="14"/>
  <c r="AS2" i="14"/>
  <c r="AT2" i="14"/>
  <c r="AU2" i="14"/>
  <c r="AG3" i="14"/>
  <c r="AG4" i="14"/>
  <c r="AG5" i="14"/>
  <c r="AG6" i="14"/>
  <c r="AG7" i="14"/>
  <c r="AG8" i="14"/>
  <c r="AG9" i="14"/>
  <c r="AG10" i="14"/>
  <c r="AG11" i="14"/>
  <c r="AG12" i="14"/>
  <c r="AG13" i="14"/>
  <c r="AG14" i="14"/>
  <c r="AG15" i="14"/>
  <c r="AG16" i="14"/>
  <c r="AG17" i="14"/>
  <c r="AG18" i="14"/>
  <c r="AG19" i="14"/>
  <c r="O75" i="14" a="1"/>
  <c r="O75" i="14" s="1"/>
  <c r="O95" i="14" s="1"/>
  <c r="N95" i="14"/>
  <c r="M75" i="14" a="1"/>
  <c r="M75" i="14" s="1"/>
  <c r="M95" i="14" s="1"/>
  <c r="K75" i="14" a="1"/>
  <c r="K75" i="14" s="1"/>
  <c r="K95" i="14" s="1"/>
  <c r="J75" i="14" a="1"/>
  <c r="J75" i="14" s="1"/>
  <c r="J95" i="14" s="1"/>
  <c r="H75" i="14" a="1"/>
  <c r="H75" i="14" s="1"/>
  <c r="H95" i="14" s="1"/>
  <c r="G75" i="14" a="1"/>
  <c r="G75" i="14" s="1"/>
  <c r="G95" i="14" s="1"/>
  <c r="F75" i="14" a="1"/>
  <c r="F75" i="14" s="1"/>
  <c r="F95" i="14" s="1"/>
  <c r="E75" i="14" a="1"/>
  <c r="E75" i="14" s="1"/>
  <c r="E95" i="14" s="1"/>
  <c r="C75" i="14" a="1"/>
  <c r="C75" i="14" s="1"/>
  <c r="C95" i="14" s="1"/>
  <c r="D75" i="14" a="1"/>
  <c r="D75" i="14" s="1"/>
  <c r="D95" i="14" s="1"/>
  <c r="O45" i="14" a="1"/>
  <c r="O45" i="14" s="1"/>
  <c r="O64" i="14" s="1"/>
  <c r="N45" i="14" a="1"/>
  <c r="N45" i="14" s="1"/>
  <c r="N64" i="14" s="1"/>
  <c r="M45" i="14" a="1"/>
  <c r="M45" i="14" s="1"/>
  <c r="M64" i="14" s="1"/>
  <c r="K45" i="14" a="1"/>
  <c r="K45" i="14" s="1"/>
  <c r="K64" i="14" s="1"/>
  <c r="J45" i="14" a="1"/>
  <c r="J45" i="14" s="1"/>
  <c r="J64" i="14" s="1"/>
  <c r="H45" i="14" a="1"/>
  <c r="H45" i="14" s="1"/>
  <c r="H64" i="14" s="1"/>
  <c r="G45" i="14" a="1"/>
  <c r="G45" i="14" s="1"/>
  <c r="G64" i="14" s="1"/>
  <c r="F45" i="14" a="1"/>
  <c r="F45" i="14" s="1"/>
  <c r="F64" i="14" s="1"/>
  <c r="E45" i="14" a="1"/>
  <c r="E45" i="14" s="1"/>
  <c r="E64" i="14" s="1"/>
  <c r="D45" i="14" a="1"/>
  <c r="D45" i="14" s="1"/>
  <c r="D64" i="14" s="1"/>
  <c r="C45" i="14" a="1"/>
  <c r="C45" i="14" s="1"/>
  <c r="C64" i="14" s="1"/>
  <c r="I19" i="13"/>
  <c r="I18" i="13"/>
  <c r="I17" i="13"/>
  <c r="I16" i="13"/>
  <c r="I18" i="12"/>
  <c r="I19" i="10"/>
  <c r="I17" i="10"/>
  <c r="I17" i="12"/>
  <c r="I13" i="12"/>
  <c r="I13" i="10"/>
  <c r="I12" i="10"/>
  <c r="I12" i="4"/>
  <c r="I11" i="13"/>
  <c r="I10" i="13"/>
  <c r="I9" i="13"/>
  <c r="I8" i="13"/>
  <c r="I10" i="12"/>
  <c r="I10" i="11"/>
  <c r="I9" i="11"/>
  <c r="I9" i="10"/>
  <c r="I6" i="13"/>
  <c r="H3" i="14" a="1"/>
  <c r="H3" i="14" s="1"/>
  <c r="H32" i="14" s="1"/>
  <c r="N3" i="14" a="1"/>
  <c r="M3" i="14" a="1"/>
  <c r="K3" i="14" a="1"/>
  <c r="J3" i="14" a="1"/>
  <c r="G3" i="14" a="1"/>
  <c r="F3" i="14" a="1"/>
  <c r="E3" i="14" a="1"/>
  <c r="D3" i="14" a="1"/>
  <c r="F7" i="2"/>
  <c r="F7" i="13"/>
  <c r="F7" i="12"/>
  <c r="F7" i="11"/>
  <c r="F7" i="10"/>
  <c r="F7" i="9"/>
  <c r="F7" i="8"/>
  <c r="F7" i="7"/>
  <c r="F7" i="6"/>
  <c r="F7" i="5"/>
  <c r="F7" i="4"/>
  <c r="F7" i="3"/>
  <c r="F25" i="13"/>
  <c r="F24" i="13"/>
  <c r="F23" i="13"/>
  <c r="I22" i="13"/>
  <c r="F22" i="13"/>
  <c r="I21" i="13"/>
  <c r="F21" i="13"/>
  <c r="I20" i="13"/>
  <c r="F20" i="13"/>
  <c r="F19" i="13"/>
  <c r="F18" i="13"/>
  <c r="F17" i="13"/>
  <c r="F16" i="13"/>
  <c r="I15" i="13"/>
  <c r="F15" i="13"/>
  <c r="I14" i="13"/>
  <c r="F14" i="13"/>
  <c r="I13" i="13"/>
  <c r="F13" i="13"/>
  <c r="I12" i="13"/>
  <c r="F12" i="13"/>
  <c r="F11" i="13"/>
  <c r="F10" i="13"/>
  <c r="F9" i="13"/>
  <c r="F8" i="13"/>
  <c r="I7" i="13"/>
  <c r="F6" i="13"/>
  <c r="I5" i="13"/>
  <c r="F5" i="13"/>
  <c r="I4" i="13"/>
  <c r="F4" i="13"/>
  <c r="I28" i="12"/>
  <c r="F25" i="12"/>
  <c r="F24" i="12"/>
  <c r="F23" i="12"/>
  <c r="I22" i="12"/>
  <c r="F22" i="12"/>
  <c r="I21" i="12"/>
  <c r="F21" i="12"/>
  <c r="I20" i="12"/>
  <c r="F20" i="12"/>
  <c r="I19" i="12"/>
  <c r="F19" i="12"/>
  <c r="F18" i="12"/>
  <c r="F17" i="12"/>
  <c r="I16" i="12"/>
  <c r="F16" i="12"/>
  <c r="I15" i="12"/>
  <c r="F15" i="12"/>
  <c r="I14" i="12"/>
  <c r="F14" i="12"/>
  <c r="F13" i="12"/>
  <c r="I12" i="12"/>
  <c r="F12" i="12"/>
  <c r="I11" i="12"/>
  <c r="F11" i="12"/>
  <c r="F10" i="12"/>
  <c r="I9" i="12"/>
  <c r="F9" i="12"/>
  <c r="I8" i="12"/>
  <c r="F8" i="12"/>
  <c r="I7" i="12"/>
  <c r="I6" i="12"/>
  <c r="F6" i="12"/>
  <c r="I5" i="12"/>
  <c r="F5" i="12"/>
  <c r="I4" i="12"/>
  <c r="F4" i="12"/>
  <c r="I28" i="11"/>
  <c r="F25" i="11"/>
  <c r="F24" i="11"/>
  <c r="F23" i="11"/>
  <c r="I22" i="11"/>
  <c r="F22" i="11"/>
  <c r="I21" i="11"/>
  <c r="F21" i="11"/>
  <c r="I20" i="11"/>
  <c r="F20" i="11"/>
  <c r="I19" i="11"/>
  <c r="F19" i="11"/>
  <c r="I18" i="11"/>
  <c r="F18" i="11"/>
  <c r="I17" i="11"/>
  <c r="F17" i="11"/>
  <c r="I16" i="11"/>
  <c r="F16" i="11"/>
  <c r="I15" i="11"/>
  <c r="F15" i="11"/>
  <c r="I14" i="11"/>
  <c r="F14" i="11"/>
  <c r="I13" i="11"/>
  <c r="F13" i="11"/>
  <c r="I12" i="11"/>
  <c r="F12" i="11"/>
  <c r="I11" i="11"/>
  <c r="F11" i="11"/>
  <c r="F10" i="11"/>
  <c r="F9" i="11"/>
  <c r="I8" i="11"/>
  <c r="F8" i="11"/>
  <c r="I7" i="11"/>
  <c r="I6" i="11"/>
  <c r="F6" i="11"/>
  <c r="F5" i="11"/>
  <c r="I4" i="11"/>
  <c r="F4" i="11"/>
  <c r="F25" i="10"/>
  <c r="F24" i="10"/>
  <c r="F23" i="10"/>
  <c r="I22" i="10"/>
  <c r="F22" i="10"/>
  <c r="I21" i="10"/>
  <c r="F21" i="10"/>
  <c r="I20" i="10"/>
  <c r="F20" i="10"/>
  <c r="F19" i="10"/>
  <c r="I18" i="10"/>
  <c r="F18" i="10"/>
  <c r="F17" i="10"/>
  <c r="I16" i="10"/>
  <c r="F16" i="10"/>
  <c r="I15" i="10"/>
  <c r="F15" i="10"/>
  <c r="I14" i="10"/>
  <c r="F14" i="10"/>
  <c r="F13" i="10"/>
  <c r="F12" i="10"/>
  <c r="I11" i="10"/>
  <c r="F11" i="10"/>
  <c r="I10" i="10"/>
  <c r="F10" i="10"/>
  <c r="F9" i="10"/>
  <c r="I8" i="10"/>
  <c r="F8" i="10"/>
  <c r="I7" i="10"/>
  <c r="I6" i="10"/>
  <c r="F6" i="10"/>
  <c r="I5" i="10"/>
  <c r="F5" i="10"/>
  <c r="I4" i="10"/>
  <c r="F4" i="10"/>
  <c r="I28" i="9"/>
  <c r="F25" i="9"/>
  <c r="F24" i="9"/>
  <c r="F23" i="9"/>
  <c r="I22" i="9"/>
  <c r="F22" i="9"/>
  <c r="I21" i="9"/>
  <c r="F21" i="9"/>
  <c r="I20" i="9"/>
  <c r="F20" i="9"/>
  <c r="I19" i="9"/>
  <c r="F19" i="9"/>
  <c r="I18" i="9"/>
  <c r="F18" i="9"/>
  <c r="I17" i="9"/>
  <c r="F17" i="9"/>
  <c r="I16" i="9"/>
  <c r="F16" i="9"/>
  <c r="I15" i="9"/>
  <c r="F15" i="9"/>
  <c r="I14" i="9"/>
  <c r="F14" i="9"/>
  <c r="I13" i="9"/>
  <c r="F13" i="9"/>
  <c r="I12" i="9"/>
  <c r="F12" i="9"/>
  <c r="I11" i="9"/>
  <c r="F11" i="9"/>
  <c r="I10" i="9"/>
  <c r="F10" i="9"/>
  <c r="I9" i="9"/>
  <c r="F9" i="9"/>
  <c r="I8" i="9"/>
  <c r="F8" i="9"/>
  <c r="I7" i="9"/>
  <c r="I6" i="9"/>
  <c r="F6" i="9"/>
  <c r="I5" i="9"/>
  <c r="F5" i="9"/>
  <c r="I4" i="9"/>
  <c r="F4" i="9"/>
  <c r="I28" i="8"/>
  <c r="F25" i="8"/>
  <c r="F24" i="8"/>
  <c r="F23" i="8"/>
  <c r="I22" i="8"/>
  <c r="F22" i="8"/>
  <c r="I21" i="8"/>
  <c r="F21" i="8"/>
  <c r="I20" i="8"/>
  <c r="F20" i="8"/>
  <c r="I19" i="8"/>
  <c r="F19" i="8"/>
  <c r="I18" i="8"/>
  <c r="F18" i="8"/>
  <c r="I17" i="8"/>
  <c r="F17" i="8"/>
  <c r="I16" i="8"/>
  <c r="F16" i="8"/>
  <c r="I15" i="8"/>
  <c r="F15" i="8"/>
  <c r="I14" i="8"/>
  <c r="F14" i="8"/>
  <c r="I13" i="8"/>
  <c r="F13" i="8"/>
  <c r="I12" i="8"/>
  <c r="F12" i="8"/>
  <c r="I11" i="8"/>
  <c r="F11" i="8"/>
  <c r="I10" i="8"/>
  <c r="F10" i="8"/>
  <c r="I9" i="8"/>
  <c r="F9" i="8"/>
  <c r="I8" i="8"/>
  <c r="F8" i="8"/>
  <c r="I7" i="8"/>
  <c r="I6" i="8"/>
  <c r="F6" i="8"/>
  <c r="I5" i="8"/>
  <c r="F5" i="8"/>
  <c r="I4" i="8"/>
  <c r="F4" i="8"/>
  <c r="I28" i="7"/>
  <c r="F28" i="7"/>
  <c r="F27" i="7"/>
  <c r="F26" i="7"/>
  <c r="F25" i="7"/>
  <c r="F24" i="7"/>
  <c r="F23" i="7"/>
  <c r="I22" i="7"/>
  <c r="F22" i="7"/>
  <c r="I21" i="7"/>
  <c r="F21" i="7"/>
  <c r="I20" i="7"/>
  <c r="F20" i="7"/>
  <c r="I19" i="7"/>
  <c r="F19" i="7"/>
  <c r="I18" i="7"/>
  <c r="F18" i="7"/>
  <c r="I17" i="7"/>
  <c r="F17" i="7"/>
  <c r="I16" i="7"/>
  <c r="F16" i="7"/>
  <c r="I15" i="7"/>
  <c r="F15" i="7"/>
  <c r="I14" i="7"/>
  <c r="F14" i="7"/>
  <c r="I13" i="7"/>
  <c r="F13" i="7"/>
  <c r="I12" i="7"/>
  <c r="F12" i="7"/>
  <c r="I11" i="7"/>
  <c r="F11" i="7"/>
  <c r="I10" i="7"/>
  <c r="F10" i="7"/>
  <c r="I9" i="7"/>
  <c r="F9" i="7"/>
  <c r="I8" i="7"/>
  <c r="F8" i="7"/>
  <c r="I7" i="7"/>
  <c r="I6" i="7"/>
  <c r="F6" i="7"/>
  <c r="I5" i="7"/>
  <c r="F5" i="7"/>
  <c r="I4" i="7"/>
  <c r="F4" i="7"/>
  <c r="I28" i="6"/>
  <c r="F28" i="6"/>
  <c r="F27" i="6"/>
  <c r="F26" i="6"/>
  <c r="F25" i="6"/>
  <c r="F24" i="6"/>
  <c r="F23" i="6"/>
  <c r="I22" i="6"/>
  <c r="F22" i="6"/>
  <c r="I21" i="6"/>
  <c r="F21" i="6"/>
  <c r="I20" i="6"/>
  <c r="F20" i="6"/>
  <c r="I19" i="6"/>
  <c r="F19" i="6"/>
  <c r="I18" i="6"/>
  <c r="F18" i="6"/>
  <c r="I17" i="6"/>
  <c r="F17" i="6"/>
  <c r="I16" i="6"/>
  <c r="F16" i="6"/>
  <c r="I15" i="6"/>
  <c r="F15" i="6"/>
  <c r="I14" i="6"/>
  <c r="F14" i="6"/>
  <c r="I13" i="6"/>
  <c r="F13" i="6"/>
  <c r="I12" i="6"/>
  <c r="F12" i="6"/>
  <c r="I11" i="6"/>
  <c r="F11" i="6"/>
  <c r="I10" i="6"/>
  <c r="F10" i="6"/>
  <c r="I9" i="6"/>
  <c r="F9" i="6"/>
  <c r="I8" i="6"/>
  <c r="F8" i="6"/>
  <c r="I7" i="6"/>
  <c r="I6" i="6"/>
  <c r="F6" i="6"/>
  <c r="I5" i="6"/>
  <c r="F5" i="6"/>
  <c r="I4" i="6"/>
  <c r="F4" i="6"/>
  <c r="I28" i="5"/>
  <c r="F28" i="5"/>
  <c r="F27" i="5"/>
  <c r="F26" i="5"/>
  <c r="F25" i="5"/>
  <c r="F24" i="5"/>
  <c r="F23" i="5"/>
  <c r="I22" i="5"/>
  <c r="F22" i="5"/>
  <c r="I21" i="5"/>
  <c r="F21" i="5"/>
  <c r="I20" i="5"/>
  <c r="F20" i="5"/>
  <c r="I19" i="5"/>
  <c r="F19" i="5"/>
  <c r="I18" i="5"/>
  <c r="F18" i="5"/>
  <c r="I17" i="5"/>
  <c r="F17" i="5"/>
  <c r="I16" i="5"/>
  <c r="F16" i="5"/>
  <c r="I15" i="5"/>
  <c r="F15" i="5"/>
  <c r="I14" i="5"/>
  <c r="F14" i="5"/>
  <c r="I13" i="5"/>
  <c r="F13" i="5"/>
  <c r="I12" i="5"/>
  <c r="F12" i="5"/>
  <c r="I11" i="5"/>
  <c r="F11" i="5"/>
  <c r="I10" i="5"/>
  <c r="F10" i="5"/>
  <c r="I9" i="5"/>
  <c r="F9" i="5"/>
  <c r="I8" i="5"/>
  <c r="F8" i="5"/>
  <c r="I7" i="5"/>
  <c r="I6" i="5"/>
  <c r="F6" i="5"/>
  <c r="I5" i="5"/>
  <c r="F5" i="5"/>
  <c r="I4" i="5"/>
  <c r="F4" i="5"/>
  <c r="I28" i="4"/>
  <c r="F28" i="4"/>
  <c r="F27" i="4"/>
  <c r="F26" i="4"/>
  <c r="F25" i="4"/>
  <c r="F24" i="4"/>
  <c r="F23" i="4"/>
  <c r="I22" i="4"/>
  <c r="F22" i="4"/>
  <c r="I21" i="4"/>
  <c r="F21" i="4"/>
  <c r="I20" i="4"/>
  <c r="F20" i="4"/>
  <c r="I19" i="4"/>
  <c r="F19" i="4"/>
  <c r="I18" i="4"/>
  <c r="F18" i="4"/>
  <c r="I17" i="4"/>
  <c r="F17" i="4"/>
  <c r="I16" i="4"/>
  <c r="F16" i="4"/>
  <c r="I15" i="4"/>
  <c r="F15" i="4"/>
  <c r="I14" i="4"/>
  <c r="F14" i="4"/>
  <c r="I13" i="4"/>
  <c r="F13" i="4"/>
  <c r="F12" i="4"/>
  <c r="I11" i="4"/>
  <c r="F11" i="4"/>
  <c r="I10" i="4"/>
  <c r="F10" i="4"/>
  <c r="I9" i="4"/>
  <c r="F9" i="4"/>
  <c r="I8" i="4"/>
  <c r="F8" i="4"/>
  <c r="I7" i="4"/>
  <c r="I6" i="4"/>
  <c r="F6" i="4"/>
  <c r="I5" i="4"/>
  <c r="F5" i="4"/>
  <c r="I4" i="4"/>
  <c r="F4" i="4"/>
  <c r="F28" i="3"/>
  <c r="F27" i="3"/>
  <c r="F26" i="3"/>
  <c r="F25" i="3"/>
  <c r="F24" i="3"/>
  <c r="F23" i="3"/>
  <c r="I22" i="3"/>
  <c r="F22" i="3"/>
  <c r="I21" i="3"/>
  <c r="F21" i="3"/>
  <c r="I20" i="3"/>
  <c r="F20" i="3"/>
  <c r="I19" i="3"/>
  <c r="F19" i="3"/>
  <c r="I18" i="3"/>
  <c r="F18" i="3"/>
  <c r="I17" i="3"/>
  <c r="F17" i="3"/>
  <c r="I16" i="3"/>
  <c r="F16" i="3"/>
  <c r="I15" i="3"/>
  <c r="F15" i="3"/>
  <c r="I14" i="3"/>
  <c r="F14" i="3"/>
  <c r="I13" i="3"/>
  <c r="F13" i="3"/>
  <c r="I12" i="3"/>
  <c r="F12" i="3"/>
  <c r="I11" i="3"/>
  <c r="F11" i="3"/>
  <c r="I10" i="3"/>
  <c r="F10" i="3"/>
  <c r="I9" i="3"/>
  <c r="F9" i="3"/>
  <c r="I8" i="3"/>
  <c r="F8" i="3"/>
  <c r="I7" i="3"/>
  <c r="I6" i="3"/>
  <c r="F6" i="3"/>
  <c r="I5" i="3"/>
  <c r="F5" i="3"/>
  <c r="I4" i="3"/>
  <c r="F4" i="3"/>
  <c r="F28" i="2"/>
  <c r="F27" i="2"/>
  <c r="F26" i="2"/>
  <c r="F25" i="2"/>
  <c r="F24" i="2"/>
  <c r="F23" i="2"/>
  <c r="F22" i="2"/>
  <c r="F21" i="2"/>
  <c r="F20" i="2"/>
  <c r="F19" i="2"/>
  <c r="F18" i="2"/>
  <c r="F17" i="2"/>
  <c r="F16" i="2"/>
  <c r="F15" i="2"/>
  <c r="F14" i="2"/>
  <c r="F13" i="2"/>
  <c r="F12" i="2"/>
  <c r="F11" i="2"/>
  <c r="F10" i="2"/>
  <c r="F9" i="2"/>
  <c r="F8" i="2"/>
  <c r="F5" i="2"/>
  <c r="F6" i="2"/>
  <c r="F4" i="2"/>
  <c r="D3" i="14" l="1"/>
  <c r="D32" i="14" s="1"/>
  <c r="AJ12" i="14"/>
  <c r="E3" i="14"/>
  <c r="E32" i="14" s="1"/>
  <c r="AK7" i="14"/>
  <c r="AK15" i="14"/>
  <c r="AK6" i="14"/>
  <c r="F3" i="14"/>
  <c r="AL10" i="14"/>
  <c r="AL18" i="14"/>
  <c r="G3" i="14"/>
  <c r="G32" i="14" s="1"/>
  <c r="AM13" i="14"/>
  <c r="AM4" i="14"/>
  <c r="J3" i="14"/>
  <c r="AP3" i="14" s="1"/>
  <c r="AP9" i="14"/>
  <c r="AP17" i="14"/>
  <c r="K3" i="14"/>
  <c r="K32" i="14" s="1"/>
  <c r="AQ10" i="14"/>
  <c r="AQ18" i="14"/>
  <c r="M3" i="14"/>
  <c r="M32" i="14" s="1"/>
  <c r="M34" i="14"/>
  <c r="AS12" i="14"/>
  <c r="I5" i="11"/>
  <c r="N3" i="14"/>
  <c r="N32" i="14" s="1"/>
  <c r="AT13" i="14"/>
  <c r="AT6" i="14"/>
  <c r="O3" i="14" a="1"/>
  <c r="AU5" i="14" s="1"/>
  <c r="C3" i="14" a="1"/>
  <c r="C3" i="14" s="1"/>
  <c r="T64" i="14"/>
  <c r="AN8" i="14"/>
  <c r="N33" i="14"/>
  <c r="AL4" i="14"/>
  <c r="AJ6" i="14"/>
  <c r="AK18" i="14"/>
  <c r="AM16" i="14"/>
  <c r="AJ15" i="14"/>
  <c r="AL13" i="14"/>
  <c r="AK10" i="14"/>
  <c r="AM8" i="14"/>
  <c r="AJ7" i="14"/>
  <c r="AT4" i="14"/>
  <c r="AS6" i="14"/>
  <c r="AQ19" i="14"/>
  <c r="AP18" i="14"/>
  <c r="AN17" i="14"/>
  <c r="AT14" i="14"/>
  <c r="AS13" i="14"/>
  <c r="AQ11" i="14"/>
  <c r="AP10" i="14"/>
  <c r="AN9" i="14"/>
  <c r="M33" i="14"/>
  <c r="K34" i="14"/>
  <c r="AJ3" i="14"/>
  <c r="AK4" i="14"/>
  <c r="AM19" i="14"/>
  <c r="AJ18" i="14"/>
  <c r="AL16" i="14"/>
  <c r="AK13" i="14"/>
  <c r="AM11" i="14"/>
  <c r="AJ10" i="14"/>
  <c r="AL8" i="14"/>
  <c r="AT5" i="14"/>
  <c r="AS4" i="14"/>
  <c r="AP19" i="14"/>
  <c r="AN18" i="14"/>
  <c r="AT15" i="14"/>
  <c r="AS14" i="14"/>
  <c r="AQ12" i="14"/>
  <c r="AP11" i="14"/>
  <c r="AN10" i="14"/>
  <c r="AT7" i="14"/>
  <c r="S19" i="14"/>
  <c r="AM5" i="14"/>
  <c r="AJ4" i="14"/>
  <c r="AL19" i="14"/>
  <c r="AI18" i="14"/>
  <c r="AK16" i="14"/>
  <c r="AM14" i="14"/>
  <c r="AJ13" i="14"/>
  <c r="AL11" i="14"/>
  <c r="AI10" i="14"/>
  <c r="AK8" i="14"/>
  <c r="AS5" i="14"/>
  <c r="AQ6" i="14"/>
  <c r="AN19" i="14"/>
  <c r="AT16" i="14"/>
  <c r="AS15" i="14"/>
  <c r="AQ13" i="14"/>
  <c r="AP12" i="14"/>
  <c r="AN11" i="14"/>
  <c r="AT8" i="14"/>
  <c r="AS7" i="14"/>
  <c r="AN16" i="14"/>
  <c r="K33" i="14"/>
  <c r="S18" i="14"/>
  <c r="AL5" i="14"/>
  <c r="AK19" i="14"/>
  <c r="AM17" i="14"/>
  <c r="AJ16" i="14"/>
  <c r="AL14" i="14"/>
  <c r="AI13" i="14"/>
  <c r="AK11" i="14"/>
  <c r="AM9" i="14"/>
  <c r="AJ8" i="14"/>
  <c r="AT3" i="14"/>
  <c r="AT32" i="14" s="1"/>
  <c r="AQ4" i="14"/>
  <c r="AP6" i="14"/>
  <c r="AT17" i="14"/>
  <c r="AS16" i="14"/>
  <c r="AQ14" i="14"/>
  <c r="AP13" i="14"/>
  <c r="AN12" i="14"/>
  <c r="AT9" i="14"/>
  <c r="AS8" i="14"/>
  <c r="J34" i="14"/>
  <c r="S17" i="14"/>
  <c r="C34" i="14"/>
  <c r="AI6" i="14"/>
  <c r="AK5" i="14"/>
  <c r="AN6" i="14"/>
  <c r="AJ19" i="14"/>
  <c r="AL17" i="14"/>
  <c r="AK14" i="14"/>
  <c r="AM12" i="14"/>
  <c r="AJ11" i="14"/>
  <c r="AL9" i="14"/>
  <c r="AI8" i="14"/>
  <c r="AQ5" i="14"/>
  <c r="AP4" i="14"/>
  <c r="AT18" i="14"/>
  <c r="AS17" i="14"/>
  <c r="AQ15" i="14"/>
  <c r="AP14" i="14"/>
  <c r="AN13" i="14"/>
  <c r="AT10" i="14"/>
  <c r="AS9" i="14"/>
  <c r="AQ7" i="14"/>
  <c r="S16" i="14"/>
  <c r="AN3" i="14"/>
  <c r="AJ5" i="14"/>
  <c r="AM6" i="14"/>
  <c r="AK17" i="14"/>
  <c r="AM15" i="14"/>
  <c r="AJ14" i="14"/>
  <c r="AL12" i="14"/>
  <c r="AI11" i="14"/>
  <c r="AK9" i="14"/>
  <c r="AM7" i="14"/>
  <c r="AP5" i="14"/>
  <c r="AN4" i="14"/>
  <c r="AT19" i="14"/>
  <c r="AS18" i="14"/>
  <c r="AQ16" i="14"/>
  <c r="AP15" i="14"/>
  <c r="AN14" i="14"/>
  <c r="AT11" i="14"/>
  <c r="AS10" i="14"/>
  <c r="AQ8" i="14"/>
  <c r="AP7" i="14"/>
  <c r="S14" i="14"/>
  <c r="J33" i="14"/>
  <c r="N34" i="14"/>
  <c r="S15" i="14"/>
  <c r="AI5" i="14"/>
  <c r="AL6" i="14"/>
  <c r="AM18" i="14"/>
  <c r="AJ17" i="14"/>
  <c r="AL15" i="14"/>
  <c r="AI14" i="14"/>
  <c r="AK12" i="14"/>
  <c r="AM10" i="14"/>
  <c r="AJ9" i="14"/>
  <c r="AL7" i="14"/>
  <c r="AQ3" i="14"/>
  <c r="AN5" i="14"/>
  <c r="AS19" i="14"/>
  <c r="AQ17" i="14"/>
  <c r="AP16" i="14"/>
  <c r="AN15" i="14"/>
  <c r="AT12" i="14"/>
  <c r="AS11" i="14"/>
  <c r="AQ9" i="14"/>
  <c r="AP8" i="14"/>
  <c r="AN7" i="14"/>
  <c r="C33" i="14"/>
  <c r="E34" i="14"/>
  <c r="S11" i="14"/>
  <c r="H33" i="14"/>
  <c r="D34" i="14"/>
  <c r="S10" i="14"/>
  <c r="G33" i="14"/>
  <c r="S9" i="14"/>
  <c r="F33" i="14"/>
  <c r="S8" i="14"/>
  <c r="E33" i="14"/>
  <c r="S7" i="14"/>
  <c r="D33" i="14"/>
  <c r="H34" i="14"/>
  <c r="S6" i="14"/>
  <c r="G34" i="14"/>
  <c r="S5" i="14"/>
  <c r="F34" i="14"/>
  <c r="S12" i="14"/>
  <c r="J32" i="14"/>
  <c r="U5" i="14" l="1"/>
  <c r="U13" i="14"/>
  <c r="U7" i="14"/>
  <c r="U9" i="14"/>
  <c r="AU12" i="14"/>
  <c r="AU19" i="14"/>
  <c r="U17" i="14"/>
  <c r="AU11" i="14"/>
  <c r="U19" i="14"/>
  <c r="AU6" i="14"/>
  <c r="AU18" i="14"/>
  <c r="U15" i="14"/>
  <c r="U4" i="14"/>
  <c r="U6" i="14"/>
  <c r="AU10" i="14"/>
  <c r="AZ10" i="14" s="1"/>
  <c r="U10" i="14"/>
  <c r="AU13" i="14"/>
  <c r="O34" i="14"/>
  <c r="AU16" i="14"/>
  <c r="AU15" i="14"/>
  <c r="U11" i="14"/>
  <c r="U12" i="14"/>
  <c r="U14" i="14"/>
  <c r="U8" i="14"/>
  <c r="X43" i="14" s="1"/>
  <c r="U16" i="14"/>
  <c r="U18" i="14"/>
  <c r="AU9" i="14"/>
  <c r="AZ9" i="14" s="1"/>
  <c r="AU8" i="14"/>
  <c r="AU7" i="14"/>
  <c r="AU34" i="14" s="1"/>
  <c r="AM3" i="14"/>
  <c r="AM32" i="14" s="1"/>
  <c r="AX11" i="14"/>
  <c r="AK3" i="14"/>
  <c r="AK32" i="14" s="1"/>
  <c r="AI19" i="14"/>
  <c r="AK33" i="14"/>
  <c r="F32" i="14"/>
  <c r="AL3" i="14"/>
  <c r="AL32" i="14" s="1"/>
  <c r="AM34" i="14"/>
  <c r="AN32" i="14"/>
  <c r="AZ15" i="14"/>
  <c r="AS3" i="14"/>
  <c r="AS32" i="14" s="1"/>
  <c r="AT33" i="14"/>
  <c r="AT34" i="14"/>
  <c r="AZ12" i="14"/>
  <c r="AU17" i="14"/>
  <c r="AZ17" i="14" s="1"/>
  <c r="O3" i="14"/>
  <c r="AU14" i="14"/>
  <c r="AU33" i="14" s="1"/>
  <c r="O33" i="14"/>
  <c r="AU4" i="14"/>
  <c r="AZ4" i="14" s="1"/>
  <c r="AI7" i="14"/>
  <c r="S4" i="14"/>
  <c r="AI16" i="14"/>
  <c r="AX16" i="14" s="1"/>
  <c r="AI4" i="14"/>
  <c r="AI9" i="14"/>
  <c r="AI3" i="14"/>
  <c r="AI32" i="14" s="1"/>
  <c r="C32" i="14"/>
  <c r="S3" i="14"/>
  <c r="S32" i="14" s="1"/>
  <c r="AI15" i="14"/>
  <c r="AI17" i="14"/>
  <c r="AX17" i="14" s="1"/>
  <c r="AI12" i="14"/>
  <c r="AX12" i="14" s="1"/>
  <c r="S13" i="14"/>
  <c r="X41" i="14" s="1"/>
  <c r="U34" i="14"/>
  <c r="AM33" i="14"/>
  <c r="AJ34" i="14"/>
  <c r="AS34" i="14"/>
  <c r="AQ32" i="14"/>
  <c r="AZ7" i="14"/>
  <c r="AX4" i="14"/>
  <c r="AQ34" i="14"/>
  <c r="AJ32" i="14"/>
  <c r="S33" i="14"/>
  <c r="X38" i="14"/>
  <c r="X39" i="14"/>
  <c r="Y33" i="14"/>
  <c r="Z33" i="14" s="1"/>
  <c r="X33" i="14"/>
  <c r="AL33" i="14"/>
  <c r="AN34" i="14"/>
  <c r="AS33" i="14"/>
  <c r="AZ16" i="14"/>
  <c r="AX5" i="14"/>
  <c r="AQ33" i="14"/>
  <c r="AX18" i="14"/>
  <c r="AZ19" i="14"/>
  <c r="AK34" i="14"/>
  <c r="AJ33" i="14"/>
  <c r="AP32" i="14"/>
  <c r="AZ8" i="14"/>
  <c r="AX8" i="14"/>
  <c r="AN33" i="14"/>
  <c r="AX13" i="14"/>
  <c r="AZ11" i="14"/>
  <c r="AX15" i="14"/>
  <c r="AP34" i="14"/>
  <c r="AZ6" i="14"/>
  <c r="AX14" i="14"/>
  <c r="AZ5" i="14"/>
  <c r="AX6" i="14"/>
  <c r="AX10" i="14"/>
  <c r="AZ18" i="14"/>
  <c r="Z38" i="14"/>
  <c r="AX19" i="14"/>
  <c r="Y34" i="14"/>
  <c r="Z34" i="14" s="1"/>
  <c r="Z39" i="14"/>
  <c r="X34" i="14"/>
  <c r="AP33" i="14"/>
  <c r="AZ13" i="14"/>
  <c r="AX7" i="14"/>
  <c r="AL34" i="14"/>
  <c r="X42" i="14" l="1"/>
  <c r="Z41" i="14"/>
  <c r="AZ14" i="14"/>
  <c r="U33" i="14"/>
  <c r="AI33" i="14"/>
  <c r="BC39" i="14" s="1"/>
  <c r="BE38" i="14"/>
  <c r="BE41" i="14"/>
  <c r="O32" i="14"/>
  <c r="AU3" i="14"/>
  <c r="U3" i="14"/>
  <c r="U32" i="14" s="1"/>
  <c r="Z43" i="14"/>
  <c r="Z42" i="14"/>
  <c r="AX3" i="14"/>
  <c r="AX32" i="14" s="1"/>
  <c r="AI34" i="14"/>
  <c r="BD34" i="14" s="1"/>
  <c r="BE34" i="14" s="1"/>
  <c r="AX9" i="14"/>
  <c r="BC43" i="14" s="1"/>
  <c r="S34" i="14"/>
  <c r="BE43" i="14"/>
  <c r="BE42" i="14"/>
  <c r="BD32" i="14"/>
  <c r="BE32" i="14" s="1"/>
  <c r="BC32" i="14"/>
  <c r="BD33" i="14"/>
  <c r="BE33" i="14" s="1"/>
  <c r="BC33" i="14"/>
  <c r="AZ34" i="14"/>
  <c r="AZ33" i="14"/>
  <c r="AX34" i="14"/>
  <c r="X32" i="14" l="1"/>
  <c r="Z32" i="14"/>
  <c r="AZ3" i="14"/>
  <c r="AZ32" i="14" s="1"/>
  <c r="AU32" i="14"/>
  <c r="BC38" i="14"/>
  <c r="BE39" i="14"/>
  <c r="AX33" i="14"/>
  <c r="BC41" i="14"/>
  <c r="BC34" i="14"/>
  <c r="BC42"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Hamid Taghipourbibalan</author>
  </authors>
  <commentList>
    <comment ref="A44" authorId="0" shapeId="0" xr:uid="{BD4DAECF-3FF7-4CB3-9943-C4FD0721F81D}">
      <text>
        <r>
          <rPr>
            <b/>
            <sz val="9"/>
            <color indexed="81"/>
            <rFont val="Tahoma"/>
            <charset val="1"/>
          </rPr>
          <t>Hamid Taghipourbibalan:</t>
        </r>
        <r>
          <rPr>
            <sz val="9"/>
            <color indexed="81"/>
            <rFont val="Tahoma"/>
            <charset val="1"/>
          </rPr>
          <t xml:space="preserve">
Order 12 Female Mice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tc={5DF2B59E-2042-4659-8F3F-0D8AFDBD8BBC}</author>
  </authors>
  <commentList>
    <comment ref="B25" authorId="0" shapeId="0" xr:uid="{5DF2B59E-2042-4659-8F3F-0D8AFDBD8BBC}">
      <text>
        <t xml:space="preserve">[Threaded comment]
Your version of Excel allows you to read this threaded comment; however, any edits to it will get removed if the file is opened in a newer version of Excel. Learn more: https://go.microsoft.com/fwlink/?linkid=870924
Comment:
    Unit FED006 JAM, disc failure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tc={7B87C6C9-8FBC-4DC9-97AF-FB6D3AC044AF}</author>
  </authors>
  <commentList>
    <comment ref="H14" authorId="0" shapeId="0" xr:uid="{7B87C6C9-8FBC-4DC9-97AF-FB6D3AC044AF}">
      <text>
        <t>[Threaded comment]
Your version of Excel allows you to read this threaded comment; however, any edits to it will get removed if the file is opened in a newer version of Excel. Learn more: https://go.microsoft.com/fwlink/?linkid=870924
Comment:
    JAM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<sst xmlns="http://schemas.openxmlformats.org/spreadsheetml/2006/main" count="1051" uniqueCount="140">
  <si>
    <t>Date</t>
  </si>
  <si>
    <t>Day</t>
  </si>
  <si>
    <t>Event</t>
  </si>
  <si>
    <t>Note</t>
  </si>
  <si>
    <t>Monday</t>
  </si>
  <si>
    <t>Place Mice Order (12 Male)</t>
  </si>
  <si>
    <t>COURSE 8003</t>
  </si>
  <si>
    <t>Tuesday</t>
  </si>
  <si>
    <t>Wednesday</t>
  </si>
  <si>
    <t>Thursday</t>
  </si>
  <si>
    <t>Friday</t>
  </si>
  <si>
    <t>Saturday</t>
  </si>
  <si>
    <t>Sunday</t>
  </si>
  <si>
    <t>COURSE 8040</t>
  </si>
  <si>
    <t>The Mice Arrives</t>
  </si>
  <si>
    <t>Send email to ragnhild.osnes@uit.no for ear tagging, COURSE 8040</t>
  </si>
  <si>
    <t>FED Boards Arrive?</t>
  </si>
  <si>
    <t>Disinfect the stuff</t>
  </si>
  <si>
    <t>The Mice (cohort 1) are ready!</t>
  </si>
  <si>
    <t>FED Boards Arrive?!?</t>
  </si>
  <si>
    <t>Program the boards and test new FEDs</t>
  </si>
  <si>
    <t>Disinfect the stuff, move'em to the AKM</t>
  </si>
  <si>
    <t>Measure the weights/Prepare the diets</t>
  </si>
  <si>
    <t>Regular Chow + grain 20mg FF</t>
  </si>
  <si>
    <t>Day 0 Habituation to FEDs</t>
  </si>
  <si>
    <t>grain 20 mg FF</t>
  </si>
  <si>
    <t>Day 1</t>
  </si>
  <si>
    <t>Day 2</t>
  </si>
  <si>
    <t>5% &amp; 20 % 20 mg Casein FF</t>
  </si>
  <si>
    <t>Day 0 PR-NR FF and NR-PR FF Starts</t>
  </si>
  <si>
    <t>Day1 COURSE 8040</t>
  </si>
  <si>
    <t>Day2  COURSE 8040</t>
  </si>
  <si>
    <t>Day3 COURSE 8040</t>
  </si>
  <si>
    <t>Day4</t>
  </si>
  <si>
    <t>Day5</t>
  </si>
  <si>
    <t>Day6</t>
  </si>
  <si>
    <t>Switch Diet! Day 0</t>
  </si>
  <si>
    <t>Day1</t>
  </si>
  <si>
    <t xml:space="preserve">Day2 </t>
  </si>
  <si>
    <t xml:space="preserve">Day3 </t>
  </si>
  <si>
    <t xml:space="preserve">Day4 </t>
  </si>
  <si>
    <t xml:space="preserve">Day5  </t>
  </si>
  <si>
    <t>5%  Casein FR1 NR-PR and 20% Casein PR-NR</t>
  </si>
  <si>
    <t>Day 0   FF Over switch to FR1</t>
  </si>
  <si>
    <t>5% Casein FR1R NR-PR and 20% Casein FR1R PR-NR</t>
  </si>
  <si>
    <t>Day1  FR1R</t>
  </si>
  <si>
    <t>Choice for NR-PR Mice Close Economy 35% vs 5%</t>
  </si>
  <si>
    <t>Cage Change! NR-PR mice go into fresh cohice box, PR-NR mice goes to fresh standard cages with NR large pellets diet</t>
  </si>
  <si>
    <t>Choice for NR- PR Mice Close Economy 35% vs 5%</t>
  </si>
  <si>
    <t>Choice for PR-NR Mice 35% vs 5%</t>
  </si>
  <si>
    <t>NR-PR (Sacrifice?)</t>
  </si>
  <si>
    <t>PR-NR (Sacrifice?)</t>
  </si>
  <si>
    <t>Cohort 2 Arrives</t>
  </si>
  <si>
    <t>Cohort 2 ready!</t>
  </si>
  <si>
    <t>PFA 1 Liter</t>
  </si>
  <si>
    <t>LINNEA PERFUSION</t>
  </si>
  <si>
    <t>Day2</t>
  </si>
  <si>
    <t>Sucrose change</t>
  </si>
  <si>
    <t>Day3</t>
  </si>
  <si>
    <t>4OHT INJECTIONS 11 AM</t>
  </si>
  <si>
    <t>CHECK QUARANTINE</t>
  </si>
  <si>
    <t>QUARANTINE OVER at 9 AM</t>
  </si>
  <si>
    <t>Mouse ID</t>
  </si>
  <si>
    <t>FEDXB01</t>
  </si>
  <si>
    <t>FED#</t>
  </si>
  <si>
    <t>BW gr</t>
  </si>
  <si>
    <t>Delta W %</t>
  </si>
  <si>
    <t># of Pellets</t>
  </si>
  <si>
    <t>W of Pellets Consumed gr</t>
  </si>
  <si>
    <t>Hoarding</t>
  </si>
  <si>
    <t>Regular Chow, Grain 20mg FF</t>
  </si>
  <si>
    <t>FED001</t>
  </si>
  <si>
    <t>Grain 20mg FF</t>
  </si>
  <si>
    <t>5% 20mg Casein FF</t>
  </si>
  <si>
    <t>20% 20mg Casein FF</t>
  </si>
  <si>
    <t>20% 20mg Casein FR1</t>
  </si>
  <si>
    <t>20% 20mg Casein FR1R</t>
  </si>
  <si>
    <t>NR large pellets</t>
  </si>
  <si>
    <t>Standard Cage</t>
  </si>
  <si>
    <t>5% &amp; 35% 20 mg Casein CE</t>
  </si>
  <si>
    <t>FED001/002</t>
  </si>
  <si>
    <t>FEDXB02</t>
  </si>
  <si>
    <t>FED002</t>
  </si>
  <si>
    <t>FED003/004</t>
  </si>
  <si>
    <t>FEDXB03</t>
  </si>
  <si>
    <t>FED003</t>
  </si>
  <si>
    <t>FED005/006</t>
  </si>
  <si>
    <t>Note: April 30, Hoarding 35 pellets, already deduced from the pellet numbers// May 01 Hoarding 10 pellets already deduced from the pellet number//</t>
  </si>
  <si>
    <t>FEDXB04</t>
  </si>
  <si>
    <t>FED004</t>
  </si>
  <si>
    <t>FED007/008</t>
  </si>
  <si>
    <t xml:space="preserve">Notes: May 1, Hoarding 25 pellets, already deduced from the pellet number// </t>
  </si>
  <si>
    <t>FEDXB05</t>
  </si>
  <si>
    <t>FED005</t>
  </si>
  <si>
    <t>FED009/10</t>
  </si>
  <si>
    <t>Note: April 30, Hoarding 25 pellets, already deduced from the pellet number// May 1, Hoarding 30 pellets, already deduced from the pellet numnbr</t>
  </si>
  <si>
    <t>FEDXB06</t>
  </si>
  <si>
    <t>FED006</t>
  </si>
  <si>
    <t>FED011/12</t>
  </si>
  <si>
    <t>June 12:  Jamming had happened because of accumulated pellets, I forgot to write down the number of pellets taken before turing off the device, so in this excel sheet I am just putting the avreage number of pellets animal had taken since the past 7 days before jamming happened.</t>
  </si>
  <si>
    <t>FEDXB07</t>
  </si>
  <si>
    <t>FED007</t>
  </si>
  <si>
    <t>5% 20mg Casein FR1</t>
  </si>
  <si>
    <t>5% 20mg Casein FR1R</t>
  </si>
  <si>
    <t>FEDXB08</t>
  </si>
  <si>
    <t>FED008</t>
  </si>
  <si>
    <t>FEDXB09</t>
  </si>
  <si>
    <t>FED009</t>
  </si>
  <si>
    <t>NOTES:June 9 : The animal looks sick, has consumed only 2 pellets, I added 10.1 gr of NR large pellets to the dispenser.// June 10: 3 pellets taken from the FED but found in the cage bedding, No large NR pellet is consumed, however the animal appeared to be tasting some of the pellets the day before, I removed the NR pellets and added 10 gr of regular chow, 5 gr in the dispenser and 5 gr as wet chow in the dish placed inside the cage // June 11: the animal has consumed 1 gr of the regular chow from the dispenser, and unkown amount from the wet chow in the dish</t>
  </si>
  <si>
    <t>FEDXB10</t>
  </si>
  <si>
    <t>FED010</t>
  </si>
  <si>
    <t>FEDXB11</t>
  </si>
  <si>
    <t>FED011</t>
  </si>
  <si>
    <t>FED009/010</t>
  </si>
  <si>
    <t>Notes _ April 24 Hoarding Behaviour , 15 Pellet in the bedding. , May 5: Jamming detected and fixed, device restarted. look for a new file on the SD card.</t>
  </si>
  <si>
    <t>FEDXB12</t>
  </si>
  <si>
    <t>FED012</t>
  </si>
  <si>
    <t>FED011/012</t>
  </si>
  <si>
    <t>PR-NR Pellets Taken</t>
  </si>
  <si>
    <t>NR-PR Pellets Taken</t>
  </si>
  <si>
    <t>Daily AV PR-NR</t>
  </si>
  <si>
    <t>Daily AV NR-PR</t>
  </si>
  <si>
    <t>AV Cal PR-NR</t>
  </si>
  <si>
    <t>AV Cal NR-PR</t>
  </si>
  <si>
    <t>DAY</t>
  </si>
  <si>
    <t>AV AV PR-NR</t>
  </si>
  <si>
    <t>AV AV NR-PR</t>
  </si>
  <si>
    <t>MEAN</t>
  </si>
  <si>
    <t>STD</t>
  </si>
  <si>
    <t>SEM</t>
  </si>
  <si>
    <t>COUNT</t>
  </si>
  <si>
    <t>GRAIN</t>
  </si>
  <si>
    <t>PR Phase</t>
  </si>
  <si>
    <t>NR Phase</t>
  </si>
  <si>
    <t>T.TEST PR/NR</t>
  </si>
  <si>
    <t>T.TEST NR/PR</t>
  </si>
  <si>
    <t>Daily Weight PR-NR</t>
  </si>
  <si>
    <t>Daily Weight NR-PR</t>
  </si>
  <si>
    <t>AV</t>
  </si>
  <si>
    <t>Daily Hoarding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</si>
</sst>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3"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sz val="11"/>
      <color theme="5" tint="-0.249977111117893"/>
      <name val="Calibri"/>
      <family val="2"/>
      <scheme val="minor"/>
    </font>
    <font>
      <b/>
      <sz val="11"/>
      <color rgb="FFFF0000"/>
      <name val="Calibri"/>
      <family val="2"/>
      <scheme val="minor"/>
    </font>
    <font>
      <b/>
      <sz val="11"/>
      <color theme="4" tint="-0.249977111117893"/>
      <name val="Calibri"/>
      <family val="2"/>
      <scheme val="minor"/>
    </font>
    <font>
      <sz val="11"/>
      <color rgb="FF000000"/>
      <name val="Calibri"/>
      <family val="2"/>
      <scheme val="minor"/>
    </font>
    <font>
      <sz val="7"/>
      <color rgb="FF000000"/>
      <name val="Calibri"/>
      <family val="2"/>
      <scheme val="minor"/>
    </font>
    <font>
      <sz val="7"/>
      <color rgb="FFFFFFFF"/>
      <name val="Calibri"/>
      <family val="2"/>
      <scheme val="minor"/>
    </font>
    <font>
      <sz val="8"/>
      <color rgb="FFFFFFFF"/>
      <name val="Calibri"/>
      <family val="2"/>
      <scheme val="minor"/>
    </font>
    <font>
      <sz val="9"/>
      <color rgb="FF000000"/>
      <name val="Calibri"/>
      <family val="2"/>
      <scheme val="minor"/>
    </font>
    <font>
      <b/>
      <sz val="11"/>
      <color rgb="FF4472C4"/>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rgb="FF00B050"/>
        <bgColor indexed="64"/>
      </patternFill>
    </fill>
    <fill>
      <patternFill patternType="solid">
        <fgColor rgb="FF7030A0"/>
        <bgColor indexed="64"/>
      </patternFill>
    </fill>
    <fill>
      <patternFill patternType="solid">
        <fgColor rgb="FFA5A5A5"/>
        <bgColor indexed="64"/>
      </patternFill>
    </fill>
    <fill>
      <patternFill patternType="solid">
        <fgColor rgb="FFBFBFBF"/>
        <bgColor indexed="64"/>
      </patternFill>
    </fill>
    <fill>
      <patternFill patternType="solid">
        <fgColor rgb="FFFFF2CC"/>
        <bgColor indexed="64"/>
      </patternFill>
    </fill>
    <fill>
      <patternFill patternType="solid">
        <fgColor rgb="FFFFFFFF"/>
        <bgColor indexed="64"/>
      </patternFill>
    </fill>
    <fill>
      <patternFill patternType="solid">
        <fgColor rgb="FFFFE699"/>
        <bgColor indexed="64"/>
      </patternFill>
    </fill>
    <fill>
      <patternFill patternType="solid">
        <fgColor rgb="FFED7D31"/>
        <bgColor indexed="64"/>
      </patternFill>
    </fill>
    <fill>
      <patternFill patternType="solid">
        <fgColor rgb="FFFCE4D6"/>
        <bgColor indexed="64"/>
      </patternFill>
    </fill>
  </fills>
  <borders count="11">
    <border>
      <left/>
      <right/>
      <top/>
      <bottom/>
      <diagonal/>
    </border>
    <border>
      <left style="double">
        <color rgb="FFED7D31"/>
      </left>
      <right style="double">
        <color rgb="FFED7D31"/>
      </right>
      <top style="double">
        <color rgb="FFED7D31"/>
      </top>
      <bottom style="double">
        <color rgb="FFED7D31"/>
      </bottom>
      <diagonal/>
    </border>
    <border>
      <left style="double">
        <color rgb="FFED7D31"/>
      </left>
      <right style="double">
        <color rgb="FFED7D31"/>
      </right>
      <top/>
      <bottom style="double">
        <color rgb="FFED7D31"/>
      </bottom>
      <diagonal/>
    </border>
    <border>
      <left style="double">
        <color rgb="FFED7D31"/>
      </left>
      <right style="double">
        <color rgb="FFED7D31"/>
      </right>
      <top/>
      <bottom/>
      <diagonal/>
    </border>
    <border>
      <left style="thin">
        <color rgb="FFFF0000"/>
      </left>
      <right/>
      <top style="thin">
        <color rgb="FFFF0000"/>
      </top>
      <bottom style="thin">
        <color rgb="FFFF0000"/>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rgb="FFFF0000"/>
      </bottom>
      <diagonal/>
    </border>
    <border>
      <left style="thin">
        <color rgb="FF7030A0"/>
      </left>
      <right style="thin">
        <color rgb="FF7030A0"/>
      </right>
      <top style="thin">
        <color rgb="FF7030A0"/>
      </top>
      <bottom style="thin">
        <color rgb="FF7030A0"/>
      </bottom>
      <diagonal/>
    </border>
    <border>
      <left style="thin">
        <color rgb="FF7030A0"/>
      </left>
      <right style="thin">
        <color rgb="FF7030A0"/>
      </right>
      <top style="thin">
        <color rgb="FF7030A0"/>
      </top>
      <bottom/>
      <diagonal/>
    </border>
    <border>
      <left style="thin">
        <color rgb="FF7030A0"/>
      </left>
      <right style="thin">
        <color rgb="FF7030A0"/>
      </right>
      <top/>
      <bottom style="thin">
        <color rgb="FF7030A0"/>
      </bottom>
      <diagonal/>
    </border>
  </borders>
  <cellStyleXfs count="1">
    <xf numFmtId="0" fontId="0" fillId="0" borderId="0"/>
  </cellStyleXfs>
  <cellXfs count="61">
    <xf numFmtId="0" fontId="0" fillId="0" borderId="0" xfId="0"/>
    <xf numFmtId="0" fontId="0" fillId="2" borderId="0" xfId="0" applyFill="1" applyAlignment="1">
      <alignment horizontal="center" vertical="center"/>
    </xf>
    <xf numFmtId="164" fontId="0" fillId="2" borderId="0" xfId="0" applyNumberFormat="1" applyFill="1" applyAlignment="1">
      <alignment horizontal="center" vertical="center"/>
    </xf>
    <xf numFmtId="164" fontId="0" fillId="0" borderId="0" xfId="0" applyNumberFormat="1"/>
    <xf numFmtId="164" fontId="0" fillId="0" borderId="0" xfId="0" applyNumberFormat="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164" fontId="0" fillId="4" borderId="0" xfId="0" applyNumberFormat="1" applyFill="1" applyAlignment="1">
      <alignment horizontal="center" vertical="center"/>
    </xf>
    <xf numFmtId="0" fontId="0" fillId="5" borderId="0" xfId="0" applyFill="1" applyAlignment="1">
      <alignment horizontal="center" vertical="center"/>
    </xf>
    <xf numFmtId="0" fontId="0" fillId="4" borderId="0" xfId="0" applyFill="1"/>
    <xf numFmtId="164" fontId="0" fillId="5" borderId="0" xfId="0" applyNumberFormat="1" applyFill="1" applyAlignment="1">
      <alignment horizontal="center" vertical="center"/>
    </xf>
    <xf numFmtId="0" fontId="0" fillId="5" borderId="0" xfId="0" applyFill="1"/>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14" fontId="0" fillId="0" borderId="0" xfId="0" applyNumberFormat="1"/>
    <xf numFmtId="14" fontId="0" fillId="0" borderId="0" xfId="0" applyNumberFormat="1" applyAlignment="1">
      <alignment horizontal="center"/>
    </xf>
    <xf numFmtId="0" fontId="8" fillId="4" borderId="1" xfId="0" applyFont="1" applyFill="1" applyBorder="1" applyAlignment="1">
      <alignment horizontal="center" vertical="center"/>
    </xf>
    <xf numFmtId="0" fontId="8" fillId="4" borderId="2" xfId="0" applyFont="1" applyFill="1" applyBorder="1" applyAlignment="1">
      <alignment horizontal="center" vertical="center"/>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6" borderId="2" xfId="0" applyFont="1" applyFill="1" applyBorder="1" applyAlignment="1">
      <alignment horizontal="center" vertical="center"/>
    </xf>
    <xf numFmtId="0" fontId="10" fillId="7" borderId="2" xfId="0" applyFont="1" applyFill="1" applyBorder="1" applyAlignment="1">
      <alignment horizontal="center" vertical="center"/>
    </xf>
    <xf numFmtId="0" fontId="7" fillId="8" borderId="1" xfId="0" applyFont="1" applyFill="1" applyBorder="1" applyAlignment="1">
      <alignment horizontal="center" vertical="center"/>
    </xf>
    <xf numFmtId="0" fontId="7" fillId="0" borderId="2" xfId="0" applyFont="1" applyBorder="1" applyAlignment="1">
      <alignment horizontal="center" vertical="center"/>
    </xf>
    <xf numFmtId="0" fontId="7" fillId="8" borderId="2" xfId="0" applyFont="1" applyFill="1" applyBorder="1" applyAlignment="1">
      <alignment horizontal="center" vertical="center"/>
    </xf>
    <xf numFmtId="0" fontId="7" fillId="9" borderId="2" xfId="0" applyFont="1" applyFill="1" applyBorder="1" applyAlignment="1">
      <alignment horizontal="center" vertical="center"/>
    </xf>
    <xf numFmtId="0" fontId="11" fillId="10" borderId="2" xfId="0" applyFont="1" applyFill="1" applyBorder="1" applyAlignment="1">
      <alignment horizontal="center" vertical="center"/>
    </xf>
    <xf numFmtId="0" fontId="7" fillId="11" borderId="2" xfId="0" applyFont="1" applyFill="1" applyBorder="1" applyAlignment="1">
      <alignment horizontal="center" vertical="center"/>
    </xf>
    <xf numFmtId="0" fontId="7" fillId="8" borderId="3" xfId="0" applyFont="1" applyFill="1" applyBorder="1" applyAlignment="1">
      <alignment horizontal="center" vertical="center"/>
    </xf>
    <xf numFmtId="0" fontId="9" fillId="6" borderId="1" xfId="0" applyFont="1" applyFill="1" applyBorder="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12" fillId="0" borderId="0" xfId="0" applyFont="1"/>
    <xf numFmtId="0" fontId="0" fillId="0" borderId="0" xfId="0" quotePrefix="1" applyAlignment="1">
      <alignment horizontal="center"/>
    </xf>
    <xf numFmtId="0" fontId="0" fillId="4" borderId="0" xfId="0" applyFill="1" applyAlignment="1">
      <alignment horizontal="center" vertical="center"/>
    </xf>
    <xf numFmtId="0" fontId="0" fillId="6" borderId="0" xfId="0" applyFill="1" applyAlignment="1">
      <alignment horizontal="center" vertical="center"/>
    </xf>
    <xf numFmtId="0" fontId="0" fillId="3" borderId="0" xfId="0" applyFill="1"/>
    <xf numFmtId="2" fontId="0" fillId="0" borderId="0" xfId="0" applyNumberFormat="1"/>
    <xf numFmtId="0" fontId="0" fillId="6" borderId="0" xfId="0" applyFill="1"/>
    <xf numFmtId="2" fontId="0" fillId="0" borderId="0" xfId="0" applyNumberFormat="1" applyAlignment="1">
      <alignment horizontal="center" vertical="center"/>
    </xf>
    <xf numFmtId="2" fontId="0" fillId="4" borderId="0" xfId="0" applyNumberFormat="1" applyFill="1" applyAlignment="1">
      <alignment horizontal="center" vertical="center"/>
    </xf>
    <xf numFmtId="2" fontId="0" fillId="3" borderId="0" xfId="0" applyNumberFormat="1" applyFill="1" applyAlignment="1">
      <alignment horizontal="center" vertical="center"/>
    </xf>
    <xf numFmtId="2" fontId="0" fillId="6" borderId="0" xfId="0" applyNumberFormat="1" applyFill="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12" borderId="2" xfId="0" applyFont="1" applyFill="1" applyBorder="1" applyAlignment="1">
      <alignment horizontal="center" vertical="center"/>
    </xf>
    <xf numFmtId="164" fontId="0" fillId="3" borderId="0" xfId="0" applyNumberFormat="1" applyFill="1" applyAlignment="1">
      <alignment horizontal="center" vertical="center"/>
    </xf>
    <xf numFmtId="0" fontId="0" fillId="13" borderId="0" xfId="0" applyFill="1" applyAlignment="1">
      <alignment horizontal="center"/>
    </xf>
    <xf numFmtId="0" fontId="0" fillId="3" borderId="0" xfId="0" applyFill="1" applyAlignment="1">
      <alignment horizontal="center"/>
    </xf>
    <xf numFmtId="0" fontId="0" fillId="14" borderId="0" xfId="0" applyFill="1" applyAlignment="1">
      <alignment horizontal="center"/>
    </xf>
    <xf numFmtId="0" fontId="7" fillId="3" borderId="0" xfId="0" applyFont="1" applyFill="1" applyAlignment="1">
      <alignment horizontal="center"/>
    </xf>
    <xf numFmtId="0" fontId="7" fillId="13"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1">
    <dxf>
      <fill>
        <patternFill>
          <bgColor theme="0" tint="-0.499984740745262"/>
        </patternFill>
      </fill>
    </dxf>
  </dxfs>
  <tableStyles count="1" defaultTableStyle="TableStyleMedium2" defaultPivotStyle="PivotStyleLight16">
    <tableStyle name="Table Style 1" pivot="0" count="1" xr9:uid="{D589FE87-A3E5-45CF-A6D9-B018F001D8CB}">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 Av Pellet Intake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FF0000"/>
              </a:solidFill>
              <a:round/>
            </a:ln>
            <a:effectLst/>
          </c:spPr>
          <c:marker>
            <c:symbol val="none"/>
          </c:marker>
          <c:val>
            <c:numRef>
              <c:f>Analysis!$S$3:$S$19</c:f>
              <c:numCache>
                <c:formatCode>0.00</c:formatCode>
                <c:ptCount val="17"/>
                <c:pt idx="0">
                  <c:v>240.83333333333334</c:v>
                </c:pt>
                <c:pt idx="1">
                  <c:v>218</c:v>
                </c:pt>
                <c:pt idx="2">
                  <c:v>200.66666666666666</c:v>
                </c:pt>
                <c:pt idx="3">
                  <c:v>139.33333333333334</c:v>
                </c:pt>
                <c:pt idx="4">
                  <c:v>155.5</c:v>
                </c:pt>
                <c:pt idx="5">
                  <c:v>209.66666666666666</c:v>
                </c:pt>
                <c:pt idx="6">
                  <c:v>199</c:v>
                </c:pt>
                <c:pt idx="7">
                  <c:v>210.83333333333334</c:v>
                </c:pt>
                <c:pt idx="8">
                  <c:v>230.66666666666666</c:v>
                </c:pt>
                <c:pt idx="9">
                  <c:v>198.66666666666666</c:v>
                </c:pt>
                <c:pt idx="10">
                  <c:v>226.5</c:v>
                </c:pt>
                <c:pt idx="11">
                  <c:v>234.5</c:v>
                </c:pt>
                <c:pt idx="12">
                  <c:v>201.33333333333334</c:v>
                </c:pt>
                <c:pt idx="13">
                  <c:v>180.5</c:v>
                </c:pt>
                <c:pt idx="14">
                  <c:v>164.66666666666666</c:v>
                </c:pt>
                <c:pt idx="15">
                  <c:v>234.66666666666666</c:v>
                </c:pt>
                <c:pt idx="16">
                  <c:v>200.16666666666666</c:v>
                </c:pt>
              </c:numCache>
            </c:numRef>
          </c:val>
          <c:smooth val="0"/>
          <c:extLst>
            <c:ext xmlns:c16="http://schemas.microsoft.com/office/drawing/2014/chart" uri="{C3380CC4-5D6E-409C-BE32-E72D297353CC}">
              <c16:uniqueId val="{00000001-AD51-468D-B2CA-B4CCB8958801}"/>
            </c:ext>
          </c:extLst>
        </c:ser>
        <c:ser>
          <c:idx val="1"/>
          <c:order val="1"/>
          <c:spPr>
            <a:ln w="28575" cap="rnd">
              <a:solidFill>
                <a:schemeClr val="accent2"/>
              </a:solidFill>
              <a:round/>
            </a:ln>
            <a:effectLst/>
          </c:spPr>
          <c:marker>
            <c:symbol val="none"/>
          </c:marker>
          <c:val>
            <c:numRef>
              <c:f>Analysis!$T$6:$T$19</c:f>
              <c:numCache>
                <c:formatCode>0.00</c:formatCode>
                <c:ptCount val="14"/>
              </c:numCache>
            </c:numRef>
          </c:val>
          <c:smooth val="0"/>
          <c:extLst>
            <c:ext xmlns:c16="http://schemas.microsoft.com/office/drawing/2014/chart" uri="{C3380CC4-5D6E-409C-BE32-E72D297353CC}">
              <c16:uniqueId val="{00000003-AD51-468D-B2CA-B4CCB8958801}"/>
            </c:ext>
          </c:extLst>
        </c:ser>
        <c:ser>
          <c:idx val="2"/>
          <c:order val="2"/>
          <c:spPr>
            <a:ln w="28575" cap="rnd">
              <a:solidFill>
                <a:schemeClr val="accent6"/>
              </a:solidFill>
              <a:round/>
            </a:ln>
            <a:effectLst/>
          </c:spPr>
          <c:marker>
            <c:symbol val="none"/>
          </c:marker>
          <c:val>
            <c:numRef>
              <c:f>Analysis!$U$3:$U$19</c:f>
              <c:numCache>
                <c:formatCode>0.00</c:formatCode>
                <c:ptCount val="17"/>
                <c:pt idx="0">
                  <c:v>266.8</c:v>
                </c:pt>
                <c:pt idx="1">
                  <c:v>224.6</c:v>
                </c:pt>
                <c:pt idx="2">
                  <c:v>216.6</c:v>
                </c:pt>
                <c:pt idx="3">
                  <c:v>189.6</c:v>
                </c:pt>
                <c:pt idx="4">
                  <c:v>183.2</c:v>
                </c:pt>
                <c:pt idx="5">
                  <c:v>191.6</c:v>
                </c:pt>
                <c:pt idx="6">
                  <c:v>177</c:v>
                </c:pt>
                <c:pt idx="7">
                  <c:v>200</c:v>
                </c:pt>
                <c:pt idx="8">
                  <c:v>202.6</c:v>
                </c:pt>
                <c:pt idx="9">
                  <c:v>183.6</c:v>
                </c:pt>
                <c:pt idx="10">
                  <c:v>181.6</c:v>
                </c:pt>
                <c:pt idx="11">
                  <c:v>211.4</c:v>
                </c:pt>
                <c:pt idx="12">
                  <c:v>182.6</c:v>
                </c:pt>
                <c:pt idx="13">
                  <c:v>187.2</c:v>
                </c:pt>
                <c:pt idx="14">
                  <c:v>187</c:v>
                </c:pt>
                <c:pt idx="15">
                  <c:v>223.4</c:v>
                </c:pt>
                <c:pt idx="16">
                  <c:v>217.6</c:v>
                </c:pt>
              </c:numCache>
            </c:numRef>
          </c:val>
          <c:smooth val="0"/>
          <c:extLst>
            <c:ext xmlns:c16="http://schemas.microsoft.com/office/drawing/2014/chart" uri="{C3380CC4-5D6E-409C-BE32-E72D297353CC}">
              <c16:uniqueId val="{00000005-AD51-468D-B2CA-B4CCB8958801}"/>
            </c:ext>
          </c:extLst>
        </c:ser>
        <c:dLbls>
          <c:showLegendKey val="0"/>
          <c:showVal val="0"/>
          <c:showCatName val="0"/>
          <c:showSerName val="0"/>
          <c:showPercent val="0"/>
          <c:showBubbleSize val="0"/>
        </c:dLbls>
        <c:smooth val="0"/>
        <c:axId val="1829425000"/>
        <c:axId val="494949207"/>
      </c:lineChart>
      <c:catAx>
        <c:axId val="18294250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49207"/>
        <c:crosses val="autoZero"/>
        <c:auto val="1"/>
        <c:lblAlgn val="ctr"/>
        <c:lblOffset val="100"/>
        <c:noMultiLvlLbl val="0"/>
      </c:catAx>
      <c:valAx>
        <c:axId val="494949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9425000"/>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a:t>
            </a:r>
            <a:r>
              <a:rPr lang="en-GB" baseline="0"/>
              <a:t> Cal Intake</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FF0000"/>
              </a:solidFill>
              <a:round/>
            </a:ln>
            <a:effectLst/>
          </c:spPr>
          <c:marker>
            <c:symbol val="none"/>
          </c:marker>
          <c:val>
            <c:numRef>
              <c:f>Analysis!$AX$3:$AX$19</c:f>
              <c:numCache>
                <c:formatCode>0.00</c:formatCode>
                <c:ptCount val="17"/>
                <c:pt idx="0">
                  <c:v>16.135833333333334</c:v>
                </c:pt>
                <c:pt idx="1">
                  <c:v>14.606</c:v>
                </c:pt>
                <c:pt idx="2">
                  <c:v>13.444666666666668</c:v>
                </c:pt>
                <c:pt idx="3">
                  <c:v>11.146666666666667</c:v>
                </c:pt>
                <c:pt idx="4">
                  <c:v>12.44</c:v>
                </c:pt>
                <c:pt idx="5">
                  <c:v>16.773333333333337</c:v>
                </c:pt>
                <c:pt idx="6">
                  <c:v>15.920000000000002</c:v>
                </c:pt>
                <c:pt idx="7">
                  <c:v>16.866666666666671</c:v>
                </c:pt>
                <c:pt idx="8">
                  <c:v>18.453333333333333</c:v>
                </c:pt>
                <c:pt idx="9">
                  <c:v>15.893333333333336</c:v>
                </c:pt>
                <c:pt idx="10">
                  <c:v>18.12</c:v>
                </c:pt>
                <c:pt idx="11">
                  <c:v>18.760000000000002</c:v>
                </c:pt>
                <c:pt idx="12">
                  <c:v>16.106666666666666</c:v>
                </c:pt>
                <c:pt idx="13">
                  <c:v>14.44</c:v>
                </c:pt>
                <c:pt idx="14">
                  <c:v>13.173333333333332</c:v>
                </c:pt>
                <c:pt idx="15">
                  <c:v>18.773333333333333</c:v>
                </c:pt>
                <c:pt idx="16">
                  <c:v>16.013333333333332</c:v>
                </c:pt>
              </c:numCache>
            </c:numRef>
          </c:val>
          <c:smooth val="0"/>
          <c:extLst>
            <c:ext xmlns:c16="http://schemas.microsoft.com/office/drawing/2014/chart" uri="{C3380CC4-5D6E-409C-BE32-E72D297353CC}">
              <c16:uniqueId val="{00000000-A67B-493E-836C-4270E14CEB37}"/>
            </c:ext>
          </c:extLst>
        </c:ser>
        <c:ser>
          <c:idx val="1"/>
          <c:order val="1"/>
          <c:spPr>
            <a:ln w="28575" cap="rnd">
              <a:solidFill>
                <a:schemeClr val="accent2"/>
              </a:solidFill>
              <a:round/>
            </a:ln>
            <a:effectLst/>
          </c:spPr>
          <c:marker>
            <c:symbol val="none"/>
          </c:marker>
          <c:val>
            <c:numRef>
              <c:f>Analysis!$AY$3:$AY$19</c:f>
              <c:numCache>
                <c:formatCode>0.00</c:formatCode>
                <c:ptCount val="17"/>
              </c:numCache>
            </c:numRef>
          </c:val>
          <c:smooth val="0"/>
          <c:extLst>
            <c:ext xmlns:c16="http://schemas.microsoft.com/office/drawing/2014/chart" uri="{C3380CC4-5D6E-409C-BE32-E72D297353CC}">
              <c16:uniqueId val="{00000001-A67B-493E-836C-4270E14CEB37}"/>
            </c:ext>
          </c:extLst>
        </c:ser>
        <c:ser>
          <c:idx val="2"/>
          <c:order val="2"/>
          <c:spPr>
            <a:ln w="28575" cap="rnd">
              <a:solidFill>
                <a:schemeClr val="accent6"/>
              </a:solidFill>
              <a:round/>
            </a:ln>
            <a:effectLst/>
          </c:spPr>
          <c:marker>
            <c:symbol val="none"/>
          </c:marker>
          <c:val>
            <c:numRef>
              <c:f>Analysis!$AZ$3:$AZ$19</c:f>
              <c:numCache>
                <c:formatCode>0.00</c:formatCode>
                <c:ptCount val="17"/>
                <c:pt idx="0">
                  <c:v>17.875600000000002</c:v>
                </c:pt>
                <c:pt idx="1">
                  <c:v>15.0482</c:v>
                </c:pt>
                <c:pt idx="2">
                  <c:v>14.512200000000002</c:v>
                </c:pt>
                <c:pt idx="3">
                  <c:v>15.168000000000001</c:v>
                </c:pt>
                <c:pt idx="4">
                  <c:v>14.656000000000001</c:v>
                </c:pt>
                <c:pt idx="5">
                  <c:v>15.327999999999999</c:v>
                </c:pt>
                <c:pt idx="6">
                  <c:v>14.16</c:v>
                </c:pt>
                <c:pt idx="7">
                  <c:v>16</c:v>
                </c:pt>
                <c:pt idx="8">
                  <c:v>16.208000000000002</c:v>
                </c:pt>
                <c:pt idx="9">
                  <c:v>14.687999999999999</c:v>
                </c:pt>
                <c:pt idx="10">
                  <c:v>14.528</c:v>
                </c:pt>
                <c:pt idx="11">
                  <c:v>16.911999999999999</c:v>
                </c:pt>
                <c:pt idx="12">
                  <c:v>14.607999999999999</c:v>
                </c:pt>
                <c:pt idx="13">
                  <c:v>14.976000000000003</c:v>
                </c:pt>
                <c:pt idx="14">
                  <c:v>14.960000000000003</c:v>
                </c:pt>
                <c:pt idx="15">
                  <c:v>17.872</c:v>
                </c:pt>
                <c:pt idx="16">
                  <c:v>17.408000000000001</c:v>
                </c:pt>
              </c:numCache>
            </c:numRef>
          </c:val>
          <c:smooth val="0"/>
          <c:extLst>
            <c:ext xmlns:c16="http://schemas.microsoft.com/office/drawing/2014/chart" uri="{C3380CC4-5D6E-409C-BE32-E72D297353CC}">
              <c16:uniqueId val="{00000002-A67B-493E-836C-4270E14CEB37}"/>
            </c:ext>
          </c:extLst>
        </c:ser>
        <c:dLbls>
          <c:showLegendKey val="0"/>
          <c:showVal val="0"/>
          <c:showCatName val="0"/>
          <c:showSerName val="0"/>
          <c:showPercent val="0"/>
          <c:showBubbleSize val="0"/>
        </c:dLbls>
        <c:smooth val="0"/>
        <c:axId val="1191403456"/>
        <c:axId val="1191404704"/>
      </c:lineChart>
      <c:catAx>
        <c:axId val="119140345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04704"/>
        <c:crosses val="autoZero"/>
        <c:auto val="1"/>
        <c:lblAlgn val="ctr"/>
        <c:lblOffset val="100"/>
        <c:noMultiLvlLbl val="0"/>
      </c:catAx>
      <c:valAx>
        <c:axId val="11914047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03456"/>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 Pellet</a:t>
            </a:r>
            <a:r>
              <a:rPr lang="en-GB" baseline="0"/>
              <a:t> intake animal/phase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Analysis!$B$32</c:f>
              <c:strCache>
                <c:ptCount val="1"/>
                <c:pt idx="0">
                  <c:v>GRAIN</c:v>
                </c:pt>
              </c:strCache>
            </c:strRef>
          </c:tx>
          <c:spPr>
            <a:solidFill>
              <a:srgbClr val="FFC000"/>
            </a:solidFill>
            <a:ln>
              <a:noFill/>
            </a:ln>
            <a:effectLst/>
          </c:spPr>
          <c:invertIfNegative val="0"/>
          <c:cat>
            <c:strRef>
              <c:f>Analysis!$C$31:$O$31</c:f>
              <c:strCache>
                <c:ptCount val="13"/>
                <c:pt idx="0">
                  <c:v>FEDXB01</c:v>
                </c:pt>
                <c:pt idx="1">
                  <c:v>FEDXB02</c:v>
                </c:pt>
                <c:pt idx="2">
                  <c:v>FEDXB03</c:v>
                </c:pt>
                <c:pt idx="3">
                  <c:v>FEDXB04</c:v>
                </c:pt>
                <c:pt idx="4">
                  <c:v>FEDXB05</c:v>
                </c:pt>
                <c:pt idx="5">
                  <c:v>FEDXB06</c:v>
                </c:pt>
                <c:pt idx="7">
                  <c:v>FEDXB07</c:v>
                </c:pt>
                <c:pt idx="8">
                  <c:v>FEDXB08</c:v>
                </c:pt>
                <c:pt idx="9">
                  <c:v>FEDXB09</c:v>
                </c:pt>
                <c:pt idx="10">
                  <c:v>FEDXB10</c:v>
                </c:pt>
                <c:pt idx="11">
                  <c:v>FEDXB11</c:v>
                </c:pt>
                <c:pt idx="12">
                  <c:v>FEDXB12</c:v>
                </c:pt>
              </c:strCache>
            </c:strRef>
          </c:cat>
          <c:val>
            <c:numRef>
              <c:f>Analysis!$C$32:$O$32</c:f>
              <c:numCache>
                <c:formatCode>0.00</c:formatCode>
                <c:ptCount val="13"/>
                <c:pt idx="0">
                  <c:v>248.33333333333334</c:v>
                </c:pt>
                <c:pt idx="1">
                  <c:v>221</c:v>
                </c:pt>
                <c:pt idx="2">
                  <c:v>179</c:v>
                </c:pt>
                <c:pt idx="3">
                  <c:v>183</c:v>
                </c:pt>
                <c:pt idx="4">
                  <c:v>231.33333333333334</c:v>
                </c:pt>
                <c:pt idx="5">
                  <c:v>256.33333333333331</c:v>
                </c:pt>
                <c:pt idx="7">
                  <c:v>259.33333333333331</c:v>
                </c:pt>
                <c:pt idx="8">
                  <c:v>199.33333333333334</c:v>
                </c:pt>
                <c:pt idx="10">
                  <c:v>235</c:v>
                </c:pt>
                <c:pt idx="11">
                  <c:v>254.33333333333334</c:v>
                </c:pt>
                <c:pt idx="12">
                  <c:v>232</c:v>
                </c:pt>
              </c:numCache>
            </c:numRef>
          </c:val>
          <c:extLst>
            <c:ext xmlns:c16="http://schemas.microsoft.com/office/drawing/2014/chart" uri="{C3380CC4-5D6E-409C-BE32-E72D297353CC}">
              <c16:uniqueId val="{00000000-A931-4C21-B5B3-EE2B637F0476}"/>
            </c:ext>
          </c:extLst>
        </c:ser>
        <c:ser>
          <c:idx val="1"/>
          <c:order val="1"/>
          <c:tx>
            <c:strRef>
              <c:f>Analysis!$B$33</c:f>
              <c:strCache>
                <c:ptCount val="1"/>
                <c:pt idx="0">
                  <c:v>PR Phase</c:v>
                </c:pt>
              </c:strCache>
            </c:strRef>
          </c:tx>
          <c:spPr>
            <a:solidFill>
              <a:srgbClr val="FF0000"/>
            </a:solidFill>
            <a:ln>
              <a:noFill/>
            </a:ln>
            <a:effectLst/>
          </c:spPr>
          <c:invertIfNegative val="0"/>
          <c:cat>
            <c:strRef>
              <c:f>Analysis!$C$31:$O$31</c:f>
              <c:strCache>
                <c:ptCount val="13"/>
                <c:pt idx="0">
                  <c:v>FEDXB01</c:v>
                </c:pt>
                <c:pt idx="1">
                  <c:v>FEDXB02</c:v>
                </c:pt>
                <c:pt idx="2">
                  <c:v>FEDXB03</c:v>
                </c:pt>
                <c:pt idx="3">
                  <c:v>FEDXB04</c:v>
                </c:pt>
                <c:pt idx="4">
                  <c:v>FEDXB05</c:v>
                </c:pt>
                <c:pt idx="5">
                  <c:v>FEDXB06</c:v>
                </c:pt>
                <c:pt idx="7">
                  <c:v>FEDXB07</c:v>
                </c:pt>
                <c:pt idx="8">
                  <c:v>FEDXB08</c:v>
                </c:pt>
                <c:pt idx="9">
                  <c:v>FEDXB09</c:v>
                </c:pt>
                <c:pt idx="10">
                  <c:v>FEDXB10</c:v>
                </c:pt>
                <c:pt idx="11">
                  <c:v>FEDXB11</c:v>
                </c:pt>
                <c:pt idx="12">
                  <c:v>FEDXB12</c:v>
                </c:pt>
              </c:strCache>
            </c:strRef>
          </c:cat>
          <c:val>
            <c:numRef>
              <c:f>Analysis!$C$33:$O$33</c:f>
              <c:numCache>
                <c:formatCode>0.00</c:formatCode>
                <c:ptCount val="13"/>
                <c:pt idx="0">
                  <c:v>198.28571428571428</c:v>
                </c:pt>
                <c:pt idx="1">
                  <c:v>178.28571428571428</c:v>
                </c:pt>
                <c:pt idx="2">
                  <c:v>203.71428571428572</c:v>
                </c:pt>
                <c:pt idx="3">
                  <c:v>182.14285714285714</c:v>
                </c:pt>
                <c:pt idx="4">
                  <c:v>200.42857142857142</c:v>
                </c:pt>
                <c:pt idx="5">
                  <c:v>188.85714285714286</c:v>
                </c:pt>
                <c:pt idx="7">
                  <c:v>239.85714285714286</c:v>
                </c:pt>
                <c:pt idx="8">
                  <c:v>189.28571428571428</c:v>
                </c:pt>
                <c:pt idx="10">
                  <c:v>213.71428571428572</c:v>
                </c:pt>
                <c:pt idx="11">
                  <c:v>159.57142857142858</c:v>
                </c:pt>
                <c:pt idx="12">
                  <c:v>191</c:v>
                </c:pt>
              </c:numCache>
            </c:numRef>
          </c:val>
          <c:extLst>
            <c:ext xmlns:c16="http://schemas.microsoft.com/office/drawing/2014/chart" uri="{C3380CC4-5D6E-409C-BE32-E72D297353CC}">
              <c16:uniqueId val="{00000001-A931-4C21-B5B3-EE2B637F0476}"/>
            </c:ext>
          </c:extLst>
        </c:ser>
        <c:ser>
          <c:idx val="2"/>
          <c:order val="2"/>
          <c:tx>
            <c:strRef>
              <c:f>Analysis!$B$34</c:f>
              <c:strCache>
                <c:ptCount val="1"/>
                <c:pt idx="0">
                  <c:v>NR Phase</c:v>
                </c:pt>
              </c:strCache>
            </c:strRef>
          </c:tx>
          <c:spPr>
            <a:solidFill>
              <a:srgbClr val="00B050"/>
            </a:solidFill>
            <a:ln>
              <a:noFill/>
            </a:ln>
            <a:effectLst/>
          </c:spPr>
          <c:invertIfNegative val="0"/>
          <c:cat>
            <c:strRef>
              <c:f>Analysis!$C$31:$O$31</c:f>
              <c:strCache>
                <c:ptCount val="13"/>
                <c:pt idx="0">
                  <c:v>FEDXB01</c:v>
                </c:pt>
                <c:pt idx="1">
                  <c:v>FEDXB02</c:v>
                </c:pt>
                <c:pt idx="2">
                  <c:v>FEDXB03</c:v>
                </c:pt>
                <c:pt idx="3">
                  <c:v>FEDXB04</c:v>
                </c:pt>
                <c:pt idx="4">
                  <c:v>FEDXB05</c:v>
                </c:pt>
                <c:pt idx="5">
                  <c:v>FEDXB06</c:v>
                </c:pt>
                <c:pt idx="7">
                  <c:v>FEDXB07</c:v>
                </c:pt>
                <c:pt idx="8">
                  <c:v>FEDXB08</c:v>
                </c:pt>
                <c:pt idx="9">
                  <c:v>FEDXB09</c:v>
                </c:pt>
                <c:pt idx="10">
                  <c:v>FEDXB10</c:v>
                </c:pt>
                <c:pt idx="11">
                  <c:v>FEDXB11</c:v>
                </c:pt>
                <c:pt idx="12">
                  <c:v>FEDXB12</c:v>
                </c:pt>
              </c:strCache>
            </c:strRef>
          </c:cat>
          <c:val>
            <c:numRef>
              <c:f>Analysis!$C$34:$O$34</c:f>
              <c:numCache>
                <c:formatCode>0.00</c:formatCode>
                <c:ptCount val="13"/>
                <c:pt idx="0">
                  <c:v>198.85714285714286</c:v>
                </c:pt>
                <c:pt idx="1">
                  <c:v>172.14285714285714</c:v>
                </c:pt>
                <c:pt idx="2">
                  <c:v>206.57142857142858</c:v>
                </c:pt>
                <c:pt idx="3">
                  <c:v>207.42857142857142</c:v>
                </c:pt>
                <c:pt idx="4">
                  <c:v>209.42857142857142</c:v>
                </c:pt>
                <c:pt idx="5">
                  <c:v>241.85714285714286</c:v>
                </c:pt>
                <c:pt idx="7">
                  <c:v>206.28571428571428</c:v>
                </c:pt>
                <c:pt idx="8">
                  <c:v>187.71428571428572</c:v>
                </c:pt>
                <c:pt idx="10">
                  <c:v>194.85714285714286</c:v>
                </c:pt>
                <c:pt idx="11">
                  <c:v>175.71428571428572</c:v>
                </c:pt>
                <c:pt idx="12">
                  <c:v>183.71428571428572</c:v>
                </c:pt>
              </c:numCache>
            </c:numRef>
          </c:val>
          <c:extLst>
            <c:ext xmlns:c16="http://schemas.microsoft.com/office/drawing/2014/chart" uri="{C3380CC4-5D6E-409C-BE32-E72D297353CC}">
              <c16:uniqueId val="{00000002-A931-4C21-B5B3-EE2B637F0476}"/>
            </c:ext>
          </c:extLst>
        </c:ser>
        <c:dLbls>
          <c:showLegendKey val="0"/>
          <c:showVal val="0"/>
          <c:showCatName val="0"/>
          <c:showSerName val="0"/>
          <c:showPercent val="0"/>
          <c:showBubbleSize val="0"/>
        </c:dLbls>
        <c:gapWidth val="219"/>
        <c:overlap val="-27"/>
        <c:axId val="784655456"/>
        <c:axId val="784655040"/>
      </c:barChart>
      <c:catAx>
        <c:axId val="78465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655040"/>
        <c:crosses val="autoZero"/>
        <c:auto val="1"/>
        <c:lblAlgn val="ctr"/>
        <c:lblOffset val="100"/>
        <c:noMultiLvlLbl val="0"/>
      </c:catAx>
      <c:valAx>
        <c:axId val="784655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655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3</xdr:row>
      <xdr:rowOff>19050</xdr:rowOff>
    </xdr:from>
    <xdr:to>
      <xdr:col>31</xdr:col>
      <xdr:colOff>142875</xdr:colOff>
      <xdr:row>18</xdr:row>
      <xdr:rowOff>47625</xdr:rowOff>
    </xdr:to>
    <xdr:graphicFrame macro="">
      <xdr:nvGraphicFramePr>
        <xdr:cNvPr id="2" name="Chart 1">
          <a:extLst>
            <a:ext uri="{FF2B5EF4-FFF2-40B4-BE49-F238E27FC236}">
              <a16:creationId xmlns:a16="http://schemas.microsoft.com/office/drawing/2014/main" id="{1E6E8852-82D0-60C5-2C7E-197CA0434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560387</xdr:colOff>
      <xdr:row>2</xdr:row>
      <xdr:rowOff>95250</xdr:rowOff>
    </xdr:from>
    <xdr:to>
      <xdr:col>60</xdr:col>
      <xdr:colOff>255587</xdr:colOff>
      <xdr:row>17</xdr:row>
      <xdr:rowOff>120650</xdr:rowOff>
    </xdr:to>
    <xdr:graphicFrame macro="">
      <xdr:nvGraphicFramePr>
        <xdr:cNvPr id="3" name="Chart 2">
          <a:extLst>
            <a:ext uri="{FF2B5EF4-FFF2-40B4-BE49-F238E27FC236}">
              <a16:creationId xmlns:a16="http://schemas.microsoft.com/office/drawing/2014/main" id="{EF9CAA80-BC15-46CE-9D9B-0C0FF33037D7}"/>
            </a:ext>
            <a:ext uri="{147F2762-F138-4A5C-976F-8EAC2B608ADB}">
              <a16:predDERef xmlns:a16="http://schemas.microsoft.com/office/drawing/2014/main" pred="{1E6E8852-82D0-60C5-2C7E-197CA0434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544512</xdr:colOff>
      <xdr:row>36</xdr:row>
      <xdr:rowOff>95250</xdr:rowOff>
    </xdr:from>
    <xdr:to>
      <xdr:col>21</xdr:col>
      <xdr:colOff>592137</xdr:colOff>
      <xdr:row>51</xdr:row>
      <xdr:rowOff>123825</xdr:rowOff>
    </xdr:to>
    <xdr:graphicFrame macro="">
      <xdr:nvGraphicFramePr>
        <xdr:cNvPr id="4" name="Chart 3">
          <a:extLst>
            <a:ext uri="{FF2B5EF4-FFF2-40B4-BE49-F238E27FC236}">
              <a16:creationId xmlns:a16="http://schemas.microsoft.com/office/drawing/2014/main" id="{9A93170A-4697-4AB0-8515-B047394B4000}"/>
            </a:ext>
            <a:ext uri="{147F2762-F138-4A5C-976F-8EAC2B608ADB}">
              <a16:predDERef xmlns:a16="http://schemas.microsoft.com/office/drawing/2014/main" pred="{EF9CAA80-BC15-46CE-9D9B-0C0FF33037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Hamid Taghipourbibalan" id="{60360D0C-1802-44A5-A19E-F403A834A4E8}" userId="S::hta031@uit.no::29922949-cdb3-4375-8ce2-aa711aea7c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5" dT="2022-05-16T06:48:13.15" personId="{60360D0C-1802-44A5-A19E-F403A834A4E8}" id="{5DF2B59E-2042-4659-8F3F-0D8AFDBD8BBC}">
    <text xml:space="preserve">Unit FED006 JAM, disc failure </text>
  </threadedComment>
</ThreadedComments>
</file>

<file path=xl/threadedComments/threadedComment2.xml><?xml version="1.0" encoding="utf-8"?>
<ThreadedComments xmlns="http://schemas.microsoft.com/office/spreadsheetml/2018/threadedcomments" xmlns:x="http://schemas.openxmlformats.org/spreadsheetml/2006/main">
  <threadedComment ref="H14" dT="2022-06-21T13:28:46.24" personId="{60360D0C-1802-44A5-A19E-F403A834A4E8}" id="{7B87C6C9-8FBC-4DC9-97AF-FB6D3AC044AF}">
    <text>JAM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view="pageBreakPreview" topLeftCell="A70" zoomScale="85" zoomScaleNormal="100" zoomScaleSheetLayoutView="85" workbookViewId="0">
      <selection activeCell="F91" sqref="F91"/>
    </sheetView>
  </sheetViews>
  <sheetFormatPr defaultRowHeight="24.95" customHeight="1" x14ac:dyDescent="0.25"/>
  <cols>
    <col min="1" max="1" width="24.42578125" style="3" customWidth="1"/>
    <col min="2" max="2" width="21.85546875" customWidth="1"/>
    <col min="3" max="3" width="50.42578125" style="5" customWidth="1"/>
    <col min="4" max="4" width="52.140625" style="5" customWidth="1"/>
    <col min="5" max="5" width="20.5703125" customWidth="1"/>
  </cols>
  <sheetData>
    <row r="1" spans="1:4" ht="24.95" customHeight="1" x14ac:dyDescent="0.25">
      <c r="A1" s="2" t="s">
        <v>0</v>
      </c>
      <c r="B1" s="1" t="s">
        <v>1</v>
      </c>
      <c r="C1" s="1" t="s">
        <v>2</v>
      </c>
      <c r="D1" s="1" t="s">
        <v>3</v>
      </c>
    </row>
    <row r="2" spans="1:4" ht="24.95" customHeight="1" x14ac:dyDescent="0.25">
      <c r="A2" s="7">
        <v>44648</v>
      </c>
      <c r="B2" s="5" t="s">
        <v>4</v>
      </c>
      <c r="C2" s="8" t="s">
        <v>5</v>
      </c>
      <c r="D2" s="5" t="s">
        <v>6</v>
      </c>
    </row>
    <row r="3" spans="1:4" ht="24.95" customHeight="1" x14ac:dyDescent="0.25">
      <c r="A3" s="7">
        <v>44649</v>
      </c>
      <c r="B3" s="5" t="s">
        <v>7</v>
      </c>
      <c r="D3" s="5" t="s">
        <v>6</v>
      </c>
    </row>
    <row r="4" spans="1:4" ht="24.95" customHeight="1" x14ac:dyDescent="0.25">
      <c r="A4" s="7">
        <v>44650</v>
      </c>
      <c r="B4" s="5" t="s">
        <v>8</v>
      </c>
      <c r="D4" s="5" t="s">
        <v>6</v>
      </c>
    </row>
    <row r="5" spans="1:4" ht="24.95" customHeight="1" x14ac:dyDescent="0.25">
      <c r="A5" s="7">
        <v>44651</v>
      </c>
      <c r="B5" s="5" t="s">
        <v>9</v>
      </c>
      <c r="D5" s="5" t="s">
        <v>6</v>
      </c>
    </row>
    <row r="6" spans="1:4" ht="24.95" customHeight="1" x14ac:dyDescent="0.25">
      <c r="A6" s="7">
        <v>44652</v>
      </c>
      <c r="B6" s="5" t="s">
        <v>10</v>
      </c>
      <c r="D6" s="5" t="s">
        <v>6</v>
      </c>
    </row>
    <row r="7" spans="1:4" ht="24.95" customHeight="1" x14ac:dyDescent="0.25">
      <c r="A7" s="4">
        <v>44653</v>
      </c>
      <c r="B7" s="5" t="s">
        <v>11</v>
      </c>
    </row>
    <row r="8" spans="1:4" ht="24.95" customHeight="1" x14ac:dyDescent="0.25">
      <c r="A8" s="4">
        <v>44654</v>
      </c>
      <c r="B8" s="5" t="s">
        <v>12</v>
      </c>
    </row>
    <row r="9" spans="1:4" ht="24.95" customHeight="1" x14ac:dyDescent="0.25">
      <c r="A9" s="4">
        <v>44655</v>
      </c>
      <c r="B9" s="5" t="s">
        <v>4</v>
      </c>
    </row>
    <row r="10" spans="1:4" ht="24.95" customHeight="1" x14ac:dyDescent="0.25">
      <c r="A10" s="4">
        <v>44656</v>
      </c>
      <c r="B10" s="5" t="s">
        <v>7</v>
      </c>
    </row>
    <row r="11" spans="1:4" ht="24.95" customHeight="1" x14ac:dyDescent="0.25">
      <c r="A11" s="7">
        <v>44657</v>
      </c>
      <c r="B11" s="5" t="s">
        <v>8</v>
      </c>
      <c r="D11" s="5" t="s">
        <v>13</v>
      </c>
    </row>
    <row r="12" spans="1:4" ht="24.95" customHeight="1" x14ac:dyDescent="0.25">
      <c r="A12" s="7">
        <v>44658</v>
      </c>
      <c r="B12" s="5" t="s">
        <v>9</v>
      </c>
      <c r="D12" s="5" t="s">
        <v>13</v>
      </c>
    </row>
    <row r="13" spans="1:4" ht="24.95" customHeight="1" x14ac:dyDescent="0.25">
      <c r="A13" s="7">
        <v>44659</v>
      </c>
      <c r="B13" s="5" t="s">
        <v>10</v>
      </c>
      <c r="C13" s="8" t="s">
        <v>14</v>
      </c>
      <c r="D13" s="6" t="s">
        <v>15</v>
      </c>
    </row>
    <row r="14" spans="1:4" ht="24.95" customHeight="1" x14ac:dyDescent="0.25">
      <c r="A14" s="4">
        <v>44660</v>
      </c>
      <c r="B14" s="5" t="s">
        <v>11</v>
      </c>
    </row>
    <row r="15" spans="1:4" ht="24.95" customHeight="1" x14ac:dyDescent="0.25">
      <c r="A15" s="4">
        <v>44661</v>
      </c>
      <c r="B15" s="5" t="s">
        <v>12</v>
      </c>
    </row>
    <row r="16" spans="1:4" ht="24.95" customHeight="1" x14ac:dyDescent="0.25">
      <c r="A16" s="4">
        <v>44662</v>
      </c>
      <c r="B16" s="5" t="s">
        <v>4</v>
      </c>
      <c r="C16" s="5" t="s">
        <v>16</v>
      </c>
    </row>
    <row r="17" spans="1:4" ht="24.95" customHeight="1" x14ac:dyDescent="0.25">
      <c r="A17" s="4">
        <v>44663</v>
      </c>
      <c r="B17" s="5" t="s">
        <v>7</v>
      </c>
      <c r="C17" s="5" t="s">
        <v>17</v>
      </c>
    </row>
    <row r="18" spans="1:4" ht="24.95" customHeight="1" x14ac:dyDescent="0.25">
      <c r="A18" s="4">
        <v>44664</v>
      </c>
      <c r="B18" s="5" t="s">
        <v>8</v>
      </c>
      <c r="C18" s="5" t="s">
        <v>18</v>
      </c>
    </row>
    <row r="19" spans="1:4" ht="24.95" customHeight="1" x14ac:dyDescent="0.25">
      <c r="A19" s="4">
        <v>44665</v>
      </c>
      <c r="B19" s="5" t="s">
        <v>9</v>
      </c>
    </row>
    <row r="20" spans="1:4" ht="24.95" customHeight="1" x14ac:dyDescent="0.25">
      <c r="A20" s="4">
        <v>44666</v>
      </c>
      <c r="B20" s="5" t="s">
        <v>10</v>
      </c>
    </row>
    <row r="21" spans="1:4" ht="24.95" customHeight="1" x14ac:dyDescent="0.25">
      <c r="A21" s="4">
        <v>44667</v>
      </c>
      <c r="B21" s="5" t="s">
        <v>11</v>
      </c>
    </row>
    <row r="22" spans="1:4" ht="24.95" customHeight="1" x14ac:dyDescent="0.25">
      <c r="A22" s="4">
        <v>44668</v>
      </c>
      <c r="B22" s="5" t="s">
        <v>12</v>
      </c>
    </row>
    <row r="23" spans="1:4" ht="24.95" customHeight="1" x14ac:dyDescent="0.25">
      <c r="A23" s="4">
        <v>44669</v>
      </c>
      <c r="B23" s="5" t="s">
        <v>4</v>
      </c>
    </row>
    <row r="24" spans="1:4" ht="24.95" customHeight="1" x14ac:dyDescent="0.25">
      <c r="A24" s="4">
        <v>44670</v>
      </c>
      <c r="B24" s="5" t="s">
        <v>7</v>
      </c>
    </row>
    <row r="25" spans="1:4" ht="24.95" customHeight="1" x14ac:dyDescent="0.25">
      <c r="A25" s="4">
        <v>44671</v>
      </c>
      <c r="B25" s="5" t="s">
        <v>8</v>
      </c>
    </row>
    <row r="26" spans="1:4" ht="24.95" customHeight="1" x14ac:dyDescent="0.25">
      <c r="A26" s="4">
        <v>44672</v>
      </c>
      <c r="B26" s="5" t="s">
        <v>9</v>
      </c>
      <c r="C26" s="5" t="s">
        <v>19</v>
      </c>
      <c r="D26" s="5" t="s">
        <v>20</v>
      </c>
    </row>
    <row r="27" spans="1:4" ht="24.95" customHeight="1" x14ac:dyDescent="0.25">
      <c r="A27" s="4">
        <v>44673</v>
      </c>
      <c r="B27" s="5" t="s">
        <v>10</v>
      </c>
      <c r="C27" s="5" t="s">
        <v>21</v>
      </c>
      <c r="D27" s="5" t="s">
        <v>22</v>
      </c>
    </row>
    <row r="28" spans="1:4" ht="24.95" customHeight="1" x14ac:dyDescent="0.25">
      <c r="A28" s="4">
        <v>44674</v>
      </c>
      <c r="B28" s="5" t="s">
        <v>11</v>
      </c>
      <c r="C28" s="5" t="s">
        <v>23</v>
      </c>
      <c r="D28" s="6" t="s">
        <v>24</v>
      </c>
    </row>
    <row r="29" spans="1:4" ht="24.95" customHeight="1" x14ac:dyDescent="0.25">
      <c r="A29" s="4">
        <v>44675</v>
      </c>
      <c r="B29" s="5" t="s">
        <v>12</v>
      </c>
      <c r="C29" s="5" t="s">
        <v>25</v>
      </c>
      <c r="D29" s="5" t="s">
        <v>26</v>
      </c>
    </row>
    <row r="30" spans="1:4" ht="24.95" customHeight="1" x14ac:dyDescent="0.25">
      <c r="A30" s="4">
        <v>44676</v>
      </c>
      <c r="B30" s="5" t="s">
        <v>4</v>
      </c>
      <c r="C30" s="5" t="s">
        <v>25</v>
      </c>
      <c r="D30" s="5" t="s">
        <v>27</v>
      </c>
    </row>
    <row r="31" spans="1:4" ht="24.95" customHeight="1" x14ac:dyDescent="0.25">
      <c r="A31" s="4">
        <v>44677</v>
      </c>
      <c r="B31" s="5" t="s">
        <v>7</v>
      </c>
      <c r="C31" s="5" t="s">
        <v>28</v>
      </c>
      <c r="D31" s="6" t="s">
        <v>29</v>
      </c>
    </row>
    <row r="32" spans="1:4" ht="24.95" customHeight="1" x14ac:dyDescent="0.25">
      <c r="A32" s="7">
        <v>44678</v>
      </c>
      <c r="B32" s="5" t="s">
        <v>8</v>
      </c>
      <c r="C32" s="5" t="s">
        <v>28</v>
      </c>
      <c r="D32" s="5" t="s">
        <v>30</v>
      </c>
    </row>
    <row r="33" spans="1:10" ht="24.95" customHeight="1" x14ac:dyDescent="0.25">
      <c r="A33" s="7">
        <v>44679</v>
      </c>
      <c r="B33" s="5" t="s">
        <v>9</v>
      </c>
      <c r="C33" s="5" t="s">
        <v>28</v>
      </c>
      <c r="D33" s="5" t="s">
        <v>31</v>
      </c>
    </row>
    <row r="34" spans="1:10" ht="24.95" customHeight="1" x14ac:dyDescent="0.25">
      <c r="A34" s="7">
        <v>44680</v>
      </c>
      <c r="B34" s="5" t="s">
        <v>10</v>
      </c>
      <c r="C34" s="5" t="s">
        <v>28</v>
      </c>
      <c r="D34" s="5" t="s">
        <v>32</v>
      </c>
    </row>
    <row r="35" spans="1:10" ht="24.95" customHeight="1" x14ac:dyDescent="0.25">
      <c r="A35" s="4">
        <v>44681</v>
      </c>
      <c r="B35" s="5" t="s">
        <v>11</v>
      </c>
      <c r="C35" s="5" t="s">
        <v>28</v>
      </c>
      <c r="D35" s="5" t="s">
        <v>33</v>
      </c>
    </row>
    <row r="36" spans="1:10" ht="24.95" customHeight="1" x14ac:dyDescent="0.25">
      <c r="A36" s="4">
        <v>44682</v>
      </c>
      <c r="B36" s="5" t="s">
        <v>12</v>
      </c>
      <c r="C36" s="5" t="s">
        <v>28</v>
      </c>
      <c r="D36" s="5" t="s">
        <v>34</v>
      </c>
    </row>
    <row r="37" spans="1:10" ht="24.95" customHeight="1" x14ac:dyDescent="0.25">
      <c r="A37" s="4">
        <v>44683</v>
      </c>
      <c r="B37" s="5" t="s">
        <v>4</v>
      </c>
      <c r="C37" s="5" t="s">
        <v>28</v>
      </c>
      <c r="D37" s="5" t="s">
        <v>35</v>
      </c>
    </row>
    <row r="38" spans="1:10" s="9" customFormat="1" ht="24.95" customHeight="1" x14ac:dyDescent="0.25">
      <c r="A38" s="4">
        <v>44684</v>
      </c>
      <c r="B38" s="5" t="s">
        <v>7</v>
      </c>
      <c r="C38" s="5" t="s">
        <v>28</v>
      </c>
      <c r="D38" s="6" t="s">
        <v>36</v>
      </c>
      <c r="E38"/>
      <c r="F38"/>
      <c r="G38"/>
      <c r="H38"/>
      <c r="I38"/>
      <c r="J38"/>
    </row>
    <row r="39" spans="1:10" ht="24.95" customHeight="1" x14ac:dyDescent="0.25">
      <c r="A39" s="4">
        <v>44685</v>
      </c>
      <c r="B39" s="5" t="s">
        <v>8</v>
      </c>
      <c r="C39" s="5" t="s">
        <v>28</v>
      </c>
      <c r="D39" s="5" t="s">
        <v>37</v>
      </c>
    </row>
    <row r="40" spans="1:10" ht="24.95" customHeight="1" x14ac:dyDescent="0.25">
      <c r="A40" s="4">
        <v>44686</v>
      </c>
      <c r="B40" s="5" t="s">
        <v>9</v>
      </c>
      <c r="C40" s="5" t="s">
        <v>28</v>
      </c>
      <c r="D40" s="5" t="s">
        <v>38</v>
      </c>
    </row>
    <row r="41" spans="1:10" ht="24.95" customHeight="1" x14ac:dyDescent="0.25">
      <c r="A41" s="4">
        <v>44687</v>
      </c>
      <c r="B41" s="5" t="s">
        <v>10</v>
      </c>
      <c r="C41" s="5" t="s">
        <v>28</v>
      </c>
      <c r="D41" s="5" t="s">
        <v>39</v>
      </c>
    </row>
    <row r="42" spans="1:10" ht="24.95" customHeight="1" x14ac:dyDescent="0.25">
      <c r="A42" s="4">
        <v>44688</v>
      </c>
      <c r="B42" s="5" t="s">
        <v>11</v>
      </c>
      <c r="C42" s="5" t="s">
        <v>28</v>
      </c>
      <c r="D42" s="5" t="s">
        <v>40</v>
      </c>
    </row>
    <row r="43" spans="1:10" ht="24.95" customHeight="1" x14ac:dyDescent="0.25">
      <c r="A43" s="4">
        <v>44689</v>
      </c>
      <c r="B43" s="5" t="s">
        <v>12</v>
      </c>
      <c r="C43" s="5" t="s">
        <v>28</v>
      </c>
      <c r="D43" s="5" t="s">
        <v>41</v>
      </c>
    </row>
    <row r="44" spans="1:10" s="11" customFormat="1" ht="24.95" customHeight="1" x14ac:dyDescent="0.25">
      <c r="A44" s="10">
        <v>44690</v>
      </c>
      <c r="B44" s="5" t="s">
        <v>4</v>
      </c>
      <c r="C44" s="5" t="s">
        <v>28</v>
      </c>
      <c r="D44" s="5" t="s">
        <v>35</v>
      </c>
      <c r="E44"/>
      <c r="F44"/>
      <c r="G44"/>
      <c r="H44"/>
      <c r="I44"/>
      <c r="J44"/>
    </row>
    <row r="45" spans="1:10" ht="24.95" customHeight="1" x14ac:dyDescent="0.25">
      <c r="A45" s="4">
        <v>44691</v>
      </c>
      <c r="B45" s="5" t="s">
        <v>7</v>
      </c>
      <c r="C45" s="5" t="s">
        <v>42</v>
      </c>
      <c r="D45" s="5" t="s">
        <v>43</v>
      </c>
    </row>
    <row r="46" spans="1:10" ht="24.95" customHeight="1" x14ac:dyDescent="0.25">
      <c r="A46" s="4">
        <v>44692</v>
      </c>
      <c r="B46" s="5" t="s">
        <v>8</v>
      </c>
      <c r="C46" s="5" t="s">
        <v>44</v>
      </c>
      <c r="D46" s="5" t="s">
        <v>45</v>
      </c>
    </row>
    <row r="47" spans="1:10" ht="24.95" customHeight="1" x14ac:dyDescent="0.25">
      <c r="A47" s="4">
        <v>44693</v>
      </c>
      <c r="B47" s="5" t="s">
        <v>9</v>
      </c>
      <c r="C47" s="5" t="s">
        <v>46</v>
      </c>
      <c r="D47" s="5" t="s">
        <v>47</v>
      </c>
    </row>
    <row r="48" spans="1:10" ht="24.95" customHeight="1" x14ac:dyDescent="0.25">
      <c r="A48" s="4">
        <v>44694</v>
      </c>
      <c r="B48" s="5" t="s">
        <v>10</v>
      </c>
      <c r="C48" s="5" t="s">
        <v>48</v>
      </c>
    </row>
    <row r="49" spans="1:4" ht="24.95" customHeight="1" x14ac:dyDescent="0.25">
      <c r="A49" s="4">
        <v>44695</v>
      </c>
      <c r="B49" s="5" t="s">
        <v>11</v>
      </c>
      <c r="C49" s="5" t="s">
        <v>46</v>
      </c>
    </row>
    <row r="50" spans="1:4" ht="24.95" customHeight="1" x14ac:dyDescent="0.25">
      <c r="A50" s="4">
        <v>44696</v>
      </c>
      <c r="B50" s="5" t="s">
        <v>12</v>
      </c>
      <c r="C50" s="5" t="s">
        <v>49</v>
      </c>
      <c r="D50" s="5" t="s">
        <v>50</v>
      </c>
    </row>
    <row r="51" spans="1:4" ht="24.95" customHeight="1" x14ac:dyDescent="0.25">
      <c r="A51" s="4">
        <v>44697</v>
      </c>
      <c r="B51" s="5" t="s">
        <v>4</v>
      </c>
      <c r="C51" s="5" t="s">
        <v>49</v>
      </c>
    </row>
    <row r="52" spans="1:4" ht="24.95" customHeight="1" x14ac:dyDescent="0.25">
      <c r="A52" s="4">
        <v>44698</v>
      </c>
      <c r="B52" s="5" t="s">
        <v>7</v>
      </c>
      <c r="C52" s="5" t="s">
        <v>49</v>
      </c>
    </row>
    <row r="53" spans="1:4" ht="24.95" customHeight="1" x14ac:dyDescent="0.25">
      <c r="A53" s="4">
        <v>44699</v>
      </c>
      <c r="B53" s="5" t="s">
        <v>8</v>
      </c>
      <c r="D53" s="5" t="s">
        <v>51</v>
      </c>
    </row>
    <row r="54" spans="1:4" ht="24.95" customHeight="1" x14ac:dyDescent="0.25">
      <c r="A54" s="4">
        <v>44700</v>
      </c>
      <c r="B54" s="5" t="s">
        <v>9</v>
      </c>
    </row>
    <row r="55" spans="1:4" ht="24.95" customHeight="1" x14ac:dyDescent="0.25">
      <c r="A55" s="4">
        <v>44701</v>
      </c>
      <c r="B55" s="5" t="s">
        <v>10</v>
      </c>
      <c r="C55" s="8" t="s">
        <v>52</v>
      </c>
    </row>
    <row r="56" spans="1:4" ht="24.95" customHeight="1" x14ac:dyDescent="0.25">
      <c r="A56" s="4">
        <v>44702</v>
      </c>
      <c r="B56" s="5" t="s">
        <v>11</v>
      </c>
    </row>
    <row r="57" spans="1:4" ht="24.95" customHeight="1" x14ac:dyDescent="0.25">
      <c r="A57" s="4">
        <v>44703</v>
      </c>
      <c r="B57" s="5" t="s">
        <v>12</v>
      </c>
    </row>
    <row r="58" spans="1:4" ht="24.95" customHeight="1" x14ac:dyDescent="0.25">
      <c r="A58" s="4">
        <v>44704</v>
      </c>
      <c r="B58" s="5" t="s">
        <v>4</v>
      </c>
    </row>
    <row r="59" spans="1:4" ht="24.95" customHeight="1" x14ac:dyDescent="0.25">
      <c r="A59" s="4">
        <v>44705</v>
      </c>
      <c r="B59" s="5" t="s">
        <v>7</v>
      </c>
    </row>
    <row r="60" spans="1:4" ht="24.95" customHeight="1" x14ac:dyDescent="0.25">
      <c r="A60" s="4">
        <v>44706</v>
      </c>
      <c r="B60" s="5" t="s">
        <v>8</v>
      </c>
      <c r="C60" s="5" t="s">
        <v>53</v>
      </c>
    </row>
    <row r="61" spans="1:4" ht="24.95" customHeight="1" x14ac:dyDescent="0.25">
      <c r="A61" s="4">
        <v>44707</v>
      </c>
      <c r="B61" s="5" t="s">
        <v>9</v>
      </c>
    </row>
    <row r="62" spans="1:4" ht="24.95" customHeight="1" x14ac:dyDescent="0.25">
      <c r="A62" s="4">
        <v>44708</v>
      </c>
      <c r="B62" s="5" t="s">
        <v>10</v>
      </c>
    </row>
    <row r="63" spans="1:4" ht="24.95" customHeight="1" x14ac:dyDescent="0.25">
      <c r="A63" s="4">
        <v>44709</v>
      </c>
      <c r="B63" s="5" t="s">
        <v>11</v>
      </c>
    </row>
    <row r="64" spans="1:4" ht="24.95" customHeight="1" x14ac:dyDescent="0.25">
      <c r="A64" s="4">
        <v>44710</v>
      </c>
      <c r="B64" s="5" t="s">
        <v>12</v>
      </c>
    </row>
    <row r="65" spans="1:6" ht="24.95" customHeight="1" x14ac:dyDescent="0.25">
      <c r="A65" s="4">
        <v>44711</v>
      </c>
      <c r="B65" s="5" t="s">
        <v>4</v>
      </c>
    </row>
    <row r="66" spans="1:6" ht="24.95" customHeight="1" x14ac:dyDescent="0.25">
      <c r="A66" s="4">
        <v>44712</v>
      </c>
      <c r="B66" s="5" t="s">
        <v>7</v>
      </c>
    </row>
    <row r="67" spans="1:6" ht="24.95" customHeight="1" x14ac:dyDescent="0.25">
      <c r="A67" s="4">
        <v>44713</v>
      </c>
      <c r="B67" s="5" t="s">
        <v>8</v>
      </c>
      <c r="C67" s="5" t="s">
        <v>21</v>
      </c>
      <c r="D67" s="5" t="s">
        <v>22</v>
      </c>
    </row>
    <row r="68" spans="1:6" ht="24.95" customHeight="1" x14ac:dyDescent="0.25">
      <c r="A68" s="4">
        <v>44714</v>
      </c>
      <c r="B68" s="5" t="s">
        <v>9</v>
      </c>
      <c r="C68" s="5" t="s">
        <v>23</v>
      </c>
      <c r="D68" s="6" t="s">
        <v>24</v>
      </c>
    </row>
    <row r="69" spans="1:6" s="9" customFormat="1" ht="24.95" customHeight="1" x14ac:dyDescent="0.25">
      <c r="A69" s="7">
        <v>44715</v>
      </c>
      <c r="B69" s="36" t="s">
        <v>10</v>
      </c>
      <c r="C69" s="36" t="s">
        <v>25</v>
      </c>
      <c r="D69" s="36" t="s">
        <v>26</v>
      </c>
      <c r="E69" s="9" t="s">
        <v>54</v>
      </c>
    </row>
    <row r="70" spans="1:6" ht="24.95" customHeight="1" x14ac:dyDescent="0.25">
      <c r="A70" s="4">
        <v>44716</v>
      </c>
      <c r="B70" s="5" t="s">
        <v>11</v>
      </c>
      <c r="C70" s="5" t="s">
        <v>25</v>
      </c>
      <c r="D70" s="5" t="s">
        <v>27</v>
      </c>
    </row>
    <row r="71" spans="1:6" ht="24.95" customHeight="1" x14ac:dyDescent="0.25">
      <c r="A71" s="4">
        <v>44717</v>
      </c>
      <c r="B71" s="5" t="s">
        <v>12</v>
      </c>
      <c r="C71" s="5" t="s">
        <v>28</v>
      </c>
      <c r="D71" s="6" t="s">
        <v>29</v>
      </c>
    </row>
    <row r="72" spans="1:6" s="9" customFormat="1" ht="24.95" customHeight="1" x14ac:dyDescent="0.25">
      <c r="A72" s="7">
        <v>44718</v>
      </c>
      <c r="B72" s="36" t="s">
        <v>4</v>
      </c>
      <c r="C72" s="36" t="s">
        <v>28</v>
      </c>
      <c r="D72" s="36" t="s">
        <v>37</v>
      </c>
      <c r="E72" s="9" t="s">
        <v>55</v>
      </c>
    </row>
    <row r="73" spans="1:6" s="9" customFormat="1" ht="24.95" customHeight="1" x14ac:dyDescent="0.25">
      <c r="A73" s="7">
        <v>44719</v>
      </c>
      <c r="B73" s="36" t="s">
        <v>7</v>
      </c>
      <c r="C73" s="36" t="s">
        <v>28</v>
      </c>
      <c r="D73" s="36" t="s">
        <v>56</v>
      </c>
      <c r="E73" s="9" t="s">
        <v>55</v>
      </c>
      <c r="F73" s="9" t="s">
        <v>57</v>
      </c>
    </row>
    <row r="74" spans="1:6" s="9" customFormat="1" ht="24.95" customHeight="1" x14ac:dyDescent="0.25">
      <c r="A74" s="7">
        <v>44720</v>
      </c>
      <c r="B74" s="36" t="s">
        <v>8</v>
      </c>
      <c r="C74" s="36" t="s">
        <v>28</v>
      </c>
      <c r="D74" s="36" t="s">
        <v>58</v>
      </c>
      <c r="F74" s="9" t="s">
        <v>57</v>
      </c>
    </row>
    <row r="75" spans="1:6" ht="24.95" customHeight="1" x14ac:dyDescent="0.25">
      <c r="A75" s="4">
        <v>44721</v>
      </c>
      <c r="B75" s="5" t="s">
        <v>9</v>
      </c>
      <c r="C75" s="5" t="s">
        <v>28</v>
      </c>
      <c r="D75" s="5" t="s">
        <v>33</v>
      </c>
    </row>
    <row r="76" spans="1:6" s="38" customFormat="1" ht="24.95" customHeight="1" x14ac:dyDescent="0.25">
      <c r="A76" s="53">
        <v>44722</v>
      </c>
      <c r="B76" s="6" t="s">
        <v>10</v>
      </c>
      <c r="C76" s="6" t="s">
        <v>28</v>
      </c>
      <c r="D76" s="6" t="s">
        <v>34</v>
      </c>
    </row>
    <row r="77" spans="1:6" ht="24.95" customHeight="1" x14ac:dyDescent="0.25">
      <c r="A77" s="4">
        <v>44723</v>
      </c>
      <c r="B77" s="5" t="s">
        <v>11</v>
      </c>
      <c r="C77" s="5" t="s">
        <v>28</v>
      </c>
      <c r="D77" s="5" t="s">
        <v>35</v>
      </c>
    </row>
    <row r="78" spans="1:6" ht="24.95" customHeight="1" x14ac:dyDescent="0.25">
      <c r="A78" s="4">
        <v>44724</v>
      </c>
      <c r="B78" s="5" t="s">
        <v>12</v>
      </c>
      <c r="C78" s="5" t="s">
        <v>28</v>
      </c>
      <c r="D78" s="6" t="s">
        <v>36</v>
      </c>
    </row>
    <row r="79" spans="1:6" s="9" customFormat="1" ht="24.95" customHeight="1" x14ac:dyDescent="0.25">
      <c r="A79" s="7">
        <v>44725</v>
      </c>
      <c r="B79" s="36" t="s">
        <v>4</v>
      </c>
      <c r="C79" s="36" t="s">
        <v>28</v>
      </c>
      <c r="D79" s="36" t="s">
        <v>37</v>
      </c>
    </row>
    <row r="80" spans="1:6" ht="24.95" customHeight="1" x14ac:dyDescent="0.25">
      <c r="A80" s="4">
        <v>44726</v>
      </c>
      <c r="B80" s="5" t="s">
        <v>7</v>
      </c>
      <c r="C80" s="5" t="s">
        <v>28</v>
      </c>
      <c r="D80" s="5" t="s">
        <v>38</v>
      </c>
    </row>
    <row r="81" spans="1:6" ht="24.95" customHeight="1" x14ac:dyDescent="0.25">
      <c r="A81" s="4">
        <v>44727</v>
      </c>
      <c r="B81" s="5" t="s">
        <v>8</v>
      </c>
      <c r="C81" s="5" t="s">
        <v>28</v>
      </c>
      <c r="D81" s="5" t="s">
        <v>39</v>
      </c>
    </row>
    <row r="82" spans="1:6" ht="24.95" customHeight="1" x14ac:dyDescent="0.25">
      <c r="A82" s="4">
        <v>44728</v>
      </c>
      <c r="B82" s="5" t="s">
        <v>9</v>
      </c>
      <c r="C82" s="5" t="s">
        <v>28</v>
      </c>
      <c r="D82" s="5" t="s">
        <v>40</v>
      </c>
    </row>
    <row r="83" spans="1:6" ht="24.95" customHeight="1" x14ac:dyDescent="0.25">
      <c r="A83" s="4">
        <v>44729</v>
      </c>
      <c r="B83" s="5" t="s">
        <v>10</v>
      </c>
      <c r="C83" s="5" t="s">
        <v>28</v>
      </c>
      <c r="D83" s="5" t="s">
        <v>41</v>
      </c>
    </row>
    <row r="84" spans="1:6" ht="24.95" customHeight="1" x14ac:dyDescent="0.25">
      <c r="A84" s="4">
        <v>44730</v>
      </c>
      <c r="B84" s="5" t="s">
        <v>11</v>
      </c>
      <c r="C84" s="5" t="s">
        <v>28</v>
      </c>
      <c r="D84" s="5" t="s">
        <v>35</v>
      </c>
    </row>
    <row r="85" spans="1:6" ht="24.95" customHeight="1" x14ac:dyDescent="0.25">
      <c r="A85" s="4">
        <v>44731</v>
      </c>
      <c r="B85" s="5" t="s">
        <v>12</v>
      </c>
      <c r="C85" s="5" t="s">
        <v>42</v>
      </c>
      <c r="D85" s="5" t="s">
        <v>43</v>
      </c>
    </row>
    <row r="86" spans="1:6" s="9" customFormat="1" ht="24.95" customHeight="1" x14ac:dyDescent="0.25">
      <c r="A86" s="7">
        <v>44732</v>
      </c>
      <c r="B86" s="36" t="s">
        <v>4</v>
      </c>
      <c r="C86" s="36" t="s">
        <v>44</v>
      </c>
      <c r="D86" s="36" t="s">
        <v>45</v>
      </c>
      <c r="E86" s="9" t="s">
        <v>59</v>
      </c>
    </row>
    <row r="87" spans="1:6" s="9" customFormat="1" ht="24.95" customHeight="1" x14ac:dyDescent="0.25">
      <c r="A87" s="7">
        <v>44733</v>
      </c>
      <c r="B87" s="36" t="s">
        <v>7</v>
      </c>
      <c r="C87" s="36" t="s">
        <v>46</v>
      </c>
      <c r="D87" s="36" t="s">
        <v>47</v>
      </c>
      <c r="E87" s="9" t="s">
        <v>59</v>
      </c>
      <c r="F87" s="9" t="s">
        <v>60</v>
      </c>
    </row>
    <row r="88" spans="1:6" s="9" customFormat="1" ht="24.95" customHeight="1" x14ac:dyDescent="0.25">
      <c r="A88" s="7">
        <v>44734</v>
      </c>
      <c r="B88" s="36" t="s">
        <v>8</v>
      </c>
      <c r="C88" s="36" t="s">
        <v>48</v>
      </c>
      <c r="D88" s="36"/>
      <c r="F88" s="9" t="s">
        <v>60</v>
      </c>
    </row>
    <row r="89" spans="1:6" s="9" customFormat="1" ht="24.95" customHeight="1" x14ac:dyDescent="0.25">
      <c r="A89" s="7">
        <v>44735</v>
      </c>
      <c r="B89" s="36" t="s">
        <v>9</v>
      </c>
      <c r="C89" s="36" t="s">
        <v>46</v>
      </c>
      <c r="D89" s="36"/>
      <c r="F89" s="9" t="s">
        <v>60</v>
      </c>
    </row>
    <row r="90" spans="1:6" s="9" customFormat="1" ht="24.95" customHeight="1" x14ac:dyDescent="0.25">
      <c r="A90" s="7">
        <v>44736</v>
      </c>
      <c r="B90" s="36" t="s">
        <v>10</v>
      </c>
      <c r="C90" s="36" t="s">
        <v>49</v>
      </c>
      <c r="D90" s="36" t="s">
        <v>50</v>
      </c>
      <c r="F90" s="9" t="s">
        <v>61</v>
      </c>
    </row>
    <row r="91" spans="1:6" ht="24.95" customHeight="1" x14ac:dyDescent="0.25">
      <c r="A91" s="4">
        <v>44737</v>
      </c>
      <c r="B91" s="5" t="s">
        <v>11</v>
      </c>
      <c r="C91" s="5" t="s">
        <v>49</v>
      </c>
    </row>
    <row r="92" spans="1:6" ht="24.95" customHeight="1" x14ac:dyDescent="0.25">
      <c r="A92" s="4">
        <v>44738</v>
      </c>
      <c r="B92" s="5" t="s">
        <v>12</v>
      </c>
      <c r="C92" s="5" t="s">
        <v>49</v>
      </c>
    </row>
    <row r="93" spans="1:6" ht="24.95" customHeight="1" x14ac:dyDescent="0.25">
      <c r="A93" s="4">
        <v>44739</v>
      </c>
      <c r="B93" s="5" t="s">
        <v>4</v>
      </c>
      <c r="D93" s="5" t="s">
        <v>51</v>
      </c>
    </row>
    <row r="94" spans="1:6" s="9" customFormat="1" ht="24.95" customHeight="1" x14ac:dyDescent="0.25">
      <c r="A94" s="7">
        <v>44740</v>
      </c>
      <c r="B94" s="36" t="s">
        <v>7</v>
      </c>
      <c r="C94" s="36"/>
      <c r="D94" s="36"/>
    </row>
    <row r="95" spans="1:6" ht="24.95" customHeight="1" x14ac:dyDescent="0.25">
      <c r="A95" s="4">
        <v>44741</v>
      </c>
      <c r="B95" s="5" t="s">
        <v>8</v>
      </c>
    </row>
    <row r="96" spans="1:6" ht="24.95" customHeight="1" x14ac:dyDescent="0.25">
      <c r="A96" s="4">
        <v>44742</v>
      </c>
      <c r="B96" s="5" t="s">
        <v>9</v>
      </c>
    </row>
    <row r="97" spans="1:4" ht="24.95" customHeight="1" x14ac:dyDescent="0.25">
      <c r="A97" s="4">
        <v>44743</v>
      </c>
      <c r="B97" s="5" t="s">
        <v>10</v>
      </c>
    </row>
    <row r="98" spans="1:4" ht="24.95" customHeight="1" x14ac:dyDescent="0.25">
      <c r="A98" s="4">
        <v>44744</v>
      </c>
      <c r="B98" s="5" t="s">
        <v>11</v>
      </c>
    </row>
    <row r="99" spans="1:4" ht="24.95" customHeight="1" x14ac:dyDescent="0.25">
      <c r="A99" s="4">
        <v>44745</v>
      </c>
      <c r="B99" s="5" t="s">
        <v>12</v>
      </c>
    </row>
    <row r="100" spans="1:4" ht="24.95" customHeight="1" x14ac:dyDescent="0.25">
      <c r="A100" s="4">
        <v>44746</v>
      </c>
      <c r="B100" s="5" t="s">
        <v>4</v>
      </c>
    </row>
    <row r="101" spans="1:4" ht="24.95" customHeight="1" x14ac:dyDescent="0.25">
      <c r="A101" s="4">
        <v>44747</v>
      </c>
      <c r="B101" s="5" t="s">
        <v>7</v>
      </c>
    </row>
    <row r="102" spans="1:4" s="9" customFormat="1" ht="24.95" customHeight="1" x14ac:dyDescent="0.25">
      <c r="A102" s="7">
        <v>44748</v>
      </c>
      <c r="B102" s="36" t="s">
        <v>8</v>
      </c>
      <c r="C102" s="36"/>
      <c r="D102" s="36"/>
    </row>
    <row r="103" spans="1:4" s="9" customFormat="1" ht="24.95" customHeight="1" x14ac:dyDescent="0.25">
      <c r="A103" s="7">
        <v>44749</v>
      </c>
      <c r="B103" s="36" t="s">
        <v>9</v>
      </c>
      <c r="C103" s="36"/>
      <c r="D103" s="36"/>
    </row>
    <row r="104" spans="1:4" ht="24.95" customHeight="1" x14ac:dyDescent="0.25">
      <c r="A104" s="4">
        <v>44750</v>
      </c>
      <c r="B104" s="5" t="s">
        <v>10</v>
      </c>
    </row>
    <row r="105" spans="1:4" ht="24.95" customHeight="1" x14ac:dyDescent="0.25">
      <c r="A105" s="4">
        <v>44751</v>
      </c>
      <c r="B105" s="5" t="s">
        <v>11</v>
      </c>
    </row>
    <row r="106" spans="1:4" ht="24.95" customHeight="1" x14ac:dyDescent="0.25">
      <c r="A106" s="4">
        <v>44752</v>
      </c>
      <c r="B106" s="5" t="s">
        <v>12</v>
      </c>
    </row>
    <row r="107" spans="1:4" ht="24.95" customHeight="1" x14ac:dyDescent="0.25">
      <c r="A107" s="4">
        <v>44753</v>
      </c>
      <c r="B107" s="5" t="s">
        <v>4</v>
      </c>
    </row>
    <row r="108" spans="1:4" ht="24.95" customHeight="1" x14ac:dyDescent="0.25">
      <c r="A108" s="4">
        <v>44754</v>
      </c>
      <c r="B108" s="5" t="s">
        <v>7</v>
      </c>
    </row>
    <row r="109" spans="1:4" ht="24.95" customHeight="1" x14ac:dyDescent="0.25">
      <c r="A109" s="4">
        <v>44755</v>
      </c>
      <c r="B109" s="5" t="s">
        <v>8</v>
      </c>
    </row>
    <row r="110" spans="1:4" ht="24.95" customHeight="1" x14ac:dyDescent="0.25">
      <c r="A110" s="4">
        <v>44756</v>
      </c>
      <c r="B110" s="5" t="s">
        <v>9</v>
      </c>
    </row>
    <row r="111" spans="1:4" ht="24.95" customHeight="1" x14ac:dyDescent="0.25">
      <c r="A111" s="4">
        <v>44757</v>
      </c>
      <c r="B111" s="5" t="s">
        <v>10</v>
      </c>
    </row>
    <row r="112" spans="1:4" ht="24.95" customHeight="1" x14ac:dyDescent="0.25">
      <c r="A112" s="4">
        <v>44758</v>
      </c>
      <c r="B112" s="5" t="s">
        <v>11</v>
      </c>
    </row>
    <row r="113" spans="1:2" ht="24.95" customHeight="1" x14ac:dyDescent="0.25">
      <c r="A113" s="4">
        <v>44759</v>
      </c>
      <c r="B113" s="5" t="s">
        <v>12</v>
      </c>
    </row>
    <row r="114" spans="1:2" ht="24.95" customHeight="1" x14ac:dyDescent="0.25">
      <c r="A114" s="4">
        <v>44760</v>
      </c>
      <c r="B114" s="5" t="s">
        <v>4</v>
      </c>
    </row>
    <row r="115" spans="1:2" ht="24.95" customHeight="1" x14ac:dyDescent="0.25">
      <c r="A115" s="4">
        <v>44761</v>
      </c>
      <c r="B115" s="5" t="s">
        <v>7</v>
      </c>
    </row>
    <row r="116" spans="1:2" ht="24.95" customHeight="1" x14ac:dyDescent="0.25">
      <c r="A116" s="4">
        <v>44762</v>
      </c>
      <c r="B116" s="5" t="s">
        <v>8</v>
      </c>
    </row>
    <row r="117" spans="1:2" ht="24.95" customHeight="1" x14ac:dyDescent="0.25">
      <c r="A117" s="4">
        <v>44763</v>
      </c>
      <c r="B117" s="5" t="s">
        <v>9</v>
      </c>
    </row>
    <row r="118" spans="1:2" ht="24.95" customHeight="1" x14ac:dyDescent="0.25">
      <c r="A118" s="4">
        <v>44764</v>
      </c>
      <c r="B118" s="5" t="s">
        <v>10</v>
      </c>
    </row>
    <row r="119" spans="1:2" ht="24.95" customHeight="1" x14ac:dyDescent="0.25">
      <c r="A119" s="4">
        <v>44765</v>
      </c>
      <c r="B119" s="5" t="s">
        <v>11</v>
      </c>
    </row>
    <row r="120" spans="1:2" ht="24.95" customHeight="1" x14ac:dyDescent="0.25">
      <c r="A120" s="4">
        <v>44766</v>
      </c>
      <c r="B120" s="5" t="s">
        <v>12</v>
      </c>
    </row>
    <row r="121" spans="1:2" ht="24.95" customHeight="1" x14ac:dyDescent="0.25">
      <c r="A121" s="4">
        <v>44767</v>
      </c>
      <c r="B121" s="5" t="s">
        <v>4</v>
      </c>
    </row>
  </sheetData>
  <phoneticPr fontId="1" type="noConversion"/>
  <conditionalFormatting sqref="C31:C37">
    <cfRule type="colorScale" priority="5">
      <colorScale>
        <cfvo type="min"/>
        <cfvo type="percentile" val="50"/>
        <cfvo type="max"/>
        <color rgb="FFF8696B"/>
        <color rgb="FFFFEB84"/>
        <color rgb="FF63BE7B"/>
      </colorScale>
    </cfRule>
  </conditionalFormatting>
  <conditionalFormatting sqref="C71:C77">
    <cfRule type="colorScale" priority="1">
      <colorScale>
        <cfvo type="min"/>
        <cfvo type="percentile" val="50"/>
        <cfvo type="max"/>
        <color rgb="FFF8696B"/>
        <color rgb="FFFFEB84"/>
        <color rgb="FF63BE7B"/>
      </colorScale>
    </cfRule>
  </conditionalFormatting>
  <printOptions gridLines="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5D6C-591A-458B-BBA6-38A881AB8267}">
  <dimension ref="A1:K32"/>
  <sheetViews>
    <sheetView topLeftCell="A13" workbookViewId="0">
      <selection activeCell="H21" sqref="H21"/>
    </sheetView>
  </sheetViews>
  <sheetFormatPr defaultColWidth="20.5703125" defaultRowHeight="20.100000000000001" customHeight="1" x14ac:dyDescent="0.25"/>
  <sheetData>
    <row r="1" spans="1:11" ht="30" customHeight="1" x14ac:dyDescent="0.25">
      <c r="A1" s="13" t="s">
        <v>62</v>
      </c>
      <c r="B1" s="12"/>
      <c r="C1" s="12"/>
      <c r="D1" s="5"/>
      <c r="E1" s="12"/>
      <c r="F1" s="12"/>
      <c r="G1" s="12"/>
      <c r="H1" s="12"/>
      <c r="I1" s="12"/>
      <c r="J1" s="5"/>
    </row>
    <row r="2" spans="1:11" ht="30" customHeight="1" x14ac:dyDescent="0.25">
      <c r="A2" s="13" t="s">
        <v>63</v>
      </c>
      <c r="B2" s="14" t="s">
        <v>64</v>
      </c>
      <c r="C2" s="14" t="s">
        <v>0</v>
      </c>
      <c r="D2" s="14" t="s">
        <v>1</v>
      </c>
      <c r="E2" s="14" t="s">
        <v>65</v>
      </c>
      <c r="F2" s="14" t="s">
        <v>66</v>
      </c>
      <c r="G2" s="14"/>
      <c r="H2" s="14" t="s">
        <v>67</v>
      </c>
      <c r="I2" s="14" t="s">
        <v>68</v>
      </c>
      <c r="J2" s="5"/>
      <c r="K2" s="34" t="s">
        <v>69</v>
      </c>
    </row>
    <row r="3" spans="1:11" ht="30" customHeight="1" x14ac:dyDescent="0.25">
      <c r="A3" s="18" t="s">
        <v>70</v>
      </c>
      <c r="B3" s="24" t="s">
        <v>71</v>
      </c>
      <c r="C3" s="17">
        <v>44714</v>
      </c>
      <c r="D3" s="15">
        <v>0</v>
      </c>
      <c r="E3" s="15">
        <v>21.3</v>
      </c>
      <c r="F3" s="15"/>
      <c r="G3" s="15"/>
      <c r="H3" s="15"/>
      <c r="I3" s="15"/>
    </row>
    <row r="4" spans="1:11" ht="30" customHeight="1" x14ac:dyDescent="0.25">
      <c r="A4" s="19" t="s">
        <v>72</v>
      </c>
      <c r="B4" s="25" t="s">
        <v>71</v>
      </c>
      <c r="C4" s="17">
        <v>44715</v>
      </c>
      <c r="D4" s="15">
        <v>1</v>
      </c>
      <c r="E4" s="15">
        <v>21.8</v>
      </c>
      <c r="F4" s="15">
        <f>(E4/E3)*100</f>
        <v>102.34741784037557</v>
      </c>
      <c r="G4" s="15"/>
      <c r="H4" s="15">
        <v>229</v>
      </c>
      <c r="I4" s="15">
        <f>(H4*20)/1000</f>
        <v>4.58</v>
      </c>
    </row>
    <row r="5" spans="1:11" ht="30" customHeight="1" x14ac:dyDescent="0.25">
      <c r="A5" s="19" t="s">
        <v>72</v>
      </c>
      <c r="B5" s="26" t="s">
        <v>71</v>
      </c>
      <c r="C5" s="17">
        <v>44716</v>
      </c>
      <c r="D5" s="15">
        <v>2</v>
      </c>
      <c r="E5" s="15">
        <v>21.9</v>
      </c>
      <c r="F5" s="15">
        <f>(E5/E3)*100</f>
        <v>102.8169014084507</v>
      </c>
      <c r="G5" s="15"/>
      <c r="H5" s="15">
        <f>510-229</f>
        <v>281</v>
      </c>
      <c r="I5" s="15">
        <f t="shared" ref="I5:I28" si="0">(H5*20)/1000</f>
        <v>5.62</v>
      </c>
    </row>
    <row r="6" spans="1:11" ht="30" customHeight="1" x14ac:dyDescent="0.25">
      <c r="A6" s="20" t="s">
        <v>73</v>
      </c>
      <c r="B6" s="25" t="s">
        <v>71</v>
      </c>
      <c r="C6" s="17">
        <v>44717</v>
      </c>
      <c r="D6" s="15">
        <v>3</v>
      </c>
      <c r="E6" s="15">
        <v>22</v>
      </c>
      <c r="F6" s="15">
        <f>(E6/E3)*100</f>
        <v>103.28638497652582</v>
      </c>
      <c r="G6" s="15"/>
      <c r="H6" s="15">
        <f>745-510</f>
        <v>235</v>
      </c>
      <c r="I6" s="15">
        <f t="shared" si="0"/>
        <v>4.7</v>
      </c>
    </row>
    <row r="7" spans="1:11" ht="30" customHeight="1" x14ac:dyDescent="0.25">
      <c r="A7" s="21" t="s">
        <v>73</v>
      </c>
      <c r="B7" s="27" t="s">
        <v>71</v>
      </c>
      <c r="C7" s="17">
        <v>44718</v>
      </c>
      <c r="D7" s="15">
        <v>4</v>
      </c>
      <c r="E7" s="15">
        <v>20.7</v>
      </c>
      <c r="F7" s="15">
        <f>(E7/E3)*100</f>
        <v>97.183098591549282</v>
      </c>
      <c r="G7" s="15"/>
      <c r="H7" s="15">
        <v>107</v>
      </c>
      <c r="I7" s="15">
        <f t="shared" si="0"/>
        <v>2.14</v>
      </c>
    </row>
    <row r="8" spans="1:11" ht="30" customHeight="1" x14ac:dyDescent="0.25">
      <c r="A8" s="21" t="s">
        <v>73</v>
      </c>
      <c r="B8" s="25" t="s">
        <v>71</v>
      </c>
      <c r="C8" s="17">
        <v>44719</v>
      </c>
      <c r="D8" s="15">
        <v>5</v>
      </c>
      <c r="E8" s="15">
        <v>20.5</v>
      </c>
      <c r="F8" s="15">
        <f>(E8/E3)*100</f>
        <v>96.244131455399057</v>
      </c>
      <c r="G8" s="15"/>
      <c r="H8" s="54">
        <v>154</v>
      </c>
      <c r="I8" s="15">
        <f t="shared" si="0"/>
        <v>3.08</v>
      </c>
      <c r="K8">
        <v>2</v>
      </c>
    </row>
    <row r="9" spans="1:11" ht="30" customHeight="1" x14ac:dyDescent="0.25">
      <c r="A9" s="21" t="s">
        <v>73</v>
      </c>
      <c r="B9" s="26" t="s">
        <v>71</v>
      </c>
      <c r="C9" s="17">
        <v>44720</v>
      </c>
      <c r="D9" s="15">
        <v>6</v>
      </c>
      <c r="E9" s="15">
        <v>20.5</v>
      </c>
      <c r="F9" s="15">
        <f>(E9/E3)*100</f>
        <v>96.244131455399057</v>
      </c>
      <c r="G9" s="15"/>
      <c r="H9" s="54">
        <v>219</v>
      </c>
      <c r="I9" s="15">
        <f t="shared" si="0"/>
        <v>4.38</v>
      </c>
      <c r="K9">
        <v>2</v>
      </c>
    </row>
    <row r="10" spans="1:11" ht="30" customHeight="1" x14ac:dyDescent="0.25">
      <c r="A10" s="21" t="s">
        <v>73</v>
      </c>
      <c r="B10" s="25" t="s">
        <v>71</v>
      </c>
      <c r="C10" s="17">
        <v>44721</v>
      </c>
      <c r="D10" s="15">
        <v>7</v>
      </c>
      <c r="E10" s="15">
        <v>20.9</v>
      </c>
      <c r="F10" s="15">
        <f>(E10/E3)*100</f>
        <v>98.122065727699521</v>
      </c>
      <c r="G10" s="15"/>
      <c r="H10" s="15">
        <f>710-484</f>
        <v>226</v>
      </c>
      <c r="I10" s="15">
        <f t="shared" si="0"/>
        <v>4.5199999999999996</v>
      </c>
    </row>
    <row r="11" spans="1:11" ht="30" customHeight="1" x14ac:dyDescent="0.25">
      <c r="A11" s="21" t="s">
        <v>73</v>
      </c>
      <c r="B11" s="26" t="s">
        <v>71</v>
      </c>
      <c r="C11" s="17">
        <v>44722</v>
      </c>
      <c r="D11" s="15">
        <v>8</v>
      </c>
      <c r="E11" s="15">
        <v>21.3</v>
      </c>
      <c r="F11" s="15">
        <f>(E11/E3)*100</f>
        <v>100</v>
      </c>
      <c r="G11" s="15"/>
      <c r="H11" s="15">
        <f>964-710</f>
        <v>254</v>
      </c>
      <c r="I11" s="15">
        <f t="shared" si="0"/>
        <v>5.08</v>
      </c>
    </row>
    <row r="12" spans="1:11" ht="30" customHeight="1" x14ac:dyDescent="0.25">
      <c r="A12" s="21" t="s">
        <v>73</v>
      </c>
      <c r="B12" s="25" t="s">
        <v>71</v>
      </c>
      <c r="C12" s="17">
        <v>44723</v>
      </c>
      <c r="D12" s="15">
        <v>9</v>
      </c>
      <c r="E12" s="15">
        <v>21.1</v>
      </c>
      <c r="F12" s="15">
        <f>(E12/E3)*100</f>
        <v>99.061032863849775</v>
      </c>
      <c r="G12" s="15"/>
      <c r="H12" s="15">
        <f>1210-964</f>
        <v>246</v>
      </c>
      <c r="I12" s="15">
        <f t="shared" si="0"/>
        <v>4.92</v>
      </c>
    </row>
    <row r="13" spans="1:11" ht="30" customHeight="1" x14ac:dyDescent="0.25">
      <c r="A13" s="22" t="s">
        <v>74</v>
      </c>
      <c r="B13" s="26" t="s">
        <v>71</v>
      </c>
      <c r="C13" s="17">
        <v>44724</v>
      </c>
      <c r="D13" s="15">
        <v>10</v>
      </c>
      <c r="E13" s="15">
        <v>21.3</v>
      </c>
      <c r="F13" s="15">
        <f>(E13/E3)*100</f>
        <v>100</v>
      </c>
      <c r="G13" s="15"/>
      <c r="H13" s="15">
        <f>1392-1210</f>
        <v>182</v>
      </c>
      <c r="I13" s="15">
        <f t="shared" si="0"/>
        <v>3.64</v>
      </c>
    </row>
    <row r="14" spans="1:11" ht="30" customHeight="1" x14ac:dyDescent="0.25">
      <c r="A14" s="22" t="s">
        <v>74</v>
      </c>
      <c r="B14" s="25" t="s">
        <v>71</v>
      </c>
      <c r="C14" s="17">
        <v>44725</v>
      </c>
      <c r="D14" s="15">
        <v>11</v>
      </c>
      <c r="E14" s="15">
        <v>21.4</v>
      </c>
      <c r="F14" s="15">
        <f>(E14/E3)*100</f>
        <v>100.46948356807511</v>
      </c>
      <c r="G14" s="15"/>
      <c r="H14" s="15">
        <v>253</v>
      </c>
      <c r="I14" s="15">
        <f t="shared" si="0"/>
        <v>5.0599999999999996</v>
      </c>
    </row>
    <row r="15" spans="1:11" ht="30" customHeight="1" x14ac:dyDescent="0.25">
      <c r="A15" s="22" t="s">
        <v>74</v>
      </c>
      <c r="B15" s="26" t="s">
        <v>71</v>
      </c>
      <c r="C15" s="17">
        <v>44726</v>
      </c>
      <c r="D15" s="15">
        <v>12</v>
      </c>
      <c r="E15" s="15">
        <v>21.2</v>
      </c>
      <c r="F15" s="15">
        <f>(E15/E3)*100</f>
        <v>99.53051643192488</v>
      </c>
      <c r="G15" s="15"/>
      <c r="H15" s="15">
        <f>465-253</f>
        <v>212</v>
      </c>
      <c r="I15" s="15">
        <f t="shared" si="0"/>
        <v>4.24</v>
      </c>
    </row>
    <row r="16" spans="1:11" ht="30" customHeight="1" x14ac:dyDescent="0.25">
      <c r="A16" s="22" t="s">
        <v>74</v>
      </c>
      <c r="B16" s="25" t="s">
        <v>71</v>
      </c>
      <c r="C16" s="17">
        <v>44727</v>
      </c>
      <c r="D16" s="15">
        <v>13</v>
      </c>
      <c r="E16" s="15">
        <v>21.1</v>
      </c>
      <c r="F16" s="15">
        <f>(E16/E3)*100</f>
        <v>99.061032863849775</v>
      </c>
      <c r="G16" s="15"/>
      <c r="H16" s="15">
        <f>634-465</f>
        <v>169</v>
      </c>
      <c r="I16" s="15">
        <f t="shared" si="0"/>
        <v>3.38</v>
      </c>
    </row>
    <row r="17" spans="1:10" ht="30" customHeight="1" x14ac:dyDescent="0.25">
      <c r="A17" s="22" t="s">
        <v>74</v>
      </c>
      <c r="B17" s="26" t="s">
        <v>71</v>
      </c>
      <c r="C17" s="17">
        <v>44728</v>
      </c>
      <c r="D17" s="15">
        <v>14</v>
      </c>
      <c r="E17" s="15">
        <v>20.9</v>
      </c>
      <c r="F17" s="15">
        <f>(E17/E3)*100</f>
        <v>98.122065727699521</v>
      </c>
      <c r="G17" s="15"/>
      <c r="H17" s="15">
        <f>798-634</f>
        <v>164</v>
      </c>
      <c r="I17" s="15">
        <f t="shared" si="0"/>
        <v>3.28</v>
      </c>
    </row>
    <row r="18" spans="1:10" ht="30" customHeight="1" x14ac:dyDescent="0.25">
      <c r="A18" s="22" t="s">
        <v>74</v>
      </c>
      <c r="B18" s="25" t="s">
        <v>71</v>
      </c>
      <c r="C18" s="17">
        <v>44729</v>
      </c>
      <c r="D18" s="15">
        <v>15</v>
      </c>
      <c r="E18" s="15">
        <v>20.8</v>
      </c>
      <c r="F18" s="15">
        <f>(E18/E3)*100</f>
        <v>97.652582159624416</v>
      </c>
      <c r="G18" s="15"/>
      <c r="H18" s="15">
        <f>943-789</f>
        <v>154</v>
      </c>
      <c r="I18" s="15">
        <f t="shared" si="0"/>
        <v>3.08</v>
      </c>
    </row>
    <row r="19" spans="1:10" ht="30" customHeight="1" x14ac:dyDescent="0.25">
      <c r="A19" s="22" t="s">
        <v>74</v>
      </c>
      <c r="B19" s="26" t="s">
        <v>71</v>
      </c>
      <c r="C19" s="17">
        <v>44730</v>
      </c>
      <c r="D19" s="15">
        <v>16</v>
      </c>
      <c r="E19" s="15">
        <v>20.9</v>
      </c>
      <c r="F19" s="15">
        <f>(E19/E3)*100</f>
        <v>98.122065727699521</v>
      </c>
      <c r="G19" s="15"/>
      <c r="H19" s="15">
        <f>1176-943</f>
        <v>233</v>
      </c>
      <c r="I19" s="15">
        <f t="shared" si="0"/>
        <v>4.66</v>
      </c>
    </row>
    <row r="20" spans="1:10" ht="30" customHeight="1" x14ac:dyDescent="0.25">
      <c r="A20" s="22" t="s">
        <v>75</v>
      </c>
      <c r="B20" s="25" t="s">
        <v>71</v>
      </c>
      <c r="C20" s="17">
        <v>44731</v>
      </c>
      <c r="D20" s="15">
        <v>17</v>
      </c>
      <c r="E20" s="15">
        <v>20.9</v>
      </c>
      <c r="F20" s="15">
        <f>(E20/E3)*100</f>
        <v>98.122065727699521</v>
      </c>
      <c r="G20" s="15"/>
      <c r="H20" s="15">
        <f>1383-1176</f>
        <v>207</v>
      </c>
      <c r="I20" s="15">
        <f t="shared" si="0"/>
        <v>4.1399999999999997</v>
      </c>
    </row>
    <row r="21" spans="1:10" ht="30" customHeight="1" x14ac:dyDescent="0.25">
      <c r="A21" s="22" t="s">
        <v>76</v>
      </c>
      <c r="B21" s="26" t="s">
        <v>71</v>
      </c>
      <c r="C21" s="17">
        <v>44732</v>
      </c>
      <c r="D21" s="15">
        <v>18</v>
      </c>
      <c r="E21" s="15"/>
      <c r="F21" s="15">
        <f>(E21/E3)*100</f>
        <v>0</v>
      </c>
      <c r="G21" s="15"/>
      <c r="H21" s="15"/>
      <c r="I21" s="15">
        <f t="shared" si="0"/>
        <v>0</v>
      </c>
    </row>
    <row r="22" spans="1:10" ht="30" customHeight="1" x14ac:dyDescent="0.25">
      <c r="A22" s="22" t="s">
        <v>77</v>
      </c>
      <c r="B22" s="28" t="s">
        <v>78</v>
      </c>
      <c r="C22" s="17">
        <v>44733</v>
      </c>
      <c r="D22" s="15">
        <v>19</v>
      </c>
      <c r="E22" s="15"/>
      <c r="F22" s="15">
        <f>(E22/E3)*100</f>
        <v>0</v>
      </c>
      <c r="G22" s="15"/>
      <c r="H22" s="15"/>
      <c r="I22" s="15">
        <f t="shared" si="0"/>
        <v>0</v>
      </c>
    </row>
    <row r="23" spans="1:10" ht="30" customHeight="1" x14ac:dyDescent="0.25">
      <c r="A23" s="22" t="s">
        <v>77</v>
      </c>
      <c r="B23" s="28" t="s">
        <v>78</v>
      </c>
      <c r="C23" s="17">
        <v>44734</v>
      </c>
      <c r="D23" s="15">
        <v>20</v>
      </c>
      <c r="E23" s="15"/>
      <c r="F23" s="15">
        <f>(E23/E3)*100</f>
        <v>0</v>
      </c>
      <c r="G23" s="45"/>
      <c r="H23" s="50"/>
      <c r="I23" s="15">
        <f t="shared" si="0"/>
        <v>0</v>
      </c>
      <c r="J23">
        <f t="shared" ref="J23:J28" si="1">(G23*20)/1000</f>
        <v>0</v>
      </c>
    </row>
    <row r="24" spans="1:10" ht="30" customHeight="1" x14ac:dyDescent="0.25">
      <c r="A24" s="22" t="s">
        <v>77</v>
      </c>
      <c r="B24" s="28" t="s">
        <v>78</v>
      </c>
      <c r="C24" s="17">
        <v>44735</v>
      </c>
      <c r="D24" s="15">
        <v>21</v>
      </c>
      <c r="E24" s="15"/>
      <c r="F24" s="15">
        <f>(E24/E3)*100</f>
        <v>0</v>
      </c>
      <c r="G24" s="46"/>
      <c r="H24" s="50"/>
      <c r="I24" s="15">
        <f t="shared" si="0"/>
        <v>0</v>
      </c>
      <c r="J24">
        <f t="shared" si="1"/>
        <v>0</v>
      </c>
    </row>
    <row r="25" spans="1:10" ht="30" customHeight="1" x14ac:dyDescent="0.25">
      <c r="A25" s="23" t="s">
        <v>79</v>
      </c>
      <c r="B25" s="25" t="s">
        <v>80</v>
      </c>
      <c r="C25" s="17">
        <v>44736</v>
      </c>
      <c r="D25" s="15">
        <v>22</v>
      </c>
      <c r="E25" s="15"/>
      <c r="F25" s="15">
        <f>(E25/E3)*100</f>
        <v>0</v>
      </c>
      <c r="G25" s="47"/>
      <c r="H25" s="50"/>
      <c r="I25" s="15">
        <f t="shared" si="0"/>
        <v>0</v>
      </c>
      <c r="J25">
        <f t="shared" si="1"/>
        <v>0</v>
      </c>
    </row>
    <row r="26" spans="1:10" ht="30" customHeight="1" x14ac:dyDescent="0.25">
      <c r="A26" s="23" t="s">
        <v>79</v>
      </c>
      <c r="B26" s="26" t="s">
        <v>80</v>
      </c>
      <c r="C26" s="17">
        <v>44737</v>
      </c>
      <c r="D26" s="15">
        <v>23</v>
      </c>
      <c r="E26" s="15"/>
      <c r="F26" s="15">
        <f>(E26/E3)*100</f>
        <v>0</v>
      </c>
      <c r="G26" s="45"/>
      <c r="H26" s="49"/>
      <c r="I26" s="15">
        <f t="shared" si="0"/>
        <v>0</v>
      </c>
      <c r="J26">
        <f t="shared" si="1"/>
        <v>0</v>
      </c>
    </row>
    <row r="27" spans="1:10" ht="30" customHeight="1" x14ac:dyDescent="0.25">
      <c r="A27" s="23" t="s">
        <v>79</v>
      </c>
      <c r="B27" s="29" t="s">
        <v>80</v>
      </c>
      <c r="C27" s="17">
        <v>44738</v>
      </c>
      <c r="D27" s="15">
        <v>24</v>
      </c>
      <c r="E27" s="15"/>
      <c r="F27" s="15">
        <f>(E27/E3)*100</f>
        <v>0</v>
      </c>
      <c r="G27" s="48"/>
      <c r="H27" s="51"/>
      <c r="I27" s="15">
        <f t="shared" si="0"/>
        <v>0</v>
      </c>
      <c r="J27">
        <f t="shared" si="1"/>
        <v>0</v>
      </c>
    </row>
    <row r="28" spans="1:10" ht="30" customHeight="1" x14ac:dyDescent="0.25">
      <c r="B28" s="30" t="s">
        <v>80</v>
      </c>
      <c r="C28" s="17">
        <v>44739</v>
      </c>
      <c r="D28" s="15">
        <v>25</v>
      </c>
      <c r="F28" s="15">
        <f>(E28/E3)*100</f>
        <v>0</v>
      </c>
      <c r="G28" s="48"/>
      <c r="H28" s="51"/>
      <c r="I28" s="15">
        <f t="shared" si="0"/>
        <v>0</v>
      </c>
      <c r="J28" s="15">
        <f t="shared" si="1"/>
        <v>0</v>
      </c>
    </row>
    <row r="29" spans="1:10" ht="30" customHeight="1" x14ac:dyDescent="0.25">
      <c r="C29" s="16"/>
    </row>
    <row r="30" spans="1:10" ht="30" customHeight="1" x14ac:dyDescent="0.25">
      <c r="C30" s="16"/>
    </row>
    <row r="31" spans="1:10" ht="30" customHeight="1" x14ac:dyDescent="0.25"/>
    <row r="32" spans="1:10" ht="30"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8C185-D675-4835-A619-000D7205D5BA}">
  <dimension ref="A1:K28"/>
  <sheetViews>
    <sheetView workbookViewId="0">
      <selection activeCell="H19" sqref="H19"/>
    </sheetView>
  </sheetViews>
  <sheetFormatPr defaultRowHeight="15" x14ac:dyDescent="0.25"/>
  <cols>
    <col min="1" max="9" width="20.5703125" customWidth="1"/>
  </cols>
  <sheetData>
    <row r="1" spans="1:11" ht="30" customHeight="1" x14ac:dyDescent="0.25">
      <c r="A1" s="13" t="s">
        <v>62</v>
      </c>
      <c r="B1" s="12"/>
      <c r="C1" s="12"/>
      <c r="D1" s="5"/>
      <c r="E1" s="12"/>
      <c r="F1" s="12"/>
      <c r="G1" s="12"/>
      <c r="H1" s="12"/>
      <c r="I1" s="12"/>
    </row>
    <row r="2" spans="1:11" ht="30" customHeight="1" x14ac:dyDescent="0.25">
      <c r="A2" s="13" t="s">
        <v>81</v>
      </c>
      <c r="B2" s="14" t="s">
        <v>64</v>
      </c>
      <c r="C2" s="14" t="s">
        <v>0</v>
      </c>
      <c r="D2" s="14" t="s">
        <v>1</v>
      </c>
      <c r="E2" s="14" t="s">
        <v>65</v>
      </c>
      <c r="F2" s="14" t="s">
        <v>66</v>
      </c>
      <c r="G2" s="14"/>
      <c r="H2" s="14" t="s">
        <v>67</v>
      </c>
      <c r="I2" s="14" t="s">
        <v>68</v>
      </c>
      <c r="K2" s="34" t="s">
        <v>69</v>
      </c>
    </row>
    <row r="3" spans="1:11" ht="30" customHeight="1" x14ac:dyDescent="0.25">
      <c r="A3" s="18" t="s">
        <v>70</v>
      </c>
      <c r="B3" s="24" t="s">
        <v>82</v>
      </c>
      <c r="C3" s="17">
        <v>44714</v>
      </c>
      <c r="D3" s="15">
        <v>0</v>
      </c>
      <c r="E3" s="15">
        <v>18.8</v>
      </c>
      <c r="F3" s="15"/>
      <c r="G3" s="15"/>
      <c r="H3" s="15"/>
      <c r="I3" s="15"/>
    </row>
    <row r="4" spans="1:11" ht="30" customHeight="1" x14ac:dyDescent="0.25">
      <c r="A4" s="19" t="s">
        <v>72</v>
      </c>
      <c r="B4" s="25" t="s">
        <v>82</v>
      </c>
      <c r="C4" s="17">
        <v>44715</v>
      </c>
      <c r="D4" s="15">
        <v>1</v>
      </c>
      <c r="E4" s="15">
        <v>19.399999999999999</v>
      </c>
      <c r="F4" s="15">
        <f>(E4/E3)*100</f>
        <v>103.19148936170212</v>
      </c>
      <c r="G4" s="15"/>
      <c r="H4" s="15">
        <v>255</v>
      </c>
      <c r="I4" s="15">
        <f>(H4*20)/1000</f>
        <v>5.0999999999999996</v>
      </c>
    </row>
    <row r="5" spans="1:11" ht="30" customHeight="1" x14ac:dyDescent="0.25">
      <c r="A5" s="19" t="s">
        <v>72</v>
      </c>
      <c r="B5" s="26" t="s">
        <v>82</v>
      </c>
      <c r="C5" s="17">
        <v>44716</v>
      </c>
      <c r="D5" s="15">
        <v>2</v>
      </c>
      <c r="E5" s="15">
        <v>19.2</v>
      </c>
      <c r="F5" s="15">
        <f>(E5/E3)*100</f>
        <v>102.12765957446808</v>
      </c>
      <c r="G5" s="15"/>
      <c r="H5" s="15">
        <f>470-255</f>
        <v>215</v>
      </c>
      <c r="I5" s="15">
        <f>(H5*20)/1000</f>
        <v>4.3</v>
      </c>
    </row>
    <row r="6" spans="1:11" ht="30" customHeight="1" x14ac:dyDescent="0.25">
      <c r="A6" s="20" t="s">
        <v>73</v>
      </c>
      <c r="B6" s="25" t="s">
        <v>82</v>
      </c>
      <c r="C6" s="17">
        <v>44717</v>
      </c>
      <c r="D6" s="15">
        <v>3</v>
      </c>
      <c r="E6" s="15">
        <v>19.2</v>
      </c>
      <c r="F6" s="15">
        <f>(E6/E3)*100</f>
        <v>102.12765957446808</v>
      </c>
      <c r="G6" s="15"/>
      <c r="H6" s="15">
        <f>663-470</f>
        <v>193</v>
      </c>
      <c r="I6" s="15">
        <f t="shared" ref="I6:I22" si="0">(H6*20)/1000</f>
        <v>3.86</v>
      </c>
    </row>
    <row r="7" spans="1:11" ht="30" customHeight="1" x14ac:dyDescent="0.25">
      <c r="A7" s="21" t="s">
        <v>73</v>
      </c>
      <c r="B7" s="27" t="s">
        <v>82</v>
      </c>
      <c r="C7" s="17">
        <v>44718</v>
      </c>
      <c r="D7" s="15">
        <v>4</v>
      </c>
      <c r="E7" s="15">
        <v>18</v>
      </c>
      <c r="F7" s="15">
        <f>(E7/E3)*100</f>
        <v>95.744680851063819</v>
      </c>
      <c r="G7" s="15"/>
      <c r="H7" s="54">
        <f>234-68</f>
        <v>166</v>
      </c>
      <c r="I7" s="15">
        <f t="shared" si="0"/>
        <v>3.32</v>
      </c>
      <c r="K7">
        <v>68</v>
      </c>
    </row>
    <row r="8" spans="1:11" ht="30" customHeight="1" x14ac:dyDescent="0.25">
      <c r="A8" s="21" t="s">
        <v>73</v>
      </c>
      <c r="B8" s="25" t="s">
        <v>82</v>
      </c>
      <c r="C8" s="17">
        <v>44719</v>
      </c>
      <c r="D8" s="15">
        <v>5</v>
      </c>
      <c r="E8" s="15">
        <v>17.899999999999999</v>
      </c>
      <c r="F8" s="15">
        <f>(E8/E3)*100</f>
        <v>95.212765957446805</v>
      </c>
      <c r="G8" s="15"/>
      <c r="H8" s="54">
        <v>176</v>
      </c>
      <c r="I8" s="15">
        <f t="shared" si="0"/>
        <v>3.52</v>
      </c>
      <c r="K8">
        <v>60</v>
      </c>
    </row>
    <row r="9" spans="1:11" ht="30" customHeight="1" x14ac:dyDescent="0.25">
      <c r="A9" s="21" t="s">
        <v>73</v>
      </c>
      <c r="B9" s="26" t="s">
        <v>82</v>
      </c>
      <c r="C9" s="17">
        <v>44720</v>
      </c>
      <c r="D9" s="15">
        <v>6</v>
      </c>
      <c r="E9" s="15">
        <v>18.3</v>
      </c>
      <c r="F9" s="15">
        <f>(E9/E3)*100</f>
        <v>97.340425531914903</v>
      </c>
      <c r="G9" s="15"/>
      <c r="H9" s="54">
        <f>254-58</f>
        <v>196</v>
      </c>
      <c r="I9" s="15">
        <f t="shared" si="0"/>
        <v>3.92</v>
      </c>
      <c r="K9">
        <v>58</v>
      </c>
    </row>
    <row r="10" spans="1:11" ht="30" customHeight="1" x14ac:dyDescent="0.25">
      <c r="A10" s="21" t="s">
        <v>73</v>
      </c>
      <c r="B10" s="25" t="s">
        <v>82</v>
      </c>
      <c r="C10" s="17">
        <v>44721</v>
      </c>
      <c r="D10" s="15">
        <v>7</v>
      </c>
      <c r="E10" s="15">
        <v>18.600000000000001</v>
      </c>
      <c r="F10" s="15">
        <f>(E10/E3)*100</f>
        <v>98.936170212765958</v>
      </c>
      <c r="G10" s="15"/>
      <c r="H10" s="15">
        <f>880-724</f>
        <v>156</v>
      </c>
      <c r="I10" s="15">
        <f t="shared" si="0"/>
        <v>3.12</v>
      </c>
    </row>
    <row r="11" spans="1:11" ht="30" customHeight="1" x14ac:dyDescent="0.25">
      <c r="A11" s="21" t="s">
        <v>73</v>
      </c>
      <c r="B11" s="26" t="s">
        <v>82</v>
      </c>
      <c r="C11" s="17">
        <v>44722</v>
      </c>
      <c r="D11" s="15">
        <v>8</v>
      </c>
      <c r="E11" s="15">
        <v>18.7</v>
      </c>
      <c r="F11" s="15">
        <f>(E11/E3)*100</f>
        <v>99.468085106382972</v>
      </c>
      <c r="G11" s="15"/>
      <c r="H11" s="15">
        <f>1056-880</f>
        <v>176</v>
      </c>
      <c r="I11" s="15">
        <f t="shared" si="0"/>
        <v>3.52</v>
      </c>
    </row>
    <row r="12" spans="1:11" ht="30" customHeight="1" x14ac:dyDescent="0.25">
      <c r="A12" s="21" t="s">
        <v>73</v>
      </c>
      <c r="B12" s="25" t="s">
        <v>82</v>
      </c>
      <c r="C12" s="17">
        <v>44723</v>
      </c>
      <c r="D12" s="15">
        <v>9</v>
      </c>
      <c r="E12" s="15">
        <v>18.899999999999999</v>
      </c>
      <c r="F12" s="15">
        <f>(E12/E3)*100</f>
        <v>100.53191489361701</v>
      </c>
      <c r="G12" s="15"/>
      <c r="H12" s="15">
        <f>1248-1056</f>
        <v>192</v>
      </c>
      <c r="I12" s="15">
        <f t="shared" si="0"/>
        <v>3.84</v>
      </c>
    </row>
    <row r="13" spans="1:11" ht="30" customHeight="1" x14ac:dyDescent="0.25">
      <c r="A13" s="22" t="s">
        <v>74</v>
      </c>
      <c r="B13" s="26" t="s">
        <v>82</v>
      </c>
      <c r="C13" s="17">
        <v>44724</v>
      </c>
      <c r="D13" s="15">
        <v>10</v>
      </c>
      <c r="E13" s="15">
        <v>18.7</v>
      </c>
      <c r="F13" s="15">
        <f>(E13/E3)*100</f>
        <v>99.468085106382972</v>
      </c>
      <c r="G13" s="15"/>
      <c r="H13" s="15">
        <f>1434-1248</f>
        <v>186</v>
      </c>
      <c r="I13" s="15">
        <f t="shared" si="0"/>
        <v>3.72</v>
      </c>
    </row>
    <row r="14" spans="1:11" ht="30" customHeight="1" x14ac:dyDescent="0.25">
      <c r="A14" s="22" t="s">
        <v>74</v>
      </c>
      <c r="B14" s="25" t="s">
        <v>82</v>
      </c>
      <c r="C14" s="17">
        <v>44725</v>
      </c>
      <c r="D14" s="15">
        <v>11</v>
      </c>
      <c r="E14" s="15">
        <v>19.100000000000001</v>
      </c>
      <c r="F14" s="15">
        <f>(E14/E3)*100</f>
        <v>101.59574468085107</v>
      </c>
      <c r="G14" s="15"/>
      <c r="H14" s="15">
        <v>198</v>
      </c>
      <c r="I14" s="15">
        <f t="shared" si="0"/>
        <v>3.96</v>
      </c>
    </row>
    <row r="15" spans="1:11" ht="30" customHeight="1" x14ac:dyDescent="0.25">
      <c r="A15" s="22" t="s">
        <v>74</v>
      </c>
      <c r="B15" s="26" t="s">
        <v>82</v>
      </c>
      <c r="C15" s="17">
        <v>44726</v>
      </c>
      <c r="D15" s="15">
        <v>12</v>
      </c>
      <c r="E15" s="15">
        <v>19.3</v>
      </c>
      <c r="F15" s="15">
        <f>(E15/E3)*100</f>
        <v>102.65957446808511</v>
      </c>
      <c r="G15" s="15"/>
      <c r="H15" s="15">
        <f>406-198</f>
        <v>208</v>
      </c>
      <c r="I15" s="15">
        <f t="shared" si="0"/>
        <v>4.16</v>
      </c>
    </row>
    <row r="16" spans="1:11" ht="30" customHeight="1" x14ac:dyDescent="0.25">
      <c r="A16" s="22" t="s">
        <v>74</v>
      </c>
      <c r="B16" s="25" t="s">
        <v>82</v>
      </c>
      <c r="C16" s="17">
        <v>44727</v>
      </c>
      <c r="D16" s="15">
        <v>13</v>
      </c>
      <c r="E16" s="15">
        <v>19.5</v>
      </c>
      <c r="F16" s="15">
        <f>(E16/E3)*100</f>
        <v>103.72340425531914</v>
      </c>
      <c r="G16" s="15"/>
      <c r="H16" s="15">
        <f>557-406</f>
        <v>151</v>
      </c>
      <c r="I16" s="15">
        <f t="shared" si="0"/>
        <v>3.02</v>
      </c>
    </row>
    <row r="17" spans="1:10" ht="30" customHeight="1" x14ac:dyDescent="0.25">
      <c r="A17" s="22" t="s">
        <v>74</v>
      </c>
      <c r="B17" s="26" t="s">
        <v>82</v>
      </c>
      <c r="C17" s="17">
        <v>44728</v>
      </c>
      <c r="D17" s="15">
        <v>14</v>
      </c>
      <c r="E17" s="15">
        <v>18.899999999999999</v>
      </c>
      <c r="F17" s="15">
        <f>(E17/E3)*100</f>
        <v>100.53191489361701</v>
      </c>
      <c r="G17" s="15"/>
      <c r="H17" s="15">
        <f>689-557</f>
        <v>132</v>
      </c>
      <c r="I17" s="15">
        <f t="shared" si="0"/>
        <v>2.64</v>
      </c>
    </row>
    <row r="18" spans="1:10" ht="30" customHeight="1" x14ac:dyDescent="0.25">
      <c r="A18" s="22" t="s">
        <v>74</v>
      </c>
      <c r="B18" s="25" t="s">
        <v>82</v>
      </c>
      <c r="C18" s="17">
        <v>44729</v>
      </c>
      <c r="D18" s="15">
        <v>15</v>
      </c>
      <c r="E18" s="15">
        <v>18.8</v>
      </c>
      <c r="F18" s="15">
        <f>(E18/E3)*100</f>
        <v>100</v>
      </c>
      <c r="G18" s="15"/>
      <c r="H18" s="15">
        <f>810-689</f>
        <v>121</v>
      </c>
      <c r="I18" s="15">
        <f t="shared" si="0"/>
        <v>2.42</v>
      </c>
    </row>
    <row r="19" spans="1:10" ht="30" customHeight="1" x14ac:dyDescent="0.25">
      <c r="A19" s="22" t="s">
        <v>74</v>
      </c>
      <c r="B19" s="26" t="s">
        <v>82</v>
      </c>
      <c r="C19" s="17">
        <v>44730</v>
      </c>
      <c r="D19" s="15">
        <v>16</v>
      </c>
      <c r="E19" s="15">
        <v>19.5</v>
      </c>
      <c r="F19" s="15">
        <f>(E19/E3)*100</f>
        <v>103.72340425531914</v>
      </c>
      <c r="G19" s="15"/>
      <c r="H19" s="15">
        <f>1029-810</f>
        <v>219</v>
      </c>
      <c r="I19" s="15">
        <f t="shared" si="0"/>
        <v>4.38</v>
      </c>
    </row>
    <row r="20" spans="1:10" ht="30" customHeight="1" x14ac:dyDescent="0.25">
      <c r="A20" s="22" t="s">
        <v>75</v>
      </c>
      <c r="B20" s="25" t="s">
        <v>82</v>
      </c>
      <c r="C20" s="17">
        <v>44731</v>
      </c>
      <c r="D20" s="15">
        <v>17</v>
      </c>
      <c r="E20" s="15">
        <v>19.3</v>
      </c>
      <c r="F20" s="15">
        <f>(E20/E3)*100</f>
        <v>102.65957446808511</v>
      </c>
      <c r="G20" s="15"/>
      <c r="H20" s="15">
        <f>1205-1029</f>
        <v>176</v>
      </c>
      <c r="I20" s="15">
        <f t="shared" si="0"/>
        <v>3.52</v>
      </c>
    </row>
    <row r="21" spans="1:10" ht="30" customHeight="1" x14ac:dyDescent="0.25">
      <c r="A21" s="22" t="s">
        <v>76</v>
      </c>
      <c r="B21" s="26" t="s">
        <v>82</v>
      </c>
      <c r="C21" s="17">
        <v>44732</v>
      </c>
      <c r="D21" s="15">
        <v>18</v>
      </c>
      <c r="E21" s="15"/>
      <c r="F21" s="15">
        <f>(E21/E3)*100</f>
        <v>0</v>
      </c>
      <c r="G21" s="15"/>
      <c r="H21" s="15"/>
      <c r="I21" s="15">
        <f t="shared" si="0"/>
        <v>0</v>
      </c>
    </row>
    <row r="22" spans="1:10" ht="30" customHeight="1" x14ac:dyDescent="0.25">
      <c r="A22" s="22" t="s">
        <v>77</v>
      </c>
      <c r="B22" s="28" t="s">
        <v>78</v>
      </c>
      <c r="C22" s="17">
        <v>44733</v>
      </c>
      <c r="D22" s="15">
        <v>19</v>
      </c>
      <c r="E22" s="15"/>
      <c r="F22" s="15">
        <f>(E22/E3)*100</f>
        <v>0</v>
      </c>
      <c r="G22" s="15"/>
      <c r="H22" s="15"/>
      <c r="I22" s="15">
        <f t="shared" si="0"/>
        <v>0</v>
      </c>
    </row>
    <row r="23" spans="1:10" ht="30" customHeight="1" x14ac:dyDescent="0.25">
      <c r="A23" s="22" t="s">
        <v>77</v>
      </c>
      <c r="B23" s="28" t="s">
        <v>78</v>
      </c>
      <c r="C23" s="17">
        <v>44734</v>
      </c>
      <c r="D23" s="15">
        <v>20</v>
      </c>
      <c r="E23" s="15"/>
      <c r="F23" s="15">
        <f>(E23/E3)*100</f>
        <v>0</v>
      </c>
      <c r="G23" s="45"/>
      <c r="H23" s="50"/>
      <c r="I23" s="15">
        <f t="shared" ref="I23:I28" si="1">(H23*20)/1000</f>
        <v>0</v>
      </c>
      <c r="J23">
        <f t="shared" ref="J23:J28" si="2">(G23*20)/1000</f>
        <v>0</v>
      </c>
    </row>
    <row r="24" spans="1:10" ht="30" customHeight="1" x14ac:dyDescent="0.25">
      <c r="A24" s="22" t="s">
        <v>77</v>
      </c>
      <c r="B24" s="28" t="s">
        <v>78</v>
      </c>
      <c r="C24" s="17">
        <v>44735</v>
      </c>
      <c r="D24" s="15">
        <v>21</v>
      </c>
      <c r="E24" s="15"/>
      <c r="F24" s="15">
        <f>(E24/E3)*100</f>
        <v>0</v>
      </c>
      <c r="G24" s="46"/>
      <c r="H24" s="50"/>
      <c r="I24" s="15">
        <f t="shared" si="1"/>
        <v>0</v>
      </c>
      <c r="J24">
        <f t="shared" si="2"/>
        <v>0</v>
      </c>
    </row>
    <row r="25" spans="1:10" ht="30" customHeight="1" x14ac:dyDescent="0.25">
      <c r="A25" s="23" t="s">
        <v>79</v>
      </c>
      <c r="B25" s="25" t="s">
        <v>83</v>
      </c>
      <c r="C25" s="17">
        <v>44736</v>
      </c>
      <c r="D25" s="15">
        <v>22</v>
      </c>
      <c r="E25" s="15"/>
      <c r="F25" s="15">
        <f>(E25/E3)*100</f>
        <v>0</v>
      </c>
      <c r="G25" s="47"/>
      <c r="H25" s="50"/>
      <c r="I25" s="15">
        <f t="shared" si="1"/>
        <v>0</v>
      </c>
      <c r="J25">
        <f t="shared" si="2"/>
        <v>0</v>
      </c>
    </row>
    <row r="26" spans="1:10" ht="30" customHeight="1" x14ac:dyDescent="0.25">
      <c r="A26" s="23" t="s">
        <v>79</v>
      </c>
      <c r="B26" s="26" t="s">
        <v>83</v>
      </c>
      <c r="C26" s="17">
        <v>44737</v>
      </c>
      <c r="D26" s="15">
        <v>23</v>
      </c>
      <c r="E26" s="15"/>
      <c r="F26" s="15">
        <f>(E26/E3)*100</f>
        <v>0</v>
      </c>
      <c r="G26" s="45"/>
      <c r="H26" s="49"/>
      <c r="I26" s="15">
        <f t="shared" si="1"/>
        <v>0</v>
      </c>
      <c r="J26">
        <f t="shared" si="2"/>
        <v>0</v>
      </c>
    </row>
    <row r="27" spans="1:10" ht="30" customHeight="1" x14ac:dyDescent="0.25">
      <c r="A27" s="23" t="s">
        <v>79</v>
      </c>
      <c r="B27" s="29" t="s">
        <v>83</v>
      </c>
      <c r="C27" s="17">
        <v>44738</v>
      </c>
      <c r="D27" s="15">
        <v>24</v>
      </c>
      <c r="E27" s="15"/>
      <c r="F27" s="15">
        <f>(E27/E3)*100</f>
        <v>0</v>
      </c>
      <c r="G27" s="48"/>
      <c r="H27" s="51"/>
      <c r="I27" s="15">
        <f t="shared" si="1"/>
        <v>0</v>
      </c>
      <c r="J27">
        <f t="shared" si="2"/>
        <v>0</v>
      </c>
    </row>
    <row r="28" spans="1:10" ht="30" customHeight="1" x14ac:dyDescent="0.25">
      <c r="B28" s="30" t="s">
        <v>83</v>
      </c>
      <c r="C28" s="17">
        <v>44739</v>
      </c>
      <c r="D28" s="15">
        <v>25</v>
      </c>
      <c r="F28" s="15">
        <f>(E28/E3)*100</f>
        <v>0</v>
      </c>
      <c r="G28" s="15"/>
      <c r="I28" s="15">
        <f t="shared" si="1"/>
        <v>0</v>
      </c>
      <c r="J28">
        <f t="shared" si="2"/>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9DE1-A18E-43B2-9F51-FA13EDA8408D}">
  <dimension ref="A1:K31"/>
  <sheetViews>
    <sheetView topLeftCell="A11" workbookViewId="0">
      <selection activeCell="G14" sqref="G14"/>
    </sheetView>
  </sheetViews>
  <sheetFormatPr defaultRowHeight="15" x14ac:dyDescent="0.25"/>
  <cols>
    <col min="1" max="1" width="30.7109375" customWidth="1"/>
    <col min="2" max="9" width="20.5703125" customWidth="1"/>
  </cols>
  <sheetData>
    <row r="1" spans="1:11" ht="30" customHeight="1" x14ac:dyDescent="0.25">
      <c r="A1" s="13" t="s">
        <v>62</v>
      </c>
      <c r="B1" s="12"/>
      <c r="C1" s="12"/>
      <c r="D1" s="5"/>
      <c r="E1" s="12"/>
      <c r="F1" s="12"/>
      <c r="G1" s="12"/>
      <c r="H1" s="12"/>
      <c r="I1" s="12"/>
    </row>
    <row r="2" spans="1:11" ht="30" customHeight="1" x14ac:dyDescent="0.25">
      <c r="A2" s="13" t="s">
        <v>84</v>
      </c>
      <c r="B2" s="14" t="s">
        <v>64</v>
      </c>
      <c r="C2" s="14" t="s">
        <v>0</v>
      </c>
      <c r="D2" s="14" t="s">
        <v>1</v>
      </c>
      <c r="E2" s="14" t="s">
        <v>65</v>
      </c>
      <c r="F2" s="14" t="s">
        <v>66</v>
      </c>
      <c r="G2" s="14"/>
      <c r="H2" s="14" t="s">
        <v>67</v>
      </c>
      <c r="I2" s="14" t="s">
        <v>68</v>
      </c>
      <c r="K2" s="34" t="s">
        <v>69</v>
      </c>
    </row>
    <row r="3" spans="1:11" ht="30" customHeight="1" x14ac:dyDescent="0.25">
      <c r="A3" s="18" t="s">
        <v>70</v>
      </c>
      <c r="B3" s="24" t="s">
        <v>85</v>
      </c>
      <c r="C3" s="17">
        <v>44714</v>
      </c>
      <c r="D3" s="15">
        <v>0</v>
      </c>
      <c r="E3" s="15">
        <v>20.7</v>
      </c>
      <c r="F3" s="15"/>
      <c r="G3" s="15"/>
      <c r="H3" s="15"/>
      <c r="I3" s="15"/>
    </row>
    <row r="4" spans="1:11" ht="30" customHeight="1" x14ac:dyDescent="0.25">
      <c r="A4" s="19" t="s">
        <v>72</v>
      </c>
      <c r="B4" s="25" t="s">
        <v>85</v>
      </c>
      <c r="C4" s="17">
        <v>44715</v>
      </c>
      <c r="D4" s="15">
        <v>1</v>
      </c>
      <c r="E4" s="15">
        <v>20.9</v>
      </c>
      <c r="F4" s="15">
        <f>(E4/E3)*100</f>
        <v>100.96618357487924</v>
      </c>
      <c r="G4" s="15"/>
      <c r="H4" s="15">
        <v>142</v>
      </c>
      <c r="I4" s="15">
        <f>(H4*20)/1000</f>
        <v>2.84</v>
      </c>
    </row>
    <row r="5" spans="1:11" ht="30" customHeight="1" x14ac:dyDescent="0.25">
      <c r="A5" s="19" t="s">
        <v>72</v>
      </c>
      <c r="B5" s="26" t="s">
        <v>85</v>
      </c>
      <c r="C5" s="17">
        <v>44716</v>
      </c>
      <c r="D5" s="15">
        <v>2</v>
      </c>
      <c r="E5" s="15">
        <v>20.3</v>
      </c>
      <c r="F5" s="15">
        <f>(E5/E3)*100</f>
        <v>98.067632850241552</v>
      </c>
      <c r="G5" s="15"/>
      <c r="H5" s="15">
        <f>339-142</f>
        <v>197</v>
      </c>
      <c r="I5" s="15">
        <f>(H5*20)/1000</f>
        <v>3.94</v>
      </c>
    </row>
    <row r="6" spans="1:11" ht="30" customHeight="1" x14ac:dyDescent="0.25">
      <c r="A6" s="20" t="s">
        <v>73</v>
      </c>
      <c r="B6" s="25" t="s">
        <v>85</v>
      </c>
      <c r="C6" s="17">
        <v>44717</v>
      </c>
      <c r="D6" s="15">
        <v>3</v>
      </c>
      <c r="E6" s="15">
        <v>20.3</v>
      </c>
      <c r="F6" s="15">
        <f>(E6/E3)*100</f>
        <v>98.067632850241552</v>
      </c>
      <c r="G6" s="15"/>
      <c r="H6" s="15">
        <f>537-339</f>
        <v>198</v>
      </c>
      <c r="I6" s="15">
        <f t="shared" ref="I6:I28" si="0">(H6*20)/1000</f>
        <v>3.96</v>
      </c>
    </row>
    <row r="7" spans="1:11" ht="30" customHeight="1" x14ac:dyDescent="0.25">
      <c r="A7" s="21" t="s">
        <v>73</v>
      </c>
      <c r="B7" s="27" t="s">
        <v>85</v>
      </c>
      <c r="C7" s="17">
        <v>44718</v>
      </c>
      <c r="D7" s="15">
        <v>4</v>
      </c>
      <c r="E7" s="15">
        <v>19.600000000000001</v>
      </c>
      <c r="F7" s="15">
        <f>(E7/E3)*100</f>
        <v>94.68599033816426</v>
      </c>
      <c r="G7" s="15"/>
      <c r="H7" s="15">
        <v>143</v>
      </c>
      <c r="I7" s="15">
        <f t="shared" si="0"/>
        <v>2.86</v>
      </c>
    </row>
    <row r="8" spans="1:11" ht="30" customHeight="1" x14ac:dyDescent="0.25">
      <c r="A8" s="21" t="s">
        <v>73</v>
      </c>
      <c r="B8" s="25" t="s">
        <v>85</v>
      </c>
      <c r="C8" s="17">
        <v>44719</v>
      </c>
      <c r="D8" s="15">
        <v>5</v>
      </c>
      <c r="E8" s="15">
        <v>19.7</v>
      </c>
      <c r="F8" s="15">
        <f>(E8/E3)*100</f>
        <v>95.169082125603865</v>
      </c>
      <c r="G8" s="15"/>
      <c r="H8" s="15">
        <f>290-143</f>
        <v>147</v>
      </c>
      <c r="I8" s="15">
        <f t="shared" si="0"/>
        <v>2.94</v>
      </c>
    </row>
    <row r="9" spans="1:11" ht="30" customHeight="1" x14ac:dyDescent="0.25">
      <c r="A9" s="21" t="s">
        <v>73</v>
      </c>
      <c r="B9" s="26" t="s">
        <v>85</v>
      </c>
      <c r="C9" s="17">
        <v>44720</v>
      </c>
      <c r="D9" s="15">
        <v>6</v>
      </c>
      <c r="E9" s="15">
        <v>19.2</v>
      </c>
      <c r="F9" s="15">
        <f>(E9/E3)*100</f>
        <v>92.753623188405797</v>
      </c>
      <c r="G9" s="15"/>
      <c r="H9" s="54">
        <f>225-11</f>
        <v>214</v>
      </c>
      <c r="I9" s="15">
        <f t="shared" si="0"/>
        <v>4.28</v>
      </c>
      <c r="K9">
        <v>11</v>
      </c>
    </row>
    <row r="10" spans="1:11" ht="30" customHeight="1" x14ac:dyDescent="0.25">
      <c r="A10" s="21" t="s">
        <v>73</v>
      </c>
      <c r="B10" s="25" t="s">
        <v>85</v>
      </c>
      <c r="C10" s="17">
        <v>44721</v>
      </c>
      <c r="D10" s="15">
        <v>7</v>
      </c>
      <c r="E10" s="15">
        <v>19.600000000000001</v>
      </c>
      <c r="F10" s="15">
        <f>(E10/E3)*100</f>
        <v>94.68599033816426</v>
      </c>
      <c r="G10" s="15"/>
      <c r="H10" s="54">
        <v>213</v>
      </c>
      <c r="I10" s="15">
        <f t="shared" si="0"/>
        <v>4.26</v>
      </c>
      <c r="K10">
        <v>4</v>
      </c>
    </row>
    <row r="11" spans="1:11" ht="30" customHeight="1" x14ac:dyDescent="0.25">
      <c r="A11" s="21" t="s">
        <v>73</v>
      </c>
      <c r="B11" s="26" t="s">
        <v>85</v>
      </c>
      <c r="C11" s="17">
        <v>44722</v>
      </c>
      <c r="D11" s="15">
        <v>8</v>
      </c>
      <c r="E11" s="15">
        <v>20.3</v>
      </c>
      <c r="F11" s="15">
        <f>(E11/E3)*100</f>
        <v>98.067632850241552</v>
      </c>
      <c r="G11" s="15"/>
      <c r="H11" s="54">
        <v>243</v>
      </c>
      <c r="I11" s="15">
        <f t="shared" si="0"/>
        <v>4.8600000000000003</v>
      </c>
      <c r="K11">
        <v>10</v>
      </c>
    </row>
    <row r="12" spans="1:11" ht="30" customHeight="1" x14ac:dyDescent="0.25">
      <c r="A12" s="21" t="s">
        <v>73</v>
      </c>
      <c r="B12" s="25" t="s">
        <v>85</v>
      </c>
      <c r="C12" s="17">
        <v>44723</v>
      </c>
      <c r="D12" s="15">
        <v>9</v>
      </c>
      <c r="E12" s="15">
        <v>20.9</v>
      </c>
      <c r="F12" s="15">
        <f>(E12/E3)*100</f>
        <v>100.96618357487924</v>
      </c>
      <c r="G12" s="15"/>
      <c r="H12" s="54">
        <f>286-25</f>
        <v>261</v>
      </c>
      <c r="I12" s="15">
        <f t="shared" si="0"/>
        <v>5.22</v>
      </c>
      <c r="K12">
        <v>25</v>
      </c>
    </row>
    <row r="13" spans="1:11" ht="30" customHeight="1" x14ac:dyDescent="0.25">
      <c r="A13" s="22" t="s">
        <v>74</v>
      </c>
      <c r="B13" s="26" t="s">
        <v>85</v>
      </c>
      <c r="C13" s="17">
        <v>44724</v>
      </c>
      <c r="D13" s="15">
        <v>10</v>
      </c>
      <c r="E13" s="15">
        <v>21.2</v>
      </c>
      <c r="F13" s="15">
        <f>(E13/E3)*100</f>
        <v>102.41545893719808</v>
      </c>
      <c r="G13" s="15"/>
      <c r="H13" s="54">
        <v>205</v>
      </c>
      <c r="I13" s="15">
        <f t="shared" si="0"/>
        <v>4.0999999999999996</v>
      </c>
      <c r="K13">
        <v>5</v>
      </c>
    </row>
    <row r="14" spans="1:11" ht="30" customHeight="1" x14ac:dyDescent="0.25">
      <c r="A14" s="22" t="s">
        <v>74</v>
      </c>
      <c r="B14" s="25" t="s">
        <v>85</v>
      </c>
      <c r="C14" s="17">
        <v>44725</v>
      </c>
      <c r="D14" s="15">
        <v>11</v>
      </c>
      <c r="E14" s="15">
        <v>21.2</v>
      </c>
      <c r="F14" s="15">
        <f>(E14/E3)*100</f>
        <v>102.41545893719808</v>
      </c>
      <c r="G14" s="15"/>
      <c r="H14" s="15">
        <v>264</v>
      </c>
      <c r="I14" s="15">
        <f t="shared" si="0"/>
        <v>5.28</v>
      </c>
    </row>
    <row r="15" spans="1:11" ht="30" customHeight="1" x14ac:dyDescent="0.25">
      <c r="A15" s="22" t="s">
        <v>74</v>
      </c>
      <c r="B15" s="26" t="s">
        <v>85</v>
      </c>
      <c r="C15" s="17">
        <v>44726</v>
      </c>
      <c r="D15" s="15">
        <v>12</v>
      </c>
      <c r="E15" s="15">
        <f>21.6</f>
        <v>21.6</v>
      </c>
      <c r="F15" s="15">
        <f>(E15/E3)*100</f>
        <v>104.34782608695654</v>
      </c>
      <c r="G15" s="15"/>
      <c r="H15" s="15">
        <f>496-264</f>
        <v>232</v>
      </c>
      <c r="I15" s="15">
        <f t="shared" si="0"/>
        <v>4.6399999999999997</v>
      </c>
    </row>
    <row r="16" spans="1:11" ht="30" customHeight="1" x14ac:dyDescent="0.25">
      <c r="A16" s="22" t="s">
        <v>74</v>
      </c>
      <c r="B16" s="25" t="s">
        <v>85</v>
      </c>
      <c r="C16" s="17">
        <v>44727</v>
      </c>
      <c r="D16" s="15">
        <v>13</v>
      </c>
      <c r="E16" s="15">
        <v>21.9</v>
      </c>
      <c r="F16" s="15">
        <f>(E16/E3)*100</f>
        <v>105.79710144927536</v>
      </c>
      <c r="G16" s="15"/>
      <c r="H16" s="15">
        <f>720-497</f>
        <v>223</v>
      </c>
      <c r="I16" s="15">
        <f t="shared" si="0"/>
        <v>4.46</v>
      </c>
    </row>
    <row r="17" spans="1:10" ht="30" customHeight="1" x14ac:dyDescent="0.25">
      <c r="A17" s="22" t="s">
        <v>74</v>
      </c>
      <c r="B17" s="26" t="s">
        <v>85</v>
      </c>
      <c r="C17" s="17">
        <v>44728</v>
      </c>
      <c r="D17" s="15">
        <v>14</v>
      </c>
      <c r="E17" s="15">
        <v>21.8</v>
      </c>
      <c r="F17" s="15">
        <f>(E17/E3)*100</f>
        <v>105.31400966183575</v>
      </c>
      <c r="G17" s="15"/>
      <c r="H17" s="15">
        <f>918-720</f>
        <v>198</v>
      </c>
      <c r="I17" s="15">
        <f t="shared" si="0"/>
        <v>3.96</v>
      </c>
    </row>
    <row r="18" spans="1:10" ht="30" customHeight="1" x14ac:dyDescent="0.25">
      <c r="A18" s="22" t="s">
        <v>74</v>
      </c>
      <c r="B18" s="25" t="s">
        <v>85</v>
      </c>
      <c r="C18" s="17">
        <v>44729</v>
      </c>
      <c r="D18" s="15">
        <v>15</v>
      </c>
      <c r="E18" s="15">
        <v>22</v>
      </c>
      <c r="F18" s="15">
        <f>(E18/E3)*100</f>
        <v>106.28019323671498</v>
      </c>
      <c r="G18" s="15"/>
      <c r="H18" s="15">
        <f>1096-918</f>
        <v>178</v>
      </c>
      <c r="I18" s="15">
        <f t="shared" si="0"/>
        <v>3.56</v>
      </c>
    </row>
    <row r="19" spans="1:10" ht="30" customHeight="1" x14ac:dyDescent="0.25">
      <c r="A19" s="22" t="s">
        <v>74</v>
      </c>
      <c r="B19" s="26" t="s">
        <v>85</v>
      </c>
      <c r="C19" s="17">
        <v>44730</v>
      </c>
      <c r="D19" s="15">
        <v>16</v>
      </c>
      <c r="E19" s="15">
        <v>21.2</v>
      </c>
      <c r="F19" s="15">
        <f>(E19/E3)*100</f>
        <v>102.41545893719808</v>
      </c>
      <c r="G19" s="15"/>
      <c r="H19" s="15">
        <f>1267-1096</f>
        <v>171</v>
      </c>
      <c r="I19" s="15">
        <f t="shared" si="0"/>
        <v>3.42</v>
      </c>
    </row>
    <row r="20" spans="1:10" ht="30" customHeight="1" x14ac:dyDescent="0.25">
      <c r="A20" s="22" t="s">
        <v>75</v>
      </c>
      <c r="B20" s="25" t="s">
        <v>85</v>
      </c>
      <c r="C20" s="17">
        <v>44731</v>
      </c>
      <c r="D20" s="15">
        <v>17</v>
      </c>
      <c r="E20" s="15">
        <v>21.4</v>
      </c>
      <c r="F20" s="15">
        <f>(E20/E3)*100</f>
        <v>103.38164251207729</v>
      </c>
      <c r="G20" s="15"/>
      <c r="H20" s="15">
        <f>1447-1267</f>
        <v>180</v>
      </c>
      <c r="I20" s="15">
        <f t="shared" si="0"/>
        <v>3.6</v>
      </c>
    </row>
    <row r="21" spans="1:10" ht="30" customHeight="1" x14ac:dyDescent="0.25">
      <c r="A21" s="22" t="s">
        <v>76</v>
      </c>
      <c r="B21" s="26" t="s">
        <v>85</v>
      </c>
      <c r="C21" s="17">
        <v>44732</v>
      </c>
      <c r="D21" s="15">
        <v>18</v>
      </c>
      <c r="E21" s="15"/>
      <c r="F21" s="15">
        <f>(E21/E3)*100</f>
        <v>0</v>
      </c>
      <c r="G21" s="15"/>
      <c r="H21" s="15"/>
      <c r="I21" s="15">
        <f t="shared" si="0"/>
        <v>0</v>
      </c>
    </row>
    <row r="22" spans="1:10" ht="30" customHeight="1" x14ac:dyDescent="0.25">
      <c r="A22" s="22" t="s">
        <v>77</v>
      </c>
      <c r="B22" s="28" t="s">
        <v>78</v>
      </c>
      <c r="C22" s="17">
        <v>44733</v>
      </c>
      <c r="D22" s="15">
        <v>19</v>
      </c>
      <c r="E22" s="15"/>
      <c r="F22" s="15">
        <f>(E22/E3)*100</f>
        <v>0</v>
      </c>
      <c r="G22" s="15"/>
      <c r="H22" s="15"/>
      <c r="I22" s="15">
        <f t="shared" si="0"/>
        <v>0</v>
      </c>
    </row>
    <row r="23" spans="1:10" ht="30" customHeight="1" x14ac:dyDescent="0.25">
      <c r="A23" s="22" t="s">
        <v>77</v>
      </c>
      <c r="B23" s="28" t="s">
        <v>78</v>
      </c>
      <c r="C23" s="17">
        <v>44734</v>
      </c>
      <c r="D23" s="15">
        <v>20</v>
      </c>
      <c r="E23" s="15"/>
      <c r="F23" s="15">
        <f>(E23/E3)*100</f>
        <v>0</v>
      </c>
      <c r="G23" s="45"/>
      <c r="H23" s="50"/>
      <c r="I23" s="15">
        <f>(H23*20)/1000</f>
        <v>0</v>
      </c>
      <c r="J23">
        <f t="shared" ref="J23:J28" si="1">(G23*20)/1000</f>
        <v>0</v>
      </c>
    </row>
    <row r="24" spans="1:10" ht="30" customHeight="1" x14ac:dyDescent="0.25">
      <c r="A24" s="22" t="s">
        <v>77</v>
      </c>
      <c r="B24" s="28" t="s">
        <v>78</v>
      </c>
      <c r="C24" s="17">
        <v>44735</v>
      </c>
      <c r="D24" s="15">
        <v>21</v>
      </c>
      <c r="E24" s="15"/>
      <c r="F24" s="15">
        <f>(E24/E3)*100</f>
        <v>0</v>
      </c>
      <c r="G24" s="46"/>
      <c r="H24" s="50"/>
      <c r="I24" s="15">
        <f>(H24*20)/1000</f>
        <v>0</v>
      </c>
      <c r="J24">
        <f t="shared" si="1"/>
        <v>0</v>
      </c>
    </row>
    <row r="25" spans="1:10" ht="30" customHeight="1" x14ac:dyDescent="0.25">
      <c r="A25" s="23" t="s">
        <v>79</v>
      </c>
      <c r="B25" s="52" t="s">
        <v>86</v>
      </c>
      <c r="C25" s="17">
        <v>44736</v>
      </c>
      <c r="D25" s="15">
        <v>22</v>
      </c>
      <c r="E25" s="15"/>
      <c r="F25" s="15">
        <f>(E25/E3)*100</f>
        <v>0</v>
      </c>
      <c r="G25" s="47"/>
      <c r="H25" s="50"/>
      <c r="I25" s="15">
        <f>(H25*20)/1000</f>
        <v>0</v>
      </c>
      <c r="J25">
        <f t="shared" si="1"/>
        <v>0</v>
      </c>
    </row>
    <row r="26" spans="1:10" ht="30" customHeight="1" x14ac:dyDescent="0.25">
      <c r="A26" s="23" t="s">
        <v>79</v>
      </c>
      <c r="B26" s="26" t="s">
        <v>86</v>
      </c>
      <c r="C26" s="17">
        <v>44737</v>
      </c>
      <c r="D26" s="15">
        <v>23</v>
      </c>
      <c r="E26" s="15"/>
      <c r="F26" s="15">
        <f>(E26/E3)*100</f>
        <v>0</v>
      </c>
      <c r="G26" s="45"/>
      <c r="H26" s="49"/>
      <c r="I26" s="15">
        <f>(H26*20)/1000</f>
        <v>0</v>
      </c>
      <c r="J26">
        <f t="shared" si="1"/>
        <v>0</v>
      </c>
    </row>
    <row r="27" spans="1:10" ht="30" customHeight="1" x14ac:dyDescent="0.25">
      <c r="A27" s="23" t="s">
        <v>79</v>
      </c>
      <c r="B27" s="29" t="s">
        <v>86</v>
      </c>
      <c r="C27" s="17">
        <v>44738</v>
      </c>
      <c r="D27" s="15">
        <v>24</v>
      </c>
      <c r="E27" s="15"/>
      <c r="F27" s="15">
        <f>(E27/E3)*100</f>
        <v>0</v>
      </c>
      <c r="G27" s="48"/>
      <c r="H27" s="51"/>
      <c r="I27" s="15">
        <f>(H27*20)/1000</f>
        <v>0</v>
      </c>
      <c r="J27">
        <f t="shared" si="1"/>
        <v>0</v>
      </c>
    </row>
    <row r="28" spans="1:10" ht="30" customHeight="1" x14ac:dyDescent="0.25">
      <c r="B28" s="30" t="s">
        <v>86</v>
      </c>
      <c r="C28" s="17">
        <v>44739</v>
      </c>
      <c r="D28" s="15">
        <v>25</v>
      </c>
      <c r="F28" s="15">
        <f>(E28/E3)*100</f>
        <v>0</v>
      </c>
      <c r="G28" s="48"/>
      <c r="H28" s="51"/>
      <c r="I28" s="15">
        <f t="shared" si="0"/>
        <v>0</v>
      </c>
      <c r="J28">
        <f t="shared" si="1"/>
        <v>0</v>
      </c>
    </row>
    <row r="31" spans="1:10" ht="200.25" customHeight="1" x14ac:dyDescent="0.25">
      <c r="A31" t="s">
        <v>87</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751B-D400-4266-BEAB-21B2155D4840}">
  <dimension ref="A1:K31"/>
  <sheetViews>
    <sheetView topLeftCell="A11" workbookViewId="0">
      <selection activeCell="F14" sqref="F14"/>
    </sheetView>
  </sheetViews>
  <sheetFormatPr defaultRowHeight="15" x14ac:dyDescent="0.25"/>
  <cols>
    <col min="1" max="1" width="20.7109375" customWidth="1"/>
    <col min="2" max="10" width="20.5703125" customWidth="1"/>
  </cols>
  <sheetData>
    <row r="1" spans="1:11" ht="30" customHeight="1" x14ac:dyDescent="0.25">
      <c r="A1" s="13" t="s">
        <v>62</v>
      </c>
      <c r="B1" s="12"/>
      <c r="C1" s="12"/>
      <c r="D1" s="5"/>
      <c r="E1" s="12"/>
      <c r="F1" s="12"/>
      <c r="G1" s="12"/>
      <c r="H1" s="12"/>
      <c r="I1" s="12"/>
    </row>
    <row r="2" spans="1:11" ht="30" customHeight="1" x14ac:dyDescent="0.25">
      <c r="A2" s="13" t="s">
        <v>88</v>
      </c>
      <c r="B2" s="14" t="s">
        <v>64</v>
      </c>
      <c r="C2" s="14" t="s">
        <v>0</v>
      </c>
      <c r="D2" s="14" t="s">
        <v>1</v>
      </c>
      <c r="E2" s="14" t="s">
        <v>65</v>
      </c>
      <c r="F2" s="14" t="s">
        <v>66</v>
      </c>
      <c r="G2" s="14"/>
      <c r="H2" s="14" t="s">
        <v>67</v>
      </c>
      <c r="I2" s="14" t="s">
        <v>68</v>
      </c>
      <c r="K2" s="34" t="s">
        <v>69</v>
      </c>
    </row>
    <row r="3" spans="1:11" ht="30" customHeight="1" x14ac:dyDescent="0.25">
      <c r="A3" s="18" t="s">
        <v>70</v>
      </c>
      <c r="B3" s="24" t="s">
        <v>89</v>
      </c>
      <c r="C3" s="17">
        <v>44714</v>
      </c>
      <c r="D3" s="15">
        <v>0</v>
      </c>
      <c r="E3" s="15">
        <v>17.5</v>
      </c>
      <c r="F3" s="15"/>
      <c r="G3" s="15"/>
      <c r="H3" s="15"/>
      <c r="I3" s="15"/>
    </row>
    <row r="4" spans="1:11" ht="30" customHeight="1" x14ac:dyDescent="0.25">
      <c r="A4" s="19" t="s">
        <v>72</v>
      </c>
      <c r="B4" s="25" t="s">
        <v>89</v>
      </c>
      <c r="C4" s="17">
        <v>44715</v>
      </c>
      <c r="D4" s="15">
        <v>1</v>
      </c>
      <c r="E4" s="15">
        <v>17.3</v>
      </c>
      <c r="F4" s="15">
        <f>(E4/E3)*100</f>
        <v>98.857142857142861</v>
      </c>
      <c r="G4" s="15"/>
      <c r="H4" s="15">
        <v>161</v>
      </c>
      <c r="I4" s="15">
        <f>(H4*20)/1000</f>
        <v>3.22</v>
      </c>
    </row>
    <row r="5" spans="1:11" ht="30" customHeight="1" x14ac:dyDescent="0.25">
      <c r="A5" s="19" t="s">
        <v>72</v>
      </c>
      <c r="B5" s="26" t="s">
        <v>89</v>
      </c>
      <c r="C5" s="17">
        <v>44716</v>
      </c>
      <c r="D5" s="15">
        <v>2</v>
      </c>
      <c r="E5" s="15">
        <v>16.899999999999999</v>
      </c>
      <c r="F5" s="15">
        <f>(E5/E3)*100</f>
        <v>96.571428571428569</v>
      </c>
      <c r="G5" s="15"/>
      <c r="H5" s="15">
        <f>339-161</f>
        <v>178</v>
      </c>
      <c r="I5" s="15">
        <f>(H5*20)/1000</f>
        <v>3.56</v>
      </c>
    </row>
    <row r="6" spans="1:11" ht="30" customHeight="1" x14ac:dyDescent="0.25">
      <c r="A6" s="20" t="s">
        <v>73</v>
      </c>
      <c r="B6" s="25" t="s">
        <v>89</v>
      </c>
      <c r="C6" s="17">
        <v>44717</v>
      </c>
      <c r="D6" s="15">
        <v>3</v>
      </c>
      <c r="E6" s="15">
        <v>17.899999999999999</v>
      </c>
      <c r="F6" s="15">
        <f>(E6/E3)*100</f>
        <v>102.28571428571426</v>
      </c>
      <c r="G6" s="15"/>
      <c r="H6" s="15">
        <f>549-339</f>
        <v>210</v>
      </c>
      <c r="I6" s="15">
        <f t="shared" ref="I6:I28" si="0">(H6*20)/1000</f>
        <v>4.2</v>
      </c>
    </row>
    <row r="7" spans="1:11" ht="30" customHeight="1" x14ac:dyDescent="0.25">
      <c r="A7" s="21" t="s">
        <v>73</v>
      </c>
      <c r="B7" s="27" t="s">
        <v>89</v>
      </c>
      <c r="C7" s="17">
        <v>44718</v>
      </c>
      <c r="D7" s="15">
        <v>4</v>
      </c>
      <c r="E7" s="15">
        <v>16.3</v>
      </c>
      <c r="F7" s="15">
        <f>(E7/E3)*100</f>
        <v>93.142857142857153</v>
      </c>
      <c r="G7" s="15"/>
      <c r="H7" s="15">
        <v>113</v>
      </c>
      <c r="I7" s="15">
        <f t="shared" si="0"/>
        <v>2.2599999999999998</v>
      </c>
    </row>
    <row r="8" spans="1:11" ht="30" customHeight="1" x14ac:dyDescent="0.25">
      <c r="A8" s="21" t="s">
        <v>73</v>
      </c>
      <c r="B8" s="25" t="s">
        <v>89</v>
      </c>
      <c r="C8" s="17">
        <v>44719</v>
      </c>
      <c r="D8" s="15">
        <v>5</v>
      </c>
      <c r="E8" s="15">
        <v>16.7</v>
      </c>
      <c r="F8" s="15">
        <f>(E8/E3)*100</f>
        <v>95.428571428571431</v>
      </c>
      <c r="G8" s="15"/>
      <c r="H8" s="15">
        <f>271-113</f>
        <v>158</v>
      </c>
      <c r="I8" s="15">
        <f t="shared" si="0"/>
        <v>3.16</v>
      </c>
    </row>
    <row r="9" spans="1:11" ht="30" customHeight="1" x14ac:dyDescent="0.25">
      <c r="A9" s="21" t="s">
        <v>73</v>
      </c>
      <c r="B9" s="26" t="s">
        <v>89</v>
      </c>
      <c r="C9" s="17">
        <v>44720</v>
      </c>
      <c r="D9" s="15">
        <v>6</v>
      </c>
      <c r="E9" s="15">
        <v>16.7</v>
      </c>
      <c r="F9" s="15">
        <f>(E9/E3)*100</f>
        <v>95.428571428571431</v>
      </c>
      <c r="G9" s="15"/>
      <c r="H9" s="15">
        <f>478-271</f>
        <v>207</v>
      </c>
      <c r="I9" s="15">
        <f t="shared" si="0"/>
        <v>4.1399999999999997</v>
      </c>
    </row>
    <row r="10" spans="1:11" ht="30" customHeight="1" x14ac:dyDescent="0.25">
      <c r="A10" s="21" t="s">
        <v>73</v>
      </c>
      <c r="B10" s="25" t="s">
        <v>89</v>
      </c>
      <c r="C10" s="17">
        <v>44721</v>
      </c>
      <c r="D10" s="15">
        <v>7</v>
      </c>
      <c r="E10" s="15">
        <v>16.5</v>
      </c>
      <c r="F10" s="15">
        <f>(E10/E3)*100</f>
        <v>94.285714285714278</v>
      </c>
      <c r="G10" s="15"/>
      <c r="H10" s="15">
        <f>666-478</f>
        <v>188</v>
      </c>
      <c r="I10" s="15">
        <f t="shared" si="0"/>
        <v>3.76</v>
      </c>
    </row>
    <row r="11" spans="1:11" ht="30" customHeight="1" x14ac:dyDescent="0.25">
      <c r="A11" s="21" t="s">
        <v>73</v>
      </c>
      <c r="B11" s="26" t="s">
        <v>89</v>
      </c>
      <c r="C11" s="17">
        <v>44722</v>
      </c>
      <c r="D11" s="15">
        <v>8</v>
      </c>
      <c r="E11" s="15">
        <v>16.5</v>
      </c>
      <c r="F11" s="15">
        <f>(E11/E3)*100</f>
        <v>94.285714285714278</v>
      </c>
      <c r="G11" s="15"/>
      <c r="H11" s="15">
        <f>841-666</f>
        <v>175</v>
      </c>
      <c r="I11" s="15">
        <f t="shared" si="0"/>
        <v>3.5</v>
      </c>
    </row>
    <row r="12" spans="1:11" ht="30" customHeight="1" x14ac:dyDescent="0.25">
      <c r="A12" s="21" t="s">
        <v>73</v>
      </c>
      <c r="B12" s="25" t="s">
        <v>89</v>
      </c>
      <c r="C12" s="17">
        <v>44723</v>
      </c>
      <c r="D12" s="15">
        <v>9</v>
      </c>
      <c r="E12" s="15">
        <v>16.899999999999999</v>
      </c>
      <c r="F12" s="15">
        <f>(E12/E3)*100</f>
        <v>96.571428571428569</v>
      </c>
      <c r="G12" s="15"/>
      <c r="H12" s="15">
        <f>1058-841</f>
        <v>217</v>
      </c>
      <c r="I12" s="15">
        <f t="shared" si="0"/>
        <v>4.34</v>
      </c>
    </row>
    <row r="13" spans="1:11" ht="30" customHeight="1" x14ac:dyDescent="0.25">
      <c r="A13" s="22" t="s">
        <v>74</v>
      </c>
      <c r="B13" s="26" t="s">
        <v>89</v>
      </c>
      <c r="C13" s="17">
        <v>44724</v>
      </c>
      <c r="D13" s="15">
        <v>10</v>
      </c>
      <c r="E13" s="15">
        <v>17.3</v>
      </c>
      <c r="F13" s="15">
        <f>(E13/E3)*100</f>
        <v>98.857142857142861</v>
      </c>
      <c r="G13" s="15"/>
      <c r="H13" s="15">
        <f>1275-1058</f>
        <v>217</v>
      </c>
      <c r="I13" s="15">
        <f t="shared" si="0"/>
        <v>4.34</v>
      </c>
    </row>
    <row r="14" spans="1:11" ht="30" customHeight="1" x14ac:dyDescent="0.25">
      <c r="A14" s="22" t="s">
        <v>74</v>
      </c>
      <c r="B14" s="25" t="s">
        <v>89</v>
      </c>
      <c r="C14" s="17">
        <v>44725</v>
      </c>
      <c r="D14" s="15">
        <v>11</v>
      </c>
      <c r="E14" s="15">
        <v>17.600000000000001</v>
      </c>
      <c r="F14" s="15">
        <f>(E14/E3)*100</f>
        <v>100.57142857142858</v>
      </c>
      <c r="G14" s="15"/>
      <c r="H14" s="54">
        <v>250</v>
      </c>
      <c r="I14" s="15">
        <f t="shared" si="0"/>
        <v>5</v>
      </c>
      <c r="K14">
        <v>6</v>
      </c>
    </row>
    <row r="15" spans="1:11" ht="30" customHeight="1" x14ac:dyDescent="0.25">
      <c r="A15" s="22" t="s">
        <v>74</v>
      </c>
      <c r="B15" s="26" t="s">
        <v>89</v>
      </c>
      <c r="C15" s="17">
        <v>44726</v>
      </c>
      <c r="D15" s="15">
        <v>12</v>
      </c>
      <c r="E15" s="15">
        <v>17.7</v>
      </c>
      <c r="F15" s="15">
        <f>(E15/E3)*100</f>
        <v>101.14285714285714</v>
      </c>
      <c r="G15" s="15"/>
      <c r="H15" s="15">
        <f>496-256</f>
        <v>240</v>
      </c>
      <c r="I15" s="15">
        <f t="shared" si="0"/>
        <v>4.8</v>
      </c>
    </row>
    <row r="16" spans="1:11" ht="30" customHeight="1" x14ac:dyDescent="0.25">
      <c r="A16" s="22" t="s">
        <v>74</v>
      </c>
      <c r="B16" s="25" t="s">
        <v>89</v>
      </c>
      <c r="C16" s="17">
        <v>44727</v>
      </c>
      <c r="D16" s="15">
        <v>13</v>
      </c>
      <c r="E16" s="15">
        <v>18.100000000000001</v>
      </c>
      <c r="F16" s="15">
        <f>(E16/E3)*100</f>
        <v>103.42857142857144</v>
      </c>
      <c r="G16" s="15"/>
      <c r="H16" s="15">
        <f>720-496</f>
        <v>224</v>
      </c>
      <c r="I16" s="15">
        <f t="shared" si="0"/>
        <v>4.4800000000000004</v>
      </c>
    </row>
    <row r="17" spans="1:11" ht="30" customHeight="1" x14ac:dyDescent="0.25">
      <c r="A17" s="22" t="s">
        <v>74</v>
      </c>
      <c r="B17" s="26" t="s">
        <v>89</v>
      </c>
      <c r="C17" s="17">
        <v>44728</v>
      </c>
      <c r="D17" s="15">
        <v>14</v>
      </c>
      <c r="E17" s="15">
        <v>18.100000000000001</v>
      </c>
      <c r="F17" s="15">
        <f>(E17/E3)*100</f>
        <v>103.42857142857144</v>
      </c>
      <c r="G17" s="15"/>
      <c r="H17" s="15">
        <f>887-702</f>
        <v>185</v>
      </c>
      <c r="I17" s="15">
        <f t="shared" si="0"/>
        <v>3.7</v>
      </c>
    </row>
    <row r="18" spans="1:11" ht="30" customHeight="1" x14ac:dyDescent="0.25">
      <c r="A18" s="22" t="s">
        <v>74</v>
      </c>
      <c r="B18" s="25" t="s">
        <v>89</v>
      </c>
      <c r="C18" s="17">
        <v>44729</v>
      </c>
      <c r="D18" s="15">
        <v>15</v>
      </c>
      <c r="E18" s="15">
        <v>17.8</v>
      </c>
      <c r="F18" s="15">
        <f>(E18/E3)*100</f>
        <v>101.71428571428571</v>
      </c>
      <c r="G18" s="15"/>
      <c r="H18" s="15">
        <f>1051-887</f>
        <v>164</v>
      </c>
      <c r="I18" s="15">
        <f t="shared" si="0"/>
        <v>3.28</v>
      </c>
    </row>
    <row r="19" spans="1:11" ht="30" customHeight="1" x14ac:dyDescent="0.25">
      <c r="A19" s="22" t="s">
        <v>74</v>
      </c>
      <c r="B19" s="26" t="s">
        <v>89</v>
      </c>
      <c r="C19" s="17">
        <v>44730</v>
      </c>
      <c r="D19" s="15">
        <v>16</v>
      </c>
      <c r="E19" s="15">
        <v>18</v>
      </c>
      <c r="F19" s="15">
        <f>(E19/E3)*100</f>
        <v>102.85714285714285</v>
      </c>
      <c r="G19" s="15"/>
      <c r="H19" s="54">
        <v>209</v>
      </c>
      <c r="I19" s="15">
        <f t="shared" si="0"/>
        <v>4.18</v>
      </c>
      <c r="K19">
        <v>1</v>
      </c>
    </row>
    <row r="20" spans="1:11" ht="30" customHeight="1" x14ac:dyDescent="0.25">
      <c r="A20" s="22" t="s">
        <v>75</v>
      </c>
      <c r="B20" s="25" t="s">
        <v>89</v>
      </c>
      <c r="C20" s="17">
        <v>44731</v>
      </c>
      <c r="D20" s="15">
        <v>17</v>
      </c>
      <c r="E20" s="15">
        <v>18</v>
      </c>
      <c r="F20" s="15">
        <f>(E20/E3)*100</f>
        <v>102.85714285714285</v>
      </c>
      <c r="G20" s="15"/>
      <c r="H20" s="15">
        <f>1441-1261</f>
        <v>180</v>
      </c>
      <c r="I20" s="15">
        <f t="shared" si="0"/>
        <v>3.6</v>
      </c>
    </row>
    <row r="21" spans="1:11" ht="30" customHeight="1" x14ac:dyDescent="0.25">
      <c r="A21" s="22" t="s">
        <v>76</v>
      </c>
      <c r="B21" s="26" t="s">
        <v>89</v>
      </c>
      <c r="C21" s="17">
        <v>44732</v>
      </c>
      <c r="D21" s="15">
        <v>18</v>
      </c>
      <c r="E21" s="15"/>
      <c r="F21" s="15">
        <f>(E21/E3)*100</f>
        <v>0</v>
      </c>
      <c r="G21" s="15"/>
      <c r="H21" s="15"/>
      <c r="I21" s="15">
        <f t="shared" si="0"/>
        <v>0</v>
      </c>
    </row>
    <row r="22" spans="1:11" ht="30" customHeight="1" x14ac:dyDescent="0.25">
      <c r="A22" s="22" t="s">
        <v>77</v>
      </c>
      <c r="B22" s="28" t="s">
        <v>78</v>
      </c>
      <c r="C22" s="17">
        <v>44733</v>
      </c>
      <c r="D22" s="15">
        <v>19</v>
      </c>
      <c r="E22" s="15"/>
      <c r="F22" s="15">
        <f>(E22/E3)*100</f>
        <v>0</v>
      </c>
      <c r="G22" s="15"/>
      <c r="H22" s="15"/>
      <c r="I22" s="15">
        <f t="shared" si="0"/>
        <v>0</v>
      </c>
    </row>
    <row r="23" spans="1:11" ht="30" customHeight="1" x14ac:dyDescent="0.25">
      <c r="A23" s="22" t="s">
        <v>77</v>
      </c>
      <c r="B23" s="28" t="s">
        <v>78</v>
      </c>
      <c r="C23" s="17">
        <v>44734</v>
      </c>
      <c r="D23" s="15">
        <v>20</v>
      </c>
      <c r="E23" s="15"/>
      <c r="F23" s="15">
        <f>(E23/E3)*100</f>
        <v>0</v>
      </c>
      <c r="G23" s="45"/>
      <c r="H23" s="50"/>
      <c r="I23" s="15">
        <f>(H23*20)/1000</f>
        <v>0</v>
      </c>
      <c r="J23">
        <f t="shared" ref="J23:J28" si="1">(G23*20)/1000</f>
        <v>0</v>
      </c>
    </row>
    <row r="24" spans="1:11" ht="30" customHeight="1" x14ac:dyDescent="0.25">
      <c r="A24" s="22" t="s">
        <v>77</v>
      </c>
      <c r="B24" s="28" t="s">
        <v>78</v>
      </c>
      <c r="C24" s="17">
        <v>44735</v>
      </c>
      <c r="D24" s="15">
        <v>21</v>
      </c>
      <c r="E24" s="15"/>
      <c r="F24" s="15">
        <f>(E24/E3)*100</f>
        <v>0</v>
      </c>
      <c r="G24" s="46"/>
      <c r="H24" s="50"/>
      <c r="I24" s="15">
        <f>(H24*20)/1000</f>
        <v>0</v>
      </c>
      <c r="J24">
        <f t="shared" si="1"/>
        <v>0</v>
      </c>
    </row>
    <row r="25" spans="1:11" ht="30" customHeight="1" x14ac:dyDescent="0.25">
      <c r="A25" s="23" t="s">
        <v>79</v>
      </c>
      <c r="B25" s="25" t="s">
        <v>90</v>
      </c>
      <c r="C25" s="17">
        <v>44736</v>
      </c>
      <c r="D25" s="15">
        <v>22</v>
      </c>
      <c r="E25" s="15"/>
      <c r="F25" s="15">
        <f>(E25/E3)*100</f>
        <v>0</v>
      </c>
      <c r="G25" s="47"/>
      <c r="H25" s="50"/>
      <c r="I25" s="15">
        <f>(H25*20)/1000</f>
        <v>0</v>
      </c>
      <c r="J25">
        <f t="shared" si="1"/>
        <v>0</v>
      </c>
    </row>
    <row r="26" spans="1:11" ht="30" customHeight="1" x14ac:dyDescent="0.25">
      <c r="A26" s="23" t="s">
        <v>79</v>
      </c>
      <c r="B26" s="26" t="s">
        <v>90</v>
      </c>
      <c r="C26" s="17">
        <v>44737</v>
      </c>
      <c r="D26" s="15">
        <v>23</v>
      </c>
      <c r="E26" s="15"/>
      <c r="F26" s="15">
        <f>(E26/E3)*100</f>
        <v>0</v>
      </c>
      <c r="G26" s="45"/>
      <c r="H26" s="49"/>
      <c r="I26" s="15">
        <f>(H26*20)/1000</f>
        <v>0</v>
      </c>
      <c r="J26">
        <f t="shared" si="1"/>
        <v>0</v>
      </c>
    </row>
    <row r="27" spans="1:11" ht="30" customHeight="1" x14ac:dyDescent="0.25">
      <c r="A27" s="23" t="s">
        <v>79</v>
      </c>
      <c r="B27" s="29" t="s">
        <v>90</v>
      </c>
      <c r="C27" s="17">
        <v>44738</v>
      </c>
      <c r="D27" s="15">
        <v>24</v>
      </c>
      <c r="E27" s="15"/>
      <c r="F27" s="15">
        <f>(E27/E3)*100</f>
        <v>0</v>
      </c>
      <c r="G27" s="48"/>
      <c r="H27" s="51"/>
      <c r="I27" s="15">
        <f>(H27*20)/1000</f>
        <v>0</v>
      </c>
      <c r="J27">
        <f t="shared" si="1"/>
        <v>0</v>
      </c>
    </row>
    <row r="28" spans="1:11" ht="30" customHeight="1" x14ac:dyDescent="0.25">
      <c r="B28" s="30" t="s">
        <v>90</v>
      </c>
      <c r="C28" s="17">
        <v>44739</v>
      </c>
      <c r="D28" s="15">
        <v>25</v>
      </c>
      <c r="F28" s="15">
        <f>(E28/E3)*100</f>
        <v>0</v>
      </c>
      <c r="G28" s="48"/>
      <c r="H28" s="51"/>
      <c r="I28" s="15">
        <f t="shared" si="0"/>
        <v>0</v>
      </c>
      <c r="J28">
        <f t="shared" si="1"/>
        <v>0</v>
      </c>
    </row>
    <row r="31" spans="1:11" ht="200.25" customHeight="1" x14ac:dyDescent="0.25">
      <c r="A31" t="s">
        <v>91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30B4-A101-4FCC-B5EA-B76092324D2B}">
  <dimension ref="A1:K34"/>
  <sheetViews>
    <sheetView topLeftCell="A13" workbookViewId="0">
      <selection activeCell="H21" sqref="H21"/>
    </sheetView>
  </sheetViews>
  <sheetFormatPr defaultRowHeight="15" x14ac:dyDescent="0.25"/>
  <cols>
    <col min="1" max="2" width="20.5703125" customWidth="1"/>
    <col min="3" max="3" width="30.7109375" customWidth="1"/>
    <col min="4" max="9" width="20.5703125" customWidth="1"/>
  </cols>
  <sheetData>
    <row r="1" spans="1:11" ht="30" customHeight="1" x14ac:dyDescent="0.25">
      <c r="A1" s="13" t="s">
        <v>62</v>
      </c>
      <c r="B1" s="12"/>
      <c r="C1" s="12"/>
      <c r="D1" s="5"/>
      <c r="E1" s="12"/>
      <c r="F1" s="12"/>
      <c r="G1" s="12"/>
      <c r="H1" s="12"/>
      <c r="I1" s="12"/>
    </row>
    <row r="2" spans="1:11" ht="30" customHeight="1" x14ac:dyDescent="0.25">
      <c r="A2" s="13" t="s">
        <v>92</v>
      </c>
      <c r="B2" s="14" t="s">
        <v>64</v>
      </c>
      <c r="C2" s="14" t="s">
        <v>0</v>
      </c>
      <c r="D2" s="14" t="s">
        <v>1</v>
      </c>
      <c r="E2" s="14" t="s">
        <v>65</v>
      </c>
      <c r="F2" s="14" t="s">
        <v>66</v>
      </c>
      <c r="G2" s="14"/>
      <c r="H2" s="14" t="s">
        <v>67</v>
      </c>
      <c r="I2" s="14" t="s">
        <v>68</v>
      </c>
      <c r="K2" s="34" t="s">
        <v>69</v>
      </c>
    </row>
    <row r="3" spans="1:11" ht="30" customHeight="1" x14ac:dyDescent="0.25">
      <c r="A3" s="18" t="s">
        <v>70</v>
      </c>
      <c r="B3" s="24" t="s">
        <v>93</v>
      </c>
      <c r="C3" s="17">
        <v>44714</v>
      </c>
      <c r="D3" s="15">
        <v>0</v>
      </c>
      <c r="E3" s="15">
        <v>21.6</v>
      </c>
      <c r="F3" s="15"/>
      <c r="G3" s="15"/>
      <c r="H3" s="15"/>
      <c r="I3" s="15"/>
    </row>
    <row r="4" spans="1:11" ht="30" customHeight="1" x14ac:dyDescent="0.25">
      <c r="A4" s="19" t="s">
        <v>72</v>
      </c>
      <c r="B4" s="25" t="s">
        <v>93</v>
      </c>
      <c r="C4" s="17">
        <v>44715</v>
      </c>
      <c r="D4" s="15">
        <v>1</v>
      </c>
      <c r="E4" s="15">
        <v>22.1</v>
      </c>
      <c r="F4" s="15">
        <f>(E4/E3)*100</f>
        <v>102.31481481481481</v>
      </c>
      <c r="G4" s="15"/>
      <c r="H4" s="15">
        <v>305</v>
      </c>
      <c r="I4" s="15">
        <f>(H4*20)/1000</f>
        <v>6.1</v>
      </c>
    </row>
    <row r="5" spans="1:11" ht="30" customHeight="1" x14ac:dyDescent="0.25">
      <c r="A5" s="19" t="s">
        <v>72</v>
      </c>
      <c r="B5" s="26" t="s">
        <v>93</v>
      </c>
      <c r="C5" s="17">
        <v>44716</v>
      </c>
      <c r="D5" s="15">
        <v>2</v>
      </c>
      <c r="E5" s="15">
        <v>21.9</v>
      </c>
      <c r="F5" s="15">
        <f>(E5/E3)*100</f>
        <v>101.38888888888889</v>
      </c>
      <c r="G5" s="15"/>
      <c r="H5" s="15">
        <f>518-305</f>
        <v>213</v>
      </c>
      <c r="I5" s="15">
        <f>(H5*20)/1000</f>
        <v>4.26</v>
      </c>
    </row>
    <row r="6" spans="1:11" ht="30" customHeight="1" x14ac:dyDescent="0.25">
      <c r="A6" s="20" t="s">
        <v>73</v>
      </c>
      <c r="B6" s="25" t="s">
        <v>93</v>
      </c>
      <c r="C6" s="17">
        <v>44717</v>
      </c>
      <c r="D6" s="15">
        <v>3</v>
      </c>
      <c r="E6" s="15">
        <v>21.4</v>
      </c>
      <c r="F6" s="15">
        <f>(E6/E3)*100</f>
        <v>99.074074074074062</v>
      </c>
      <c r="G6" s="15"/>
      <c r="H6" s="15">
        <f>694-518</f>
        <v>176</v>
      </c>
      <c r="I6" s="15">
        <f t="shared" ref="I6:I28" si="0">(H6*20)/1000</f>
        <v>3.52</v>
      </c>
    </row>
    <row r="7" spans="1:11" ht="30" customHeight="1" x14ac:dyDescent="0.25">
      <c r="A7" s="21" t="s">
        <v>73</v>
      </c>
      <c r="B7" s="27" t="s">
        <v>93</v>
      </c>
      <c r="C7" s="17">
        <v>44718</v>
      </c>
      <c r="D7" s="15">
        <v>4</v>
      </c>
      <c r="E7" s="15">
        <v>20.8</v>
      </c>
      <c r="F7" s="15">
        <f>(E7/E3)*100</f>
        <v>96.296296296296291</v>
      </c>
      <c r="G7" s="15"/>
      <c r="H7" s="15">
        <v>165</v>
      </c>
      <c r="I7" s="15">
        <f t="shared" si="0"/>
        <v>3.3</v>
      </c>
    </row>
    <row r="8" spans="1:11" ht="30" customHeight="1" x14ac:dyDescent="0.25">
      <c r="A8" s="21" t="s">
        <v>73</v>
      </c>
      <c r="B8" s="25" t="s">
        <v>93</v>
      </c>
      <c r="C8" s="17">
        <v>44719</v>
      </c>
      <c r="D8" s="15">
        <v>5</v>
      </c>
      <c r="E8" s="15">
        <v>20.8</v>
      </c>
      <c r="F8" s="15">
        <f>(E8/E3)*100</f>
        <v>96.296296296296291</v>
      </c>
      <c r="G8" s="15"/>
      <c r="H8" s="15">
        <f>320-165</f>
        <v>155</v>
      </c>
      <c r="I8" s="15">
        <f t="shared" si="0"/>
        <v>3.1</v>
      </c>
    </row>
    <row r="9" spans="1:11" ht="30" customHeight="1" x14ac:dyDescent="0.25">
      <c r="A9" s="21" t="s">
        <v>73</v>
      </c>
      <c r="B9" s="26" t="s">
        <v>93</v>
      </c>
      <c r="C9" s="17">
        <v>44720</v>
      </c>
      <c r="D9" s="15">
        <v>6</v>
      </c>
      <c r="E9" s="15">
        <v>21.4</v>
      </c>
      <c r="F9" s="15">
        <f>(E9/E3)*100</f>
        <v>99.074074074074062</v>
      </c>
      <c r="G9" s="15"/>
      <c r="H9" s="15">
        <f>528-320</f>
        <v>208</v>
      </c>
      <c r="I9" s="15">
        <f t="shared" si="0"/>
        <v>4.16</v>
      </c>
    </row>
    <row r="10" spans="1:11" ht="30" customHeight="1" x14ac:dyDescent="0.25">
      <c r="A10" s="21" t="s">
        <v>73</v>
      </c>
      <c r="B10" s="25" t="s">
        <v>93</v>
      </c>
      <c r="C10" s="17">
        <v>44721</v>
      </c>
      <c r="D10" s="15">
        <v>7</v>
      </c>
      <c r="E10" s="15">
        <v>21.1</v>
      </c>
      <c r="F10" s="15">
        <f>(E10/E3)*100</f>
        <v>97.68518518518519</v>
      </c>
      <c r="G10" s="15"/>
      <c r="H10" s="15">
        <f>726-528</f>
        <v>198</v>
      </c>
      <c r="I10" s="15">
        <f t="shared" si="0"/>
        <v>3.96</v>
      </c>
    </row>
    <row r="11" spans="1:11" ht="30" customHeight="1" x14ac:dyDescent="0.25">
      <c r="A11" s="21" t="s">
        <v>73</v>
      </c>
      <c r="B11" s="26" t="s">
        <v>93</v>
      </c>
      <c r="C11" s="17">
        <v>44722</v>
      </c>
      <c r="D11" s="15">
        <v>8</v>
      </c>
      <c r="E11" s="15">
        <v>21.1</v>
      </c>
      <c r="F11" s="15">
        <f>(E11/E3)*100</f>
        <v>97.68518518518519</v>
      </c>
      <c r="G11" s="15"/>
      <c r="H11" s="15">
        <f>940-726</f>
        <v>214</v>
      </c>
      <c r="I11" s="15">
        <f t="shared" si="0"/>
        <v>4.28</v>
      </c>
    </row>
    <row r="12" spans="1:11" ht="30" customHeight="1" x14ac:dyDescent="0.25">
      <c r="A12" s="21" t="s">
        <v>73</v>
      </c>
      <c r="B12" s="25" t="s">
        <v>93</v>
      </c>
      <c r="C12" s="17">
        <v>44723</v>
      </c>
      <c r="D12" s="15">
        <v>9</v>
      </c>
      <c r="E12" s="15">
        <v>22.1</v>
      </c>
      <c r="F12" s="15">
        <f>(E12/E3)*100</f>
        <v>102.31481481481481</v>
      </c>
      <c r="G12" s="15"/>
      <c r="H12" s="15">
        <f>1190-940</f>
        <v>250</v>
      </c>
      <c r="I12" s="15">
        <f t="shared" si="0"/>
        <v>5</v>
      </c>
    </row>
    <row r="13" spans="1:11" ht="30" customHeight="1" x14ac:dyDescent="0.25">
      <c r="A13" s="22" t="s">
        <v>74</v>
      </c>
      <c r="B13" s="26" t="s">
        <v>93</v>
      </c>
      <c r="C13" s="17">
        <v>44724</v>
      </c>
      <c r="D13" s="15">
        <v>10</v>
      </c>
      <c r="E13" s="15">
        <v>22.1</v>
      </c>
      <c r="F13" s="15">
        <f>(E13/E3)*100</f>
        <v>102.31481481481481</v>
      </c>
      <c r="G13" s="15"/>
      <c r="H13" s="15">
        <f>1403-1190</f>
        <v>213</v>
      </c>
      <c r="I13" s="15">
        <f t="shared" si="0"/>
        <v>4.26</v>
      </c>
    </row>
    <row r="14" spans="1:11" ht="30" customHeight="1" x14ac:dyDescent="0.25">
      <c r="A14" s="22" t="s">
        <v>74</v>
      </c>
      <c r="B14" s="25" t="s">
        <v>93</v>
      </c>
      <c r="C14" s="17">
        <v>44725</v>
      </c>
      <c r="D14" s="15">
        <v>11</v>
      </c>
      <c r="E14" s="15">
        <v>22.6</v>
      </c>
      <c r="F14" s="15">
        <f>(E14/E3)*100</f>
        <v>104.62962962962963</v>
      </c>
      <c r="G14" s="15"/>
      <c r="H14" s="15">
        <v>244</v>
      </c>
      <c r="I14" s="15">
        <f t="shared" si="0"/>
        <v>4.88</v>
      </c>
    </row>
    <row r="15" spans="1:11" ht="30" customHeight="1" x14ac:dyDescent="0.25">
      <c r="A15" s="22" t="s">
        <v>74</v>
      </c>
      <c r="B15" s="26" t="s">
        <v>93</v>
      </c>
      <c r="C15" s="17">
        <v>44726</v>
      </c>
      <c r="D15" s="15">
        <v>12</v>
      </c>
      <c r="E15" s="15">
        <v>22.7</v>
      </c>
      <c r="F15" s="15">
        <f>(E15/E3)*100</f>
        <v>105.09259259259258</v>
      </c>
      <c r="G15" s="15"/>
      <c r="H15" s="15">
        <f>471-244</f>
        <v>227</v>
      </c>
      <c r="I15" s="15">
        <f t="shared" si="0"/>
        <v>4.54</v>
      </c>
    </row>
    <row r="16" spans="1:11" ht="30" customHeight="1" x14ac:dyDescent="0.25">
      <c r="A16" s="22" t="s">
        <v>74</v>
      </c>
      <c r="B16" s="25" t="s">
        <v>93</v>
      </c>
      <c r="C16" s="17">
        <v>44727</v>
      </c>
      <c r="D16" s="15">
        <v>13</v>
      </c>
      <c r="E16" s="15">
        <v>22.6</v>
      </c>
      <c r="F16" s="15">
        <f>(E16/E3)*100</f>
        <v>104.62962962962963</v>
      </c>
      <c r="G16" s="15"/>
      <c r="H16" s="15">
        <f>679-471</f>
        <v>208</v>
      </c>
      <c r="I16" s="15">
        <f t="shared" si="0"/>
        <v>4.16</v>
      </c>
    </row>
    <row r="17" spans="1:10" ht="30" customHeight="1" x14ac:dyDescent="0.25">
      <c r="A17" s="22" t="s">
        <v>74</v>
      </c>
      <c r="B17" s="26" t="s">
        <v>93</v>
      </c>
      <c r="C17" s="17">
        <v>44728</v>
      </c>
      <c r="D17" s="15">
        <v>14</v>
      </c>
      <c r="E17" s="15">
        <v>22.7</v>
      </c>
      <c r="F17" s="15">
        <f>(E17/E3)*100</f>
        <v>105.09259259259258</v>
      </c>
      <c r="G17" s="15"/>
      <c r="H17" s="15">
        <f>859- 679</f>
        <v>180</v>
      </c>
      <c r="I17" s="15">
        <f t="shared" si="0"/>
        <v>3.6</v>
      </c>
    </row>
    <row r="18" spans="1:10" ht="30" customHeight="1" x14ac:dyDescent="0.25">
      <c r="A18" s="22" t="s">
        <v>74</v>
      </c>
      <c r="B18" s="25" t="s">
        <v>93</v>
      </c>
      <c r="C18" s="17">
        <v>44729</v>
      </c>
      <c r="D18" s="15">
        <v>15</v>
      </c>
      <c r="E18" s="15">
        <v>22.2</v>
      </c>
      <c r="F18" s="15">
        <f>(E18/E3)*100</f>
        <v>102.77777777777777</v>
      </c>
      <c r="G18" s="15"/>
      <c r="H18" s="15">
        <f>1017-859</f>
        <v>158</v>
      </c>
      <c r="I18" s="15">
        <f t="shared" si="0"/>
        <v>3.16</v>
      </c>
    </row>
    <row r="19" spans="1:10" ht="30" customHeight="1" x14ac:dyDescent="0.25">
      <c r="A19" s="22" t="s">
        <v>74</v>
      </c>
      <c r="B19" s="26" t="s">
        <v>93</v>
      </c>
      <c r="C19" s="17">
        <v>44730</v>
      </c>
      <c r="D19" s="15">
        <v>16</v>
      </c>
      <c r="E19" s="35">
        <v>23.1</v>
      </c>
      <c r="F19" s="15">
        <f>(E19/E3)*100</f>
        <v>106.94444444444444</v>
      </c>
      <c r="G19" s="15"/>
      <c r="H19" s="15">
        <f>1249- 1017</f>
        <v>232</v>
      </c>
      <c r="I19" s="15">
        <f t="shared" si="0"/>
        <v>4.6399999999999997</v>
      </c>
    </row>
    <row r="20" spans="1:10" ht="30" customHeight="1" x14ac:dyDescent="0.25">
      <c r="A20" s="22" t="s">
        <v>75</v>
      </c>
      <c r="B20" s="25" t="s">
        <v>93</v>
      </c>
      <c r="C20" s="17">
        <v>44731</v>
      </c>
      <c r="D20" s="15">
        <v>17</v>
      </c>
      <c r="E20" s="15">
        <v>23</v>
      </c>
      <c r="F20" s="15">
        <f>(E20/E3)*100</f>
        <v>106.48148148148147</v>
      </c>
      <c r="G20" s="15"/>
      <c r="H20" s="15">
        <f>1466-1249</f>
        <v>217</v>
      </c>
      <c r="I20" s="15">
        <f t="shared" si="0"/>
        <v>4.34</v>
      </c>
    </row>
    <row r="21" spans="1:10" ht="30" customHeight="1" x14ac:dyDescent="0.25">
      <c r="A21" s="22" t="s">
        <v>76</v>
      </c>
      <c r="B21" s="26" t="s">
        <v>93</v>
      </c>
      <c r="C21" s="17">
        <v>44732</v>
      </c>
      <c r="D21" s="15">
        <v>18</v>
      </c>
      <c r="E21" s="15"/>
      <c r="F21" s="15">
        <f>(E21/E3)*100</f>
        <v>0</v>
      </c>
      <c r="G21" s="15"/>
      <c r="H21" s="15"/>
      <c r="I21" s="15">
        <f t="shared" si="0"/>
        <v>0</v>
      </c>
    </row>
    <row r="22" spans="1:10" ht="30" customHeight="1" x14ac:dyDescent="0.25">
      <c r="A22" s="22" t="s">
        <v>77</v>
      </c>
      <c r="B22" s="28" t="s">
        <v>78</v>
      </c>
      <c r="C22" s="17">
        <v>44733</v>
      </c>
      <c r="D22" s="15">
        <v>19</v>
      </c>
      <c r="E22" s="15"/>
      <c r="F22" s="15">
        <f>(E22/E3)*100</f>
        <v>0</v>
      </c>
      <c r="G22" s="15"/>
      <c r="H22" s="15"/>
      <c r="I22" s="15">
        <f t="shared" si="0"/>
        <v>0</v>
      </c>
    </row>
    <row r="23" spans="1:10" ht="30" customHeight="1" x14ac:dyDescent="0.25">
      <c r="A23" s="22" t="s">
        <v>77</v>
      </c>
      <c r="B23" s="28" t="s">
        <v>78</v>
      </c>
      <c r="C23" s="17">
        <v>44734</v>
      </c>
      <c r="D23" s="15">
        <v>20</v>
      </c>
      <c r="E23" s="15"/>
      <c r="F23" s="15">
        <f>(E23/E3)*100</f>
        <v>0</v>
      </c>
      <c r="G23" s="45"/>
      <c r="H23" s="50"/>
      <c r="I23" s="15">
        <f>(H23*20)/1000</f>
        <v>0</v>
      </c>
      <c r="J23">
        <f t="shared" ref="J23:J28" si="1">(G23*20)/1000</f>
        <v>0</v>
      </c>
    </row>
    <row r="24" spans="1:10" ht="30" customHeight="1" x14ac:dyDescent="0.25">
      <c r="A24" s="22" t="s">
        <v>77</v>
      </c>
      <c r="B24" s="28" t="s">
        <v>78</v>
      </c>
      <c r="C24" s="17">
        <v>44735</v>
      </c>
      <c r="D24" s="15">
        <v>21</v>
      </c>
      <c r="E24" s="15"/>
      <c r="F24" s="15">
        <f>(E24/E3)*100</f>
        <v>0</v>
      </c>
      <c r="G24" s="46"/>
      <c r="H24" s="50"/>
      <c r="I24" s="15">
        <f>(H24*20)/1000</f>
        <v>0</v>
      </c>
      <c r="J24">
        <f t="shared" si="1"/>
        <v>0</v>
      </c>
    </row>
    <row r="25" spans="1:10" ht="30" customHeight="1" x14ac:dyDescent="0.25">
      <c r="A25" s="23" t="s">
        <v>79</v>
      </c>
      <c r="B25" s="25" t="s">
        <v>94</v>
      </c>
      <c r="C25" s="17">
        <v>44736</v>
      </c>
      <c r="D25" s="15">
        <v>22</v>
      </c>
      <c r="E25" s="15"/>
      <c r="F25" s="15">
        <f>(E25/E3)*100</f>
        <v>0</v>
      </c>
      <c r="G25" s="47"/>
      <c r="H25" s="50"/>
      <c r="I25" s="15">
        <f>(H25*20)/1000</f>
        <v>0</v>
      </c>
      <c r="J25">
        <f t="shared" si="1"/>
        <v>0</v>
      </c>
    </row>
    <row r="26" spans="1:10" ht="30" customHeight="1" x14ac:dyDescent="0.25">
      <c r="A26" s="23" t="s">
        <v>79</v>
      </c>
      <c r="B26" s="26" t="s">
        <v>94</v>
      </c>
      <c r="C26" s="17">
        <v>44737</v>
      </c>
      <c r="D26" s="15">
        <v>23</v>
      </c>
      <c r="E26" s="15"/>
      <c r="F26" s="15">
        <f>(E26/E3)*100</f>
        <v>0</v>
      </c>
      <c r="G26" s="45"/>
      <c r="H26" s="49"/>
      <c r="I26" s="15">
        <f>(H26*20)/1000</f>
        <v>0</v>
      </c>
      <c r="J26">
        <f t="shared" si="1"/>
        <v>0</v>
      </c>
    </row>
    <row r="27" spans="1:10" ht="30" customHeight="1" x14ac:dyDescent="0.25">
      <c r="A27" s="23" t="s">
        <v>79</v>
      </c>
      <c r="B27" s="29" t="s">
        <v>94</v>
      </c>
      <c r="C27" s="17">
        <v>44738</v>
      </c>
      <c r="D27" s="15">
        <v>24</v>
      </c>
      <c r="E27" s="15"/>
      <c r="F27" s="15">
        <f>(E27/E3)*100</f>
        <v>0</v>
      </c>
      <c r="G27" s="48"/>
      <c r="H27" s="51"/>
      <c r="I27" s="15">
        <f>(H27*20)/1000</f>
        <v>0</v>
      </c>
      <c r="J27">
        <f t="shared" si="1"/>
        <v>0</v>
      </c>
    </row>
    <row r="28" spans="1:10" ht="30" customHeight="1" x14ac:dyDescent="0.25">
      <c r="B28" s="30" t="s">
        <v>94</v>
      </c>
      <c r="C28" s="17">
        <v>44739</v>
      </c>
      <c r="D28" s="15">
        <v>25</v>
      </c>
      <c r="F28" s="15">
        <f>(E28/E3)*100</f>
        <v>0</v>
      </c>
      <c r="G28" s="48"/>
      <c r="H28" s="51"/>
      <c r="I28" s="15">
        <f t="shared" si="0"/>
        <v>0</v>
      </c>
      <c r="J28">
        <f t="shared" si="1"/>
        <v>0</v>
      </c>
    </row>
    <row r="34" spans="3:3" ht="200.25" customHeight="1" x14ac:dyDescent="0.25">
      <c r="C34" t="s">
        <v>95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4624-EF75-4A6E-9288-E8BC8BD5C5AD}">
  <dimension ref="A1:K31"/>
  <sheetViews>
    <sheetView topLeftCell="A8" workbookViewId="0">
      <selection activeCell="F18" sqref="F18"/>
    </sheetView>
  </sheetViews>
  <sheetFormatPr defaultRowHeight="15" x14ac:dyDescent="0.25"/>
  <cols>
    <col min="1" max="1" width="30.7109375" customWidth="1"/>
    <col min="2" max="10" width="20.5703125" customWidth="1"/>
  </cols>
  <sheetData>
    <row r="1" spans="1:11" ht="30" customHeight="1" x14ac:dyDescent="0.25">
      <c r="A1" s="13" t="s">
        <v>62</v>
      </c>
      <c r="B1" s="12"/>
      <c r="C1" s="12"/>
      <c r="D1" s="5"/>
      <c r="E1" s="12"/>
      <c r="F1" s="12"/>
      <c r="G1" s="12"/>
      <c r="H1" s="12"/>
      <c r="I1" s="12"/>
    </row>
    <row r="2" spans="1:11" ht="30" customHeight="1" x14ac:dyDescent="0.25">
      <c r="A2" s="13" t="s">
        <v>96</v>
      </c>
      <c r="B2" s="14" t="s">
        <v>64</v>
      </c>
      <c r="C2" s="14" t="s">
        <v>0</v>
      </c>
      <c r="D2" s="14" t="s">
        <v>1</v>
      </c>
      <c r="E2" s="14" t="s">
        <v>65</v>
      </c>
      <c r="F2" s="14" t="s">
        <v>66</v>
      </c>
      <c r="G2" s="14"/>
      <c r="H2" s="14" t="s">
        <v>67</v>
      </c>
      <c r="I2" s="14" t="s">
        <v>68</v>
      </c>
      <c r="K2" s="34" t="s">
        <v>69</v>
      </c>
    </row>
    <row r="3" spans="1:11" ht="30" customHeight="1" x14ac:dyDescent="0.25">
      <c r="A3" s="18" t="s">
        <v>70</v>
      </c>
      <c r="B3" s="24" t="s">
        <v>97</v>
      </c>
      <c r="C3" s="17">
        <v>44714</v>
      </c>
      <c r="D3" s="15">
        <v>0</v>
      </c>
      <c r="E3" s="15">
        <v>21.5</v>
      </c>
      <c r="F3" s="15"/>
      <c r="G3" s="15"/>
      <c r="H3" s="15"/>
      <c r="I3" s="15"/>
    </row>
    <row r="4" spans="1:11" ht="30" customHeight="1" x14ac:dyDescent="0.25">
      <c r="A4" s="19" t="s">
        <v>72</v>
      </c>
      <c r="B4" s="25" t="s">
        <v>97</v>
      </c>
      <c r="C4" s="17">
        <v>44715</v>
      </c>
      <c r="D4" s="15">
        <v>1</v>
      </c>
      <c r="E4" s="15">
        <v>22.2</v>
      </c>
      <c r="F4" s="15">
        <f>(E4/E3)*100</f>
        <v>103.25581395348837</v>
      </c>
      <c r="G4" s="15"/>
      <c r="H4" s="15">
        <v>353</v>
      </c>
      <c r="I4" s="15">
        <f>(H4*20)/1000</f>
        <v>7.06</v>
      </c>
    </row>
    <row r="5" spans="1:11" ht="30" customHeight="1" x14ac:dyDescent="0.25">
      <c r="A5" s="19" t="s">
        <v>72</v>
      </c>
      <c r="B5" s="26" t="s">
        <v>97</v>
      </c>
      <c r="C5" s="17">
        <v>44716</v>
      </c>
      <c r="D5" s="15">
        <v>2</v>
      </c>
      <c r="E5" s="15">
        <v>22</v>
      </c>
      <c r="F5" s="15">
        <f>(E5/E3)*100</f>
        <v>102.32558139534885</v>
      </c>
      <c r="G5" s="15"/>
      <c r="H5" s="15">
        <f>577-353</f>
        <v>224</v>
      </c>
      <c r="I5" s="15">
        <f>(H5*20)/1000</f>
        <v>4.4800000000000004</v>
      </c>
    </row>
    <row r="6" spans="1:11" ht="30" customHeight="1" x14ac:dyDescent="0.25">
      <c r="A6" s="20" t="s">
        <v>73</v>
      </c>
      <c r="B6" s="25" t="s">
        <v>97</v>
      </c>
      <c r="C6" s="17">
        <v>44717</v>
      </c>
      <c r="D6" s="15">
        <v>3</v>
      </c>
      <c r="E6" s="15">
        <v>22.7</v>
      </c>
      <c r="F6" s="15">
        <f>(E6/E3)*100</f>
        <v>105.58139534883722</v>
      </c>
      <c r="G6" s="15"/>
      <c r="H6" s="15">
        <f>769-577</f>
        <v>192</v>
      </c>
      <c r="I6" s="15">
        <f t="shared" ref="I6:I28" si="0">(H6*20)/1000</f>
        <v>3.84</v>
      </c>
    </row>
    <row r="7" spans="1:11" ht="30" customHeight="1" x14ac:dyDescent="0.25">
      <c r="A7" s="21" t="s">
        <v>73</v>
      </c>
      <c r="B7" s="27" t="s">
        <v>97</v>
      </c>
      <c r="C7" s="17">
        <v>44718</v>
      </c>
      <c r="D7" s="15">
        <v>4</v>
      </c>
      <c r="E7" s="15">
        <v>20.8</v>
      </c>
      <c r="F7" s="15">
        <f>(E7/E3)*100</f>
        <v>96.744186046511629</v>
      </c>
      <c r="G7" s="15"/>
      <c r="H7" s="15">
        <v>142</v>
      </c>
      <c r="I7" s="15">
        <f t="shared" si="0"/>
        <v>2.84</v>
      </c>
    </row>
    <row r="8" spans="1:11" ht="30" customHeight="1" x14ac:dyDescent="0.25">
      <c r="A8" s="21" t="s">
        <v>73</v>
      </c>
      <c r="B8" s="25" t="s">
        <v>97</v>
      </c>
      <c r="C8" s="17">
        <v>44719</v>
      </c>
      <c r="D8" s="15">
        <v>5</v>
      </c>
      <c r="E8" s="15">
        <v>20.399999999999999</v>
      </c>
      <c r="F8" s="15">
        <f>(E8/E3)*100</f>
        <v>94.883720930232556</v>
      </c>
      <c r="G8" s="15"/>
      <c r="H8" s="15">
        <f>285-142</f>
        <v>143</v>
      </c>
      <c r="I8" s="15">
        <f t="shared" si="0"/>
        <v>2.86</v>
      </c>
    </row>
    <row r="9" spans="1:11" ht="30" customHeight="1" x14ac:dyDescent="0.25">
      <c r="A9" s="21" t="s">
        <v>73</v>
      </c>
      <c r="B9" s="26" t="s">
        <v>97</v>
      </c>
      <c r="C9" s="17">
        <v>44720</v>
      </c>
      <c r="D9" s="15">
        <v>6</v>
      </c>
      <c r="E9" s="15">
        <v>21.2</v>
      </c>
      <c r="F9" s="15">
        <f>(E9/E3)*100</f>
        <v>98.604651162790688</v>
      </c>
      <c r="G9" s="15"/>
      <c r="H9" s="15">
        <f>499-285</f>
        <v>214</v>
      </c>
      <c r="I9" s="15">
        <f t="shared" si="0"/>
        <v>4.28</v>
      </c>
    </row>
    <row r="10" spans="1:11" ht="30" customHeight="1" x14ac:dyDescent="0.25">
      <c r="A10" s="21" t="s">
        <v>73</v>
      </c>
      <c r="B10" s="25" t="s">
        <v>97</v>
      </c>
      <c r="C10" s="17">
        <v>44721</v>
      </c>
      <c r="D10" s="15">
        <v>7</v>
      </c>
      <c r="E10" s="15">
        <v>21.7</v>
      </c>
      <c r="F10" s="15">
        <f>(E10/E3)*100</f>
        <v>100.93023255813954</v>
      </c>
      <c r="G10" s="15"/>
      <c r="H10" s="15">
        <f>712-499</f>
        <v>213</v>
      </c>
      <c r="I10" s="15">
        <f t="shared" si="0"/>
        <v>4.26</v>
      </c>
    </row>
    <row r="11" spans="1:11" ht="30" customHeight="1" x14ac:dyDescent="0.25">
      <c r="A11" s="21" t="s">
        <v>73</v>
      </c>
      <c r="B11" s="26" t="s">
        <v>97</v>
      </c>
      <c r="C11" s="17">
        <v>44722</v>
      </c>
      <c r="D11" s="15">
        <v>8</v>
      </c>
      <c r="E11" s="15">
        <v>21.7</v>
      </c>
      <c r="F11" s="15">
        <f>(E11/E3)*100</f>
        <v>100.93023255813954</v>
      </c>
      <c r="G11" s="15"/>
      <c r="H11" s="15">
        <f>915-712</f>
        <v>203</v>
      </c>
      <c r="I11" s="15">
        <f t="shared" si="0"/>
        <v>4.0599999999999996</v>
      </c>
    </row>
    <row r="12" spans="1:11" ht="30" customHeight="1" x14ac:dyDescent="0.25">
      <c r="A12" s="21" t="s">
        <v>73</v>
      </c>
      <c r="B12" s="25" t="s">
        <v>97</v>
      </c>
      <c r="C12" s="17">
        <v>44723</v>
      </c>
      <c r="D12" s="15">
        <v>9</v>
      </c>
      <c r="E12" s="15">
        <v>21.8</v>
      </c>
      <c r="F12" s="15">
        <f>(E12/E3)*100</f>
        <v>101.39534883720931</v>
      </c>
      <c r="G12" s="15"/>
      <c r="H12" s="15">
        <f>1133-915</f>
        <v>218</v>
      </c>
      <c r="I12" s="15">
        <f t="shared" si="0"/>
        <v>4.3600000000000003</v>
      </c>
    </row>
    <row r="13" spans="1:11" ht="30" customHeight="1" x14ac:dyDescent="0.25">
      <c r="A13" s="22" t="s">
        <v>74</v>
      </c>
      <c r="B13" s="26" t="s">
        <v>97</v>
      </c>
      <c r="C13" s="17">
        <v>44724</v>
      </c>
      <c r="D13" s="15">
        <v>10</v>
      </c>
      <c r="E13" s="15">
        <v>20.3</v>
      </c>
      <c r="F13" s="15">
        <f>(E13/E3)*100</f>
        <v>94.418604651162795</v>
      </c>
      <c r="G13" s="15"/>
      <c r="H13" s="56">
        <v>189</v>
      </c>
      <c r="I13" s="15">
        <f t="shared" si="0"/>
        <v>3.78</v>
      </c>
    </row>
    <row r="14" spans="1:11" ht="30" customHeight="1" x14ac:dyDescent="0.25">
      <c r="A14" s="22" t="s">
        <v>74</v>
      </c>
      <c r="B14" s="25" t="s">
        <v>97</v>
      </c>
      <c r="C14" s="17">
        <v>44725</v>
      </c>
      <c r="D14" s="15">
        <v>11</v>
      </c>
      <c r="E14" s="15">
        <v>20.6</v>
      </c>
      <c r="F14" s="15">
        <f>(E14/E3)*100</f>
        <v>95.813953488372093</v>
      </c>
      <c r="G14" s="15"/>
      <c r="H14" s="54">
        <v>150</v>
      </c>
      <c r="I14" s="15">
        <f t="shared" si="0"/>
        <v>3</v>
      </c>
      <c r="K14">
        <v>6</v>
      </c>
    </row>
    <row r="15" spans="1:11" ht="30" customHeight="1" x14ac:dyDescent="0.25">
      <c r="A15" s="22" t="s">
        <v>74</v>
      </c>
      <c r="B15" s="26" t="s">
        <v>97</v>
      </c>
      <c r="C15" s="17">
        <v>44726</v>
      </c>
      <c r="D15" s="15">
        <v>12</v>
      </c>
      <c r="E15" s="15">
        <v>21.5</v>
      </c>
      <c r="F15" s="15">
        <f>(E15/E3)*100</f>
        <v>100</v>
      </c>
      <c r="G15" s="15"/>
      <c r="H15" s="54">
        <f>300-12</f>
        <v>288</v>
      </c>
      <c r="I15" s="15">
        <f t="shared" si="0"/>
        <v>5.76</v>
      </c>
      <c r="K15">
        <v>12</v>
      </c>
    </row>
    <row r="16" spans="1:11" ht="30" customHeight="1" x14ac:dyDescent="0.25">
      <c r="A16" s="22" t="s">
        <v>74</v>
      </c>
      <c r="B16" s="25" t="s">
        <v>97</v>
      </c>
      <c r="C16" s="17">
        <v>44727</v>
      </c>
      <c r="D16" s="15">
        <v>13</v>
      </c>
      <c r="E16" s="15">
        <v>22.3</v>
      </c>
      <c r="F16" s="15">
        <f>(E16/E3)*100</f>
        <v>103.72093023255815</v>
      </c>
      <c r="G16" s="15"/>
      <c r="H16" s="54">
        <f>250-17</f>
        <v>233</v>
      </c>
      <c r="I16" s="15">
        <f t="shared" si="0"/>
        <v>4.66</v>
      </c>
      <c r="K16">
        <v>17</v>
      </c>
    </row>
    <row r="17" spans="1:11" ht="30" customHeight="1" x14ac:dyDescent="0.25">
      <c r="A17" s="22" t="s">
        <v>74</v>
      </c>
      <c r="B17" s="26" t="s">
        <v>97</v>
      </c>
      <c r="C17" s="17">
        <v>44728</v>
      </c>
      <c r="D17" s="15">
        <v>14</v>
      </c>
      <c r="E17" s="15">
        <v>22.7</v>
      </c>
      <c r="F17" s="15">
        <f>(E17/E3)*100</f>
        <v>105.58139534883722</v>
      </c>
      <c r="G17" s="15"/>
      <c r="H17" s="54">
        <f>244-20</f>
        <v>224</v>
      </c>
      <c r="I17" s="15">
        <f t="shared" si="0"/>
        <v>4.4800000000000004</v>
      </c>
      <c r="K17">
        <v>20</v>
      </c>
    </row>
    <row r="18" spans="1:11" ht="30" customHeight="1" x14ac:dyDescent="0.25">
      <c r="A18" s="22" t="s">
        <v>74</v>
      </c>
      <c r="B18" s="25" t="s">
        <v>97</v>
      </c>
      <c r="C18" s="17">
        <v>44729</v>
      </c>
      <c r="D18" s="15">
        <v>15</v>
      </c>
      <c r="E18" s="15">
        <v>22.5</v>
      </c>
      <c r="F18" s="15">
        <f>(E18/E3)*100</f>
        <v>104.65116279069768</v>
      </c>
      <c r="G18" s="15"/>
      <c r="H18" s="58">
        <f>236-23</f>
        <v>213</v>
      </c>
      <c r="I18" s="15">
        <f t="shared" si="0"/>
        <v>4.26</v>
      </c>
      <c r="K18">
        <v>23</v>
      </c>
    </row>
    <row r="19" spans="1:11" ht="30" customHeight="1" x14ac:dyDescent="0.25">
      <c r="A19" s="22" t="s">
        <v>74</v>
      </c>
      <c r="B19" s="26" t="s">
        <v>97</v>
      </c>
      <c r="C19" s="17">
        <v>44730</v>
      </c>
      <c r="D19" s="15">
        <v>16</v>
      </c>
      <c r="E19" s="15">
        <v>22.5</v>
      </c>
      <c r="F19" s="15">
        <f>(E19/E3)*100</f>
        <v>104.65116279069768</v>
      </c>
      <c r="G19" s="15"/>
      <c r="H19" s="54">
        <f>384-40</f>
        <v>344</v>
      </c>
      <c r="I19" s="15">
        <f t="shared" si="0"/>
        <v>6.88</v>
      </c>
      <c r="K19">
        <v>40</v>
      </c>
    </row>
    <row r="20" spans="1:11" ht="30" customHeight="1" x14ac:dyDescent="0.25">
      <c r="A20" s="22" t="s">
        <v>75</v>
      </c>
      <c r="B20" s="25" t="s">
        <v>97</v>
      </c>
      <c r="C20" s="17">
        <v>44731</v>
      </c>
      <c r="D20" s="15">
        <v>17</v>
      </c>
      <c r="E20" s="15">
        <v>22.4</v>
      </c>
      <c r="F20" s="15">
        <f>(E20/E3)*100</f>
        <v>104.18604651162791</v>
      </c>
      <c r="G20" s="15"/>
      <c r="H20" s="54">
        <f>268-27</f>
        <v>241</v>
      </c>
      <c r="I20" s="15">
        <f t="shared" si="0"/>
        <v>4.82</v>
      </c>
      <c r="K20">
        <v>27</v>
      </c>
    </row>
    <row r="21" spans="1:11" ht="30" customHeight="1" x14ac:dyDescent="0.25">
      <c r="A21" s="22" t="s">
        <v>76</v>
      </c>
      <c r="B21" s="26" t="s">
        <v>97</v>
      </c>
      <c r="C21" s="17">
        <v>44732</v>
      </c>
      <c r="D21" s="15">
        <v>18</v>
      </c>
      <c r="E21" s="15"/>
      <c r="F21" s="15">
        <f>(E21/E3)*100</f>
        <v>0</v>
      </c>
      <c r="G21" s="15"/>
      <c r="H21" s="15"/>
      <c r="I21" s="15">
        <f t="shared" si="0"/>
        <v>0</v>
      </c>
    </row>
    <row r="22" spans="1:11" ht="30" customHeight="1" x14ac:dyDescent="0.25">
      <c r="A22" s="22" t="s">
        <v>77</v>
      </c>
      <c r="B22" s="28" t="s">
        <v>78</v>
      </c>
      <c r="C22" s="17">
        <v>44733</v>
      </c>
      <c r="D22" s="15">
        <v>19</v>
      </c>
      <c r="E22" s="15"/>
      <c r="F22" s="15">
        <f>(E22/E3)*100</f>
        <v>0</v>
      </c>
      <c r="G22" s="15"/>
      <c r="H22" s="15"/>
      <c r="I22" s="15">
        <f t="shared" si="0"/>
        <v>0</v>
      </c>
    </row>
    <row r="23" spans="1:11" ht="30" customHeight="1" x14ac:dyDescent="0.25">
      <c r="A23" s="22" t="s">
        <v>77</v>
      </c>
      <c r="B23" s="28" t="s">
        <v>78</v>
      </c>
      <c r="C23" s="17">
        <v>44734</v>
      </c>
      <c r="D23" s="15">
        <v>20</v>
      </c>
      <c r="E23" s="15"/>
      <c r="F23" s="15">
        <f>(E23/E3)*100</f>
        <v>0</v>
      </c>
      <c r="G23" s="45"/>
      <c r="H23" s="50"/>
      <c r="I23" s="15">
        <f>(H23*20)/1000</f>
        <v>0</v>
      </c>
      <c r="J23">
        <f t="shared" ref="J23:J28" si="1">(G23*20)/1000</f>
        <v>0</v>
      </c>
    </row>
    <row r="24" spans="1:11" ht="30" customHeight="1" x14ac:dyDescent="0.25">
      <c r="A24" s="22" t="s">
        <v>77</v>
      </c>
      <c r="B24" s="28" t="s">
        <v>78</v>
      </c>
      <c r="C24" s="17">
        <v>44735</v>
      </c>
      <c r="D24" s="15">
        <v>21</v>
      </c>
      <c r="E24" s="15"/>
      <c r="F24" s="15">
        <f>(E24/E3)*100</f>
        <v>0</v>
      </c>
      <c r="G24" s="46"/>
      <c r="H24" s="50"/>
      <c r="I24" s="15">
        <f>(H24*20)/1000</f>
        <v>0</v>
      </c>
      <c r="J24">
        <f t="shared" si="1"/>
        <v>0</v>
      </c>
    </row>
    <row r="25" spans="1:11" ht="30" customHeight="1" x14ac:dyDescent="0.25">
      <c r="A25" s="23" t="s">
        <v>79</v>
      </c>
      <c r="B25" s="25" t="s">
        <v>98</v>
      </c>
      <c r="C25" s="17">
        <v>44736</v>
      </c>
      <c r="D25" s="15">
        <v>22</v>
      </c>
      <c r="E25" s="15"/>
      <c r="F25" s="15">
        <f>(E25/E3)*100</f>
        <v>0</v>
      </c>
      <c r="G25" s="47"/>
      <c r="H25" s="50"/>
      <c r="I25" s="15">
        <f>(H25*20)/1000</f>
        <v>0</v>
      </c>
      <c r="J25">
        <f t="shared" si="1"/>
        <v>0</v>
      </c>
    </row>
    <row r="26" spans="1:11" ht="30" customHeight="1" x14ac:dyDescent="0.25">
      <c r="A26" s="23" t="s">
        <v>79</v>
      </c>
      <c r="B26" s="26" t="s">
        <v>98</v>
      </c>
      <c r="C26" s="17">
        <v>44737</v>
      </c>
      <c r="D26" s="15">
        <v>23</v>
      </c>
      <c r="E26" s="15"/>
      <c r="F26" s="15">
        <f>(E26/E3)*100</f>
        <v>0</v>
      </c>
      <c r="G26" s="45"/>
      <c r="H26" s="49"/>
      <c r="I26" s="15">
        <f>(H26*20)/1000</f>
        <v>0</v>
      </c>
      <c r="J26">
        <f t="shared" si="1"/>
        <v>0</v>
      </c>
    </row>
    <row r="27" spans="1:11" ht="30" customHeight="1" x14ac:dyDescent="0.25">
      <c r="A27" s="23" t="s">
        <v>79</v>
      </c>
      <c r="B27" s="29" t="s">
        <v>98</v>
      </c>
      <c r="C27" s="17">
        <v>44738</v>
      </c>
      <c r="D27" s="15">
        <v>24</v>
      </c>
      <c r="E27" s="15"/>
      <c r="F27" s="15">
        <f>(E27/E3)*100</f>
        <v>0</v>
      </c>
      <c r="G27" s="48"/>
      <c r="H27" s="51"/>
      <c r="I27" s="15">
        <f>(H27*20)/1000</f>
        <v>0</v>
      </c>
      <c r="J27">
        <f t="shared" si="1"/>
        <v>0</v>
      </c>
    </row>
    <row r="28" spans="1:11" ht="30" customHeight="1" x14ac:dyDescent="0.25">
      <c r="B28" s="30" t="s">
        <v>98</v>
      </c>
      <c r="C28" s="17">
        <v>44739</v>
      </c>
      <c r="D28" s="15">
        <v>25</v>
      </c>
      <c r="F28" s="15">
        <f>(E28/E3)*100</f>
        <v>0</v>
      </c>
      <c r="G28" s="48"/>
      <c r="H28" s="51"/>
      <c r="I28" s="15">
        <f t="shared" si="0"/>
        <v>0</v>
      </c>
      <c r="J28">
        <f t="shared" si="1"/>
        <v>0</v>
      </c>
    </row>
    <row r="29" spans="1:11" ht="30" customHeight="1" x14ac:dyDescent="0.25"/>
    <row r="30" spans="1:11" ht="30" customHeight="1" x14ac:dyDescent="0.25"/>
    <row r="31" spans="1:11" ht="99.75" customHeight="1" x14ac:dyDescent="0.25">
      <c r="A31" t="s">
        <v>99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6BA7D-483F-4939-8804-27DE691AA386}">
  <dimension ref="A1:K28"/>
  <sheetViews>
    <sheetView topLeftCell="A13" workbookViewId="0">
      <selection activeCell="F13" sqref="F13"/>
    </sheetView>
  </sheetViews>
  <sheetFormatPr defaultRowHeight="15" x14ac:dyDescent="0.25"/>
  <cols>
    <col min="1" max="9" width="20.5703125" customWidth="1"/>
  </cols>
  <sheetData>
    <row r="1" spans="1:11" ht="30" customHeight="1" x14ac:dyDescent="0.25">
      <c r="A1" s="13" t="s">
        <v>62</v>
      </c>
      <c r="B1" s="12"/>
      <c r="C1" s="12"/>
      <c r="D1" s="5"/>
      <c r="E1" s="12"/>
      <c r="F1" s="12"/>
      <c r="G1" s="12"/>
      <c r="H1" s="12"/>
      <c r="I1" s="12"/>
    </row>
    <row r="2" spans="1:11" ht="30" customHeight="1" x14ac:dyDescent="0.25">
      <c r="A2" s="13" t="s">
        <v>100</v>
      </c>
      <c r="B2" s="14" t="s">
        <v>64</v>
      </c>
      <c r="C2" s="14" t="s">
        <v>0</v>
      </c>
      <c r="D2" s="14" t="s">
        <v>1</v>
      </c>
      <c r="E2" s="14" t="s">
        <v>65</v>
      </c>
      <c r="F2" s="14" t="s">
        <v>66</v>
      </c>
      <c r="G2" s="14"/>
      <c r="H2" s="14" t="s">
        <v>67</v>
      </c>
      <c r="I2" s="14" t="s">
        <v>68</v>
      </c>
      <c r="K2" s="34" t="s">
        <v>69</v>
      </c>
    </row>
    <row r="3" spans="1:11" ht="30" customHeight="1" x14ac:dyDescent="0.25">
      <c r="A3" s="18" t="s">
        <v>70</v>
      </c>
      <c r="B3" s="24" t="s">
        <v>101</v>
      </c>
      <c r="C3" s="17">
        <v>44714</v>
      </c>
      <c r="D3" s="15">
        <v>0</v>
      </c>
      <c r="E3" s="15">
        <v>20.8</v>
      </c>
      <c r="F3" s="15"/>
      <c r="G3" s="15"/>
      <c r="H3" s="15"/>
      <c r="I3" s="15"/>
    </row>
    <row r="4" spans="1:11" ht="30" customHeight="1" x14ac:dyDescent="0.25">
      <c r="A4" s="19" t="s">
        <v>72</v>
      </c>
      <c r="B4" s="25" t="s">
        <v>101</v>
      </c>
      <c r="C4" s="17">
        <v>44715</v>
      </c>
      <c r="D4" s="15">
        <v>1</v>
      </c>
      <c r="E4" s="15">
        <v>20.9</v>
      </c>
      <c r="F4" s="15">
        <f>(E4/E3)*100</f>
        <v>100.48076923076923</v>
      </c>
      <c r="G4" s="15"/>
      <c r="H4" s="15">
        <v>320</v>
      </c>
      <c r="I4" s="15">
        <f>(H4*20)/1000</f>
        <v>6.4</v>
      </c>
    </row>
    <row r="5" spans="1:11" ht="30" customHeight="1" x14ac:dyDescent="0.25">
      <c r="A5" s="19" t="s">
        <v>72</v>
      </c>
      <c r="B5" s="26" t="s">
        <v>101</v>
      </c>
      <c r="C5" s="17">
        <v>44716</v>
      </c>
      <c r="D5" s="15">
        <v>2</v>
      </c>
      <c r="E5" s="15">
        <v>20.399999999999999</v>
      </c>
      <c r="F5" s="15">
        <f>(E5/E3)*100</f>
        <v>98.076923076923066</v>
      </c>
      <c r="G5" s="15"/>
      <c r="H5" s="15">
        <f>542-320</f>
        <v>222</v>
      </c>
      <c r="I5" s="15">
        <f>(H5*20)/1000</f>
        <v>4.4400000000000004</v>
      </c>
    </row>
    <row r="6" spans="1:11" ht="30" customHeight="1" x14ac:dyDescent="0.25">
      <c r="A6" s="31" t="s">
        <v>74</v>
      </c>
      <c r="B6" s="25" t="s">
        <v>101</v>
      </c>
      <c r="C6" s="17">
        <v>44717</v>
      </c>
      <c r="D6" s="15">
        <v>3</v>
      </c>
      <c r="E6" s="15">
        <v>20.8</v>
      </c>
      <c r="F6" s="15">
        <f>(E6/E3)*100</f>
        <v>100</v>
      </c>
      <c r="G6" s="15"/>
      <c r="H6" s="15">
        <f>778-542</f>
        <v>236</v>
      </c>
      <c r="I6" s="15">
        <f t="shared" ref="I6:I28" si="0">(H6*20)/1000</f>
        <v>4.72</v>
      </c>
    </row>
    <row r="7" spans="1:11" ht="30" customHeight="1" x14ac:dyDescent="0.25">
      <c r="A7" s="22" t="s">
        <v>74</v>
      </c>
      <c r="B7" s="27" t="s">
        <v>101</v>
      </c>
      <c r="C7" s="17">
        <v>44718</v>
      </c>
      <c r="D7" s="15">
        <v>4</v>
      </c>
      <c r="E7" s="15">
        <v>20.5</v>
      </c>
      <c r="F7" s="15">
        <f>(E7/E3)*100</f>
        <v>98.557692307692307</v>
      </c>
      <c r="G7" s="15"/>
      <c r="H7" s="15">
        <v>212</v>
      </c>
      <c r="I7" s="15">
        <f t="shared" si="0"/>
        <v>4.24</v>
      </c>
    </row>
    <row r="8" spans="1:11" ht="30" customHeight="1" x14ac:dyDescent="0.25">
      <c r="A8" s="22" t="s">
        <v>74</v>
      </c>
      <c r="B8" s="25" t="s">
        <v>101</v>
      </c>
      <c r="C8" s="17">
        <v>44719</v>
      </c>
      <c r="D8" s="15">
        <v>5</v>
      </c>
      <c r="E8" s="15">
        <v>20.399999999999999</v>
      </c>
      <c r="F8" s="15">
        <f>(E8/E3)*100</f>
        <v>98.076923076923066</v>
      </c>
      <c r="G8" s="15"/>
      <c r="H8" s="15">
        <f>416-212</f>
        <v>204</v>
      </c>
      <c r="I8" s="15">
        <f t="shared" si="0"/>
        <v>4.08</v>
      </c>
    </row>
    <row r="9" spans="1:11" ht="30" customHeight="1" x14ac:dyDescent="0.25">
      <c r="A9" s="22" t="s">
        <v>74</v>
      </c>
      <c r="B9" s="26" t="s">
        <v>101</v>
      </c>
      <c r="C9" s="17">
        <v>44720</v>
      </c>
      <c r="D9" s="15">
        <v>6</v>
      </c>
      <c r="E9" s="15">
        <v>20.5</v>
      </c>
      <c r="F9" s="15">
        <f>(E9/E3)*100</f>
        <v>98.557692307692307</v>
      </c>
      <c r="G9" s="15"/>
      <c r="H9" s="15">
        <f>623-416</f>
        <v>207</v>
      </c>
      <c r="I9" s="15">
        <f t="shared" si="0"/>
        <v>4.1399999999999997</v>
      </c>
    </row>
    <row r="10" spans="1:11" ht="30" customHeight="1" x14ac:dyDescent="0.25">
      <c r="A10" s="22" t="s">
        <v>74</v>
      </c>
      <c r="B10" s="25" t="s">
        <v>101</v>
      </c>
      <c r="C10" s="17">
        <v>44721</v>
      </c>
      <c r="D10" s="15">
        <v>7</v>
      </c>
      <c r="E10" s="15">
        <v>20.8</v>
      </c>
      <c r="F10" s="15">
        <f>(E10/E3)*100</f>
        <v>100</v>
      </c>
      <c r="G10" s="15"/>
      <c r="H10" s="15">
        <f>826-623</f>
        <v>203</v>
      </c>
      <c r="I10" s="15">
        <f t="shared" si="0"/>
        <v>4.0599999999999996</v>
      </c>
    </row>
    <row r="11" spans="1:11" ht="30" customHeight="1" x14ac:dyDescent="0.25">
      <c r="A11" s="22" t="s">
        <v>74</v>
      </c>
      <c r="B11" s="26" t="s">
        <v>101</v>
      </c>
      <c r="C11" s="17">
        <v>44722</v>
      </c>
      <c r="D11" s="15">
        <v>8</v>
      </c>
      <c r="E11" s="15">
        <v>21.6</v>
      </c>
      <c r="F11" s="15">
        <f>(E11/E3)*100</f>
        <v>103.84615384615385</v>
      </c>
      <c r="G11" s="15"/>
      <c r="H11" s="15">
        <f>1043-826</f>
        <v>217</v>
      </c>
      <c r="I11" s="15">
        <f t="shared" si="0"/>
        <v>4.34</v>
      </c>
    </row>
    <row r="12" spans="1:11" ht="30" customHeight="1" x14ac:dyDescent="0.25">
      <c r="A12" s="22" t="s">
        <v>74</v>
      </c>
      <c r="B12" s="25" t="s">
        <v>101</v>
      </c>
      <c r="C12" s="17">
        <v>44723</v>
      </c>
      <c r="D12" s="15">
        <v>9</v>
      </c>
      <c r="E12" s="15">
        <v>21</v>
      </c>
      <c r="F12" s="15">
        <f>(E12/E3)*100</f>
        <v>100.96153846153845</v>
      </c>
      <c r="G12" s="15"/>
      <c r="H12" s="15">
        <f>1252-1043</f>
        <v>209</v>
      </c>
      <c r="I12" s="15">
        <f t="shared" si="0"/>
        <v>4.18</v>
      </c>
    </row>
    <row r="13" spans="1:11" ht="30" customHeight="1" x14ac:dyDescent="0.25">
      <c r="A13" s="20" t="s">
        <v>73</v>
      </c>
      <c r="B13" s="26" t="s">
        <v>101</v>
      </c>
      <c r="C13" s="17">
        <v>44724</v>
      </c>
      <c r="D13" s="15">
        <v>10</v>
      </c>
      <c r="E13" s="15">
        <v>21.2</v>
      </c>
      <c r="F13" s="15">
        <f>(E13/E3)*100</f>
        <v>101.92307692307692</v>
      </c>
      <c r="G13" s="15"/>
      <c r="H13" s="15">
        <f>1444-1252</f>
        <v>192</v>
      </c>
      <c r="I13" s="15">
        <f t="shared" si="0"/>
        <v>3.84</v>
      </c>
    </row>
    <row r="14" spans="1:11" ht="30" customHeight="1" x14ac:dyDescent="0.25">
      <c r="A14" s="21" t="s">
        <v>73</v>
      </c>
      <c r="B14" s="25" t="s">
        <v>101</v>
      </c>
      <c r="C14" s="17">
        <v>44725</v>
      </c>
      <c r="D14" s="15">
        <v>11</v>
      </c>
      <c r="E14" s="15">
        <v>20.6</v>
      </c>
      <c r="F14" s="15">
        <f>(E14/E3)*100</f>
        <v>99.038461538461547</v>
      </c>
      <c r="G14" s="15"/>
      <c r="H14" s="15">
        <v>169</v>
      </c>
      <c r="I14" s="15">
        <f t="shared" si="0"/>
        <v>3.38</v>
      </c>
    </row>
    <row r="15" spans="1:11" ht="30" customHeight="1" x14ac:dyDescent="0.25">
      <c r="A15" s="21" t="s">
        <v>73</v>
      </c>
      <c r="B15" s="26" t="s">
        <v>101</v>
      </c>
      <c r="C15" s="17">
        <v>44726</v>
      </c>
      <c r="D15" s="15">
        <v>12</v>
      </c>
      <c r="E15" s="15">
        <v>21</v>
      </c>
      <c r="F15" s="15">
        <f>(E15/E3)*100</f>
        <v>100.96153846153845</v>
      </c>
      <c r="G15" s="15"/>
      <c r="H15" s="15">
        <f>403-169</f>
        <v>234</v>
      </c>
      <c r="I15" s="15">
        <f t="shared" si="0"/>
        <v>4.68</v>
      </c>
    </row>
    <row r="16" spans="1:11" ht="30" customHeight="1" x14ac:dyDescent="0.25">
      <c r="A16" s="21" t="s">
        <v>73</v>
      </c>
      <c r="B16" s="25" t="s">
        <v>101</v>
      </c>
      <c r="C16" s="17">
        <v>44727</v>
      </c>
      <c r="D16" s="15">
        <v>13</v>
      </c>
      <c r="E16" s="15">
        <v>21.6</v>
      </c>
      <c r="F16" s="15">
        <f>(E16/E3)*100</f>
        <v>103.84615384615385</v>
      </c>
      <c r="G16" s="15"/>
      <c r="H16" s="15">
        <f>641-403</f>
        <v>238</v>
      </c>
      <c r="I16" s="15">
        <f t="shared" si="0"/>
        <v>4.76</v>
      </c>
    </row>
    <row r="17" spans="1:11" ht="30" customHeight="1" x14ac:dyDescent="0.25">
      <c r="A17" s="21" t="s">
        <v>73</v>
      </c>
      <c r="B17" s="26" t="s">
        <v>101</v>
      </c>
      <c r="C17" s="17">
        <v>44728</v>
      </c>
      <c r="D17" s="15">
        <v>14</v>
      </c>
      <c r="E17" s="15">
        <v>21.5</v>
      </c>
      <c r="F17" s="15">
        <f>(E17/E3)*100</f>
        <v>103.3653846153846</v>
      </c>
      <c r="G17" s="15"/>
      <c r="H17" s="54">
        <f>284-14</f>
        <v>270</v>
      </c>
      <c r="I17" s="15">
        <f t="shared" si="0"/>
        <v>5.4</v>
      </c>
      <c r="K17">
        <v>14</v>
      </c>
    </row>
    <row r="18" spans="1:11" ht="30" customHeight="1" x14ac:dyDescent="0.25">
      <c r="A18" s="21" t="s">
        <v>73</v>
      </c>
      <c r="B18" s="25" t="s">
        <v>101</v>
      </c>
      <c r="C18" s="17">
        <v>44729</v>
      </c>
      <c r="D18" s="15">
        <v>15</v>
      </c>
      <c r="E18" s="15">
        <v>21.6</v>
      </c>
      <c r="F18" s="15">
        <f>(E18/E3)*100</f>
        <v>103.84615384615385</v>
      </c>
      <c r="G18" s="15"/>
      <c r="H18" s="54">
        <f>284-38</f>
        <v>246</v>
      </c>
      <c r="I18" s="15">
        <f t="shared" si="0"/>
        <v>4.92</v>
      </c>
      <c r="K18">
        <v>38</v>
      </c>
    </row>
    <row r="19" spans="1:11" ht="30" customHeight="1" x14ac:dyDescent="0.25">
      <c r="A19" s="21" t="s">
        <v>73</v>
      </c>
      <c r="B19" s="26" t="s">
        <v>101</v>
      </c>
      <c r="C19" s="17">
        <v>44730</v>
      </c>
      <c r="D19" s="15">
        <v>16</v>
      </c>
      <c r="E19" s="15">
        <v>22</v>
      </c>
      <c r="F19" s="15">
        <f>(E19/E3)*100</f>
        <v>105.76923076923077</v>
      </c>
      <c r="G19" s="15"/>
      <c r="H19" s="54">
        <f>274-15</f>
        <v>259</v>
      </c>
      <c r="I19" s="15">
        <f t="shared" si="0"/>
        <v>5.18</v>
      </c>
      <c r="K19">
        <v>15</v>
      </c>
    </row>
    <row r="20" spans="1:11" ht="30" customHeight="1" x14ac:dyDescent="0.25">
      <c r="A20" s="21" t="s">
        <v>102</v>
      </c>
      <c r="B20" s="25" t="s">
        <v>101</v>
      </c>
      <c r="C20" s="17">
        <v>44731</v>
      </c>
      <c r="D20" s="15">
        <v>17</v>
      </c>
      <c r="E20" s="15">
        <v>22.1</v>
      </c>
      <c r="F20" s="15">
        <f>(E20/E3)*100</f>
        <v>106.25</v>
      </c>
      <c r="G20" s="15"/>
      <c r="H20" s="54">
        <f>288 - 25</f>
        <v>263</v>
      </c>
      <c r="I20" s="15">
        <f t="shared" si="0"/>
        <v>5.26</v>
      </c>
      <c r="K20">
        <v>25</v>
      </c>
    </row>
    <row r="21" spans="1:11" ht="30" customHeight="1" x14ac:dyDescent="0.25">
      <c r="A21" s="21" t="s">
        <v>103</v>
      </c>
      <c r="B21" s="26" t="s">
        <v>101</v>
      </c>
      <c r="C21" s="17">
        <v>44732</v>
      </c>
      <c r="D21" s="15">
        <v>18</v>
      </c>
      <c r="E21" s="15"/>
      <c r="F21" s="15">
        <f>(E21/E3)*100</f>
        <v>0</v>
      </c>
      <c r="G21" s="15"/>
      <c r="H21" s="15"/>
      <c r="I21" s="15">
        <f t="shared" si="0"/>
        <v>0</v>
      </c>
    </row>
    <row r="22" spans="1:11" ht="30" customHeight="1" x14ac:dyDescent="0.25">
      <c r="A22" s="23" t="s">
        <v>79</v>
      </c>
      <c r="B22" s="25" t="s">
        <v>80</v>
      </c>
      <c r="C22" s="17">
        <v>44733</v>
      </c>
      <c r="D22" s="15">
        <v>19</v>
      </c>
      <c r="E22" s="15"/>
      <c r="F22" s="15">
        <f>(E22/E3)*100</f>
        <v>0</v>
      </c>
      <c r="G22" s="15"/>
      <c r="H22" s="15"/>
      <c r="I22" s="15">
        <f t="shared" si="0"/>
        <v>0</v>
      </c>
    </row>
    <row r="23" spans="1:11" ht="30" customHeight="1" x14ac:dyDescent="0.25">
      <c r="A23" s="23" t="s">
        <v>79</v>
      </c>
      <c r="B23" s="26" t="s">
        <v>80</v>
      </c>
      <c r="C23" s="17">
        <v>44734</v>
      </c>
      <c r="D23" s="15">
        <v>20</v>
      </c>
      <c r="E23" s="15"/>
      <c r="F23" s="15">
        <f>(E23/E3)*100</f>
        <v>0</v>
      </c>
      <c r="G23" s="45"/>
      <c r="H23" s="50"/>
      <c r="I23" s="15">
        <f>(H23*20)/1000</f>
        <v>0</v>
      </c>
      <c r="J23">
        <f>(G23*20)/1000</f>
        <v>0</v>
      </c>
    </row>
    <row r="24" spans="1:11" ht="30" customHeight="1" x14ac:dyDescent="0.25">
      <c r="A24" s="23" t="s">
        <v>79</v>
      </c>
      <c r="B24" s="29" t="s">
        <v>80</v>
      </c>
      <c r="C24" s="17">
        <v>44735</v>
      </c>
      <c r="D24" s="15">
        <v>21</v>
      </c>
      <c r="E24" s="15"/>
      <c r="F24" s="15">
        <f>(E24/E3)*100</f>
        <v>0</v>
      </c>
      <c r="G24" s="46"/>
      <c r="H24" s="50"/>
      <c r="I24" s="15">
        <f>(H24*20)/1000</f>
        <v>0</v>
      </c>
      <c r="J24">
        <f>(G24*20)/1000</f>
        <v>0</v>
      </c>
    </row>
    <row r="25" spans="1:11" ht="30" customHeight="1" x14ac:dyDescent="0.25">
      <c r="A25" s="30"/>
      <c r="B25" s="30" t="s">
        <v>80</v>
      </c>
      <c r="C25" s="17">
        <v>44736</v>
      </c>
      <c r="D25" s="15">
        <v>22</v>
      </c>
      <c r="E25" s="15"/>
      <c r="F25" s="15">
        <f>(E25/E3)*100</f>
        <v>0</v>
      </c>
      <c r="G25" s="47"/>
      <c r="H25" s="50"/>
      <c r="I25" s="15">
        <f>(H25*20)/1000</f>
        <v>0</v>
      </c>
      <c r="J25">
        <f>(G25*20)/1000</f>
        <v>0</v>
      </c>
    </row>
    <row r="26" spans="1:11" ht="30" customHeight="1" x14ac:dyDescent="0.25">
      <c r="A26" s="32"/>
      <c r="B26" s="33"/>
      <c r="C26" s="17"/>
      <c r="D26" s="15"/>
      <c r="E26" s="15"/>
      <c r="F26" s="15"/>
      <c r="G26" s="45"/>
      <c r="H26" s="49"/>
      <c r="I26" s="15">
        <f>(H26*20)/1000</f>
        <v>0</v>
      </c>
      <c r="J26">
        <f>(G26*20)/1000</f>
        <v>0</v>
      </c>
    </row>
    <row r="27" spans="1:11" ht="30" customHeight="1" x14ac:dyDescent="0.25">
      <c r="A27" s="32"/>
      <c r="B27" s="33"/>
      <c r="C27" s="17"/>
      <c r="D27" s="15"/>
      <c r="E27" s="15"/>
      <c r="F27" s="15"/>
      <c r="G27" s="48"/>
      <c r="H27" s="51"/>
      <c r="I27" s="15">
        <f>(H27*20)/1000</f>
        <v>0</v>
      </c>
      <c r="J27">
        <f>(G27*20)/1000</f>
        <v>0</v>
      </c>
    </row>
    <row r="28" spans="1:11" ht="30" customHeight="1" x14ac:dyDescent="0.25">
      <c r="B28" s="33"/>
      <c r="C28" s="17"/>
      <c r="D28" s="15"/>
      <c r="F28" s="15"/>
      <c r="G28" s="15"/>
      <c r="I28" s="15">
        <f t="shared" si="0"/>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E0A77-15AA-4EDF-AE48-73C729898812}">
  <dimension ref="A1:K28"/>
  <sheetViews>
    <sheetView topLeftCell="A6" workbookViewId="0">
      <selection activeCell="H14" sqref="H14"/>
    </sheetView>
  </sheetViews>
  <sheetFormatPr defaultRowHeight="15" x14ac:dyDescent="0.25"/>
  <cols>
    <col min="1" max="10" width="20.5703125" customWidth="1"/>
  </cols>
  <sheetData>
    <row r="1" spans="1:11" ht="30" customHeight="1" x14ac:dyDescent="0.25">
      <c r="A1" s="13" t="s">
        <v>62</v>
      </c>
      <c r="B1" s="12"/>
      <c r="C1" s="12"/>
      <c r="D1" s="5"/>
      <c r="E1" s="12"/>
      <c r="F1" s="12"/>
      <c r="G1" s="12"/>
      <c r="H1" s="12"/>
      <c r="I1" s="12"/>
    </row>
    <row r="2" spans="1:11" ht="30" customHeight="1" x14ac:dyDescent="0.25">
      <c r="A2" s="13" t="s">
        <v>104</v>
      </c>
      <c r="B2" s="14" t="s">
        <v>64</v>
      </c>
      <c r="C2" s="14" t="s">
        <v>0</v>
      </c>
      <c r="D2" s="14" t="s">
        <v>1</v>
      </c>
      <c r="E2" s="14" t="s">
        <v>65</v>
      </c>
      <c r="F2" s="14" t="s">
        <v>66</v>
      </c>
      <c r="G2" s="14"/>
      <c r="H2" s="14" t="s">
        <v>67</v>
      </c>
      <c r="I2" s="14" t="s">
        <v>68</v>
      </c>
      <c r="K2" s="34" t="s">
        <v>69</v>
      </c>
    </row>
    <row r="3" spans="1:11" ht="30" customHeight="1" x14ac:dyDescent="0.25">
      <c r="A3" s="18" t="s">
        <v>70</v>
      </c>
      <c r="B3" s="24" t="s">
        <v>105</v>
      </c>
      <c r="C3" s="17">
        <v>44714</v>
      </c>
      <c r="D3" s="15">
        <v>0</v>
      </c>
      <c r="E3" s="15">
        <v>22.2</v>
      </c>
      <c r="F3" s="15"/>
      <c r="G3" s="15"/>
      <c r="H3" s="15"/>
      <c r="I3" s="15"/>
    </row>
    <row r="4" spans="1:11" ht="30" customHeight="1" x14ac:dyDescent="0.25">
      <c r="A4" s="19" t="s">
        <v>72</v>
      </c>
      <c r="B4" s="25" t="s">
        <v>105</v>
      </c>
      <c r="C4" s="17">
        <v>44715</v>
      </c>
      <c r="D4" s="15">
        <v>1</v>
      </c>
      <c r="E4" s="15">
        <v>23</v>
      </c>
      <c r="F4" s="15">
        <f>(E4/E3)*100</f>
        <v>103.60360360360362</v>
      </c>
      <c r="G4" s="15"/>
      <c r="H4" s="15">
        <v>184</v>
      </c>
      <c r="I4" s="15">
        <f>(H4*20)/1000</f>
        <v>3.68</v>
      </c>
    </row>
    <row r="5" spans="1:11" ht="30" customHeight="1" x14ac:dyDescent="0.25">
      <c r="A5" s="19" t="s">
        <v>72</v>
      </c>
      <c r="B5" s="26" t="s">
        <v>105</v>
      </c>
      <c r="C5" s="17">
        <v>44716</v>
      </c>
      <c r="D5" s="15">
        <v>2</v>
      </c>
      <c r="E5" s="15">
        <v>22.3</v>
      </c>
      <c r="F5" s="15">
        <f>(E5/E3)*100</f>
        <v>100.45045045045045</v>
      </c>
      <c r="G5" s="15"/>
      <c r="H5" s="15">
        <f>422-184</f>
        <v>238</v>
      </c>
      <c r="I5" s="15">
        <f>(H5*20)/1000</f>
        <v>4.76</v>
      </c>
    </row>
    <row r="6" spans="1:11" ht="30" customHeight="1" x14ac:dyDescent="0.25">
      <c r="A6" s="31" t="s">
        <v>74</v>
      </c>
      <c r="B6" s="25" t="s">
        <v>105</v>
      </c>
      <c r="C6" s="17">
        <v>44717</v>
      </c>
      <c r="D6" s="15">
        <v>3</v>
      </c>
      <c r="E6" s="15">
        <v>22.2</v>
      </c>
      <c r="F6" s="15">
        <f>(E6/E3)*100</f>
        <v>100</v>
      </c>
      <c r="G6" s="15"/>
      <c r="H6" s="15">
        <f>598-422</f>
        <v>176</v>
      </c>
      <c r="I6" s="15">
        <f t="shared" ref="I6:I28" si="0">(H6*20)/1000</f>
        <v>3.52</v>
      </c>
    </row>
    <row r="7" spans="1:11" ht="30" customHeight="1" x14ac:dyDescent="0.25">
      <c r="A7" s="22" t="s">
        <v>74</v>
      </c>
      <c r="B7" s="27" t="s">
        <v>105</v>
      </c>
      <c r="C7" s="17">
        <v>44718</v>
      </c>
      <c r="D7" s="15">
        <v>4</v>
      </c>
      <c r="E7" s="15">
        <v>22.1</v>
      </c>
      <c r="F7" s="15">
        <f>(E7/E3)*100</f>
        <v>99.549549549549553</v>
      </c>
      <c r="G7" s="15"/>
      <c r="H7" s="15">
        <v>199</v>
      </c>
      <c r="I7" s="15">
        <f t="shared" si="0"/>
        <v>3.98</v>
      </c>
    </row>
    <row r="8" spans="1:11" ht="30" customHeight="1" x14ac:dyDescent="0.25">
      <c r="A8" s="22" t="s">
        <v>74</v>
      </c>
      <c r="B8" s="25" t="s">
        <v>105</v>
      </c>
      <c r="C8" s="17">
        <v>44719</v>
      </c>
      <c r="D8" s="15">
        <v>5</v>
      </c>
      <c r="E8" s="15">
        <v>21.9</v>
      </c>
      <c r="F8" s="15">
        <f>(E8/E3)*100</f>
        <v>98.648648648648646</v>
      </c>
      <c r="G8" s="15"/>
      <c r="H8" s="15">
        <f>381-199</f>
        <v>182</v>
      </c>
      <c r="I8" s="15">
        <f t="shared" si="0"/>
        <v>3.64</v>
      </c>
    </row>
    <row r="9" spans="1:11" ht="30" customHeight="1" x14ac:dyDescent="0.25">
      <c r="A9" s="22" t="s">
        <v>74</v>
      </c>
      <c r="B9" s="26" t="s">
        <v>105</v>
      </c>
      <c r="C9" s="17">
        <v>44720</v>
      </c>
      <c r="D9" s="15">
        <v>6</v>
      </c>
      <c r="E9" s="15">
        <v>22.1</v>
      </c>
      <c r="F9" s="15">
        <f>(E9/E3)*100</f>
        <v>99.549549549549553</v>
      </c>
      <c r="G9" s="15"/>
      <c r="H9" s="15">
        <f>562-381</f>
        <v>181</v>
      </c>
      <c r="I9" s="15">
        <f t="shared" si="0"/>
        <v>3.62</v>
      </c>
    </row>
    <row r="10" spans="1:11" ht="30" customHeight="1" x14ac:dyDescent="0.25">
      <c r="A10" s="22" t="s">
        <v>74</v>
      </c>
      <c r="B10" s="25" t="s">
        <v>105</v>
      </c>
      <c r="C10" s="17">
        <v>44721</v>
      </c>
      <c r="D10" s="15">
        <v>7</v>
      </c>
      <c r="E10" s="15">
        <v>22.3</v>
      </c>
      <c r="F10" s="15">
        <f>(E10/E3)*100</f>
        <v>100.45045045045045</v>
      </c>
      <c r="G10" s="15"/>
      <c r="H10" s="15">
        <f>730-562</f>
        <v>168</v>
      </c>
      <c r="I10" s="15">
        <f t="shared" si="0"/>
        <v>3.36</v>
      </c>
    </row>
    <row r="11" spans="1:11" ht="30" customHeight="1" x14ac:dyDescent="0.25">
      <c r="A11" s="22" t="s">
        <v>74</v>
      </c>
      <c r="B11" s="26" t="s">
        <v>105</v>
      </c>
      <c r="C11" s="17">
        <v>44722</v>
      </c>
      <c r="D11" s="15">
        <v>8</v>
      </c>
      <c r="E11" s="15">
        <v>22.6</v>
      </c>
      <c r="F11" s="15">
        <f>(E11/E3)*100</f>
        <v>101.8018018018018</v>
      </c>
      <c r="G11" s="15"/>
      <c r="H11" s="15">
        <f>918-730</f>
        <v>188</v>
      </c>
      <c r="I11" s="15">
        <f t="shared" si="0"/>
        <v>3.76</v>
      </c>
    </row>
    <row r="12" spans="1:11" ht="30" customHeight="1" x14ac:dyDescent="0.25">
      <c r="A12" s="22" t="s">
        <v>74</v>
      </c>
      <c r="B12" s="25" t="s">
        <v>105</v>
      </c>
      <c r="C12" s="17">
        <v>44723</v>
      </c>
      <c r="D12" s="15">
        <v>9</v>
      </c>
      <c r="E12" s="15">
        <v>22.4</v>
      </c>
      <c r="F12" s="15">
        <f>(E12/E3)*100</f>
        <v>100.90090090090089</v>
      </c>
      <c r="G12" s="15"/>
      <c r="H12" s="15">
        <f>1126-918</f>
        <v>208</v>
      </c>
      <c r="I12" s="15">
        <f t="shared" si="0"/>
        <v>4.16</v>
      </c>
    </row>
    <row r="13" spans="1:11" ht="30" customHeight="1" x14ac:dyDescent="0.25">
      <c r="A13" s="20" t="s">
        <v>73</v>
      </c>
      <c r="B13" s="26" t="s">
        <v>105</v>
      </c>
      <c r="C13" s="17">
        <v>44724</v>
      </c>
      <c r="D13" s="15">
        <v>10</v>
      </c>
      <c r="E13" s="15">
        <v>22.9</v>
      </c>
      <c r="F13" s="15">
        <f>(E13/E3)*100</f>
        <v>103.15315315315314</v>
      </c>
      <c r="G13" s="15"/>
      <c r="H13" s="15">
        <f>1314-1126</f>
        <v>188</v>
      </c>
      <c r="I13" s="15">
        <f t="shared" si="0"/>
        <v>3.76</v>
      </c>
    </row>
    <row r="14" spans="1:11" ht="30" customHeight="1" x14ac:dyDescent="0.25">
      <c r="A14" s="21" t="s">
        <v>73</v>
      </c>
      <c r="B14" s="25" t="s">
        <v>105</v>
      </c>
      <c r="C14" s="17">
        <v>44725</v>
      </c>
      <c r="D14" s="15">
        <v>11</v>
      </c>
      <c r="E14" s="15">
        <v>22.5</v>
      </c>
      <c r="F14" s="15">
        <f>(E14/E3)*100</f>
        <v>101.35135135135135</v>
      </c>
      <c r="G14" s="15"/>
      <c r="H14" s="56">
        <v>159</v>
      </c>
      <c r="I14" s="15">
        <f t="shared" si="0"/>
        <v>3.18</v>
      </c>
    </row>
    <row r="15" spans="1:11" ht="30" customHeight="1" x14ac:dyDescent="0.25">
      <c r="A15" s="21" t="s">
        <v>73</v>
      </c>
      <c r="B15" s="26" t="s">
        <v>105</v>
      </c>
      <c r="C15" s="17">
        <v>44726</v>
      </c>
      <c r="D15" s="15">
        <v>12</v>
      </c>
      <c r="E15" s="15">
        <v>22.3</v>
      </c>
      <c r="F15" s="15">
        <f>(E15/E3)*100</f>
        <v>100.45045045045045</v>
      </c>
      <c r="G15" s="15"/>
      <c r="H15" s="15">
        <v>212</v>
      </c>
      <c r="I15" s="15">
        <f t="shared" si="0"/>
        <v>4.24</v>
      </c>
    </row>
    <row r="16" spans="1:11" ht="30" customHeight="1" x14ac:dyDescent="0.25">
      <c r="A16" s="21" t="s">
        <v>73</v>
      </c>
      <c r="B16" s="25" t="s">
        <v>105</v>
      </c>
      <c r="C16" s="17">
        <v>44727</v>
      </c>
      <c r="D16" s="15">
        <v>13</v>
      </c>
      <c r="E16" s="15">
        <v>22.3</v>
      </c>
      <c r="F16" s="15">
        <f>(E16/E3)*100</f>
        <v>100.45045045045045</v>
      </c>
      <c r="G16" s="15"/>
      <c r="H16" s="15">
        <f>396-212</f>
        <v>184</v>
      </c>
      <c r="I16" s="15">
        <f t="shared" si="0"/>
        <v>3.68</v>
      </c>
    </row>
    <row r="17" spans="1:10" ht="30" customHeight="1" x14ac:dyDescent="0.25">
      <c r="A17" s="21" t="s">
        <v>73</v>
      </c>
      <c r="B17" s="26" t="s">
        <v>105</v>
      </c>
      <c r="C17" s="17">
        <v>44728</v>
      </c>
      <c r="D17" s="15">
        <v>14</v>
      </c>
      <c r="E17" s="15">
        <v>22.9</v>
      </c>
      <c r="F17" s="15">
        <f>(E17/E3)*100</f>
        <v>103.15315315315314</v>
      </c>
      <c r="G17" s="15"/>
      <c r="H17" s="15">
        <f>578-396</f>
        <v>182</v>
      </c>
      <c r="I17" s="15">
        <f t="shared" si="0"/>
        <v>3.64</v>
      </c>
    </row>
    <row r="18" spans="1:10" ht="30" customHeight="1" x14ac:dyDescent="0.25">
      <c r="A18" s="21" t="s">
        <v>73</v>
      </c>
      <c r="B18" s="25" t="s">
        <v>105</v>
      </c>
      <c r="C18" s="17">
        <v>44729</v>
      </c>
      <c r="D18" s="15">
        <v>15</v>
      </c>
      <c r="E18" s="15">
        <v>22.7</v>
      </c>
      <c r="F18" s="15">
        <f>(E18/E3)*100</f>
        <v>102.25225225225225</v>
      </c>
      <c r="G18" s="15"/>
      <c r="H18" s="15">
        <f>760-578</f>
        <v>182</v>
      </c>
      <c r="I18" s="15">
        <f t="shared" si="0"/>
        <v>3.64</v>
      </c>
    </row>
    <row r="19" spans="1:10" ht="30" customHeight="1" x14ac:dyDescent="0.25">
      <c r="A19" s="21" t="s">
        <v>73</v>
      </c>
      <c r="B19" s="26" t="s">
        <v>105</v>
      </c>
      <c r="C19" s="17">
        <v>44730</v>
      </c>
      <c r="D19" s="15">
        <v>16</v>
      </c>
      <c r="E19" s="15">
        <v>22.5</v>
      </c>
      <c r="F19" s="15">
        <f>(E19/E3)*100</f>
        <v>101.35135135135135</v>
      </c>
      <c r="G19" s="15"/>
      <c r="H19" s="15">
        <f>965-760</f>
        <v>205</v>
      </c>
      <c r="I19" s="15">
        <f t="shared" si="0"/>
        <v>4.0999999999999996</v>
      </c>
    </row>
    <row r="20" spans="1:10" ht="30" customHeight="1" x14ac:dyDescent="0.25">
      <c r="A20" s="21" t="s">
        <v>102</v>
      </c>
      <c r="B20" s="25" t="s">
        <v>105</v>
      </c>
      <c r="C20" s="17">
        <v>44731</v>
      </c>
      <c r="D20" s="15">
        <v>17</v>
      </c>
      <c r="E20" s="15">
        <v>22.3</v>
      </c>
      <c r="F20" s="15">
        <f>(E20/E3)*100</f>
        <v>100.45045045045045</v>
      </c>
      <c r="G20" s="15"/>
      <c r="H20" s="15">
        <f>1166-965</f>
        <v>201</v>
      </c>
      <c r="I20" s="15">
        <f t="shared" si="0"/>
        <v>4.0199999999999996</v>
      </c>
    </row>
    <row r="21" spans="1:10" ht="30" customHeight="1" x14ac:dyDescent="0.25">
      <c r="A21" s="21" t="s">
        <v>103</v>
      </c>
      <c r="B21" s="26" t="s">
        <v>105</v>
      </c>
      <c r="C21" s="17">
        <v>44732</v>
      </c>
      <c r="D21" s="15">
        <v>18</v>
      </c>
      <c r="E21" s="15"/>
      <c r="F21" s="15">
        <f>(E21/E3)*100</f>
        <v>0</v>
      </c>
      <c r="G21" s="15"/>
      <c r="H21" s="15"/>
      <c r="I21" s="15">
        <f t="shared" si="0"/>
        <v>0</v>
      </c>
    </row>
    <row r="22" spans="1:10" ht="30" customHeight="1" x14ac:dyDescent="0.25">
      <c r="A22" s="23" t="s">
        <v>79</v>
      </c>
      <c r="B22" s="25" t="s">
        <v>83</v>
      </c>
      <c r="C22" s="17">
        <v>44733</v>
      </c>
      <c r="D22" s="15">
        <v>19</v>
      </c>
      <c r="E22" s="15"/>
      <c r="F22" s="15">
        <f>(E22/E3)*100</f>
        <v>0</v>
      </c>
      <c r="G22" s="15"/>
      <c r="H22" s="15"/>
      <c r="I22" s="15">
        <f t="shared" si="0"/>
        <v>0</v>
      </c>
    </row>
    <row r="23" spans="1:10" ht="30" customHeight="1" x14ac:dyDescent="0.25">
      <c r="A23" s="23" t="s">
        <v>79</v>
      </c>
      <c r="B23" s="26" t="s">
        <v>83</v>
      </c>
      <c r="C23" s="17">
        <v>44734</v>
      </c>
      <c r="D23" s="15">
        <v>20</v>
      </c>
      <c r="E23" s="15"/>
      <c r="F23" s="15">
        <f>(E23/E3)*100</f>
        <v>0</v>
      </c>
      <c r="G23" s="45"/>
      <c r="H23" s="50"/>
      <c r="I23" s="15">
        <f>(H23*20)/1000</f>
        <v>0</v>
      </c>
      <c r="J23">
        <f>(G23*20)/1000</f>
        <v>0</v>
      </c>
    </row>
    <row r="24" spans="1:10" ht="30" customHeight="1" x14ac:dyDescent="0.25">
      <c r="A24" s="23" t="s">
        <v>79</v>
      </c>
      <c r="B24" s="29" t="s">
        <v>83</v>
      </c>
      <c r="C24" s="17">
        <v>44735</v>
      </c>
      <c r="D24" s="15">
        <v>21</v>
      </c>
      <c r="E24" s="15"/>
      <c r="F24" s="15">
        <f>(E24/E3)*100</f>
        <v>0</v>
      </c>
      <c r="G24" s="46"/>
      <c r="H24" s="50"/>
      <c r="I24" s="15">
        <f>(H24*20)/1000</f>
        <v>0</v>
      </c>
      <c r="J24">
        <f>(G24*20)/1000</f>
        <v>0</v>
      </c>
    </row>
    <row r="25" spans="1:10" ht="30" customHeight="1" x14ac:dyDescent="0.25">
      <c r="A25" s="30"/>
      <c r="B25" s="30" t="s">
        <v>83</v>
      </c>
      <c r="C25" s="17">
        <v>44736</v>
      </c>
      <c r="D25" s="15">
        <v>22</v>
      </c>
      <c r="E25" s="15"/>
      <c r="F25" s="15">
        <f>(E25/E3)*100</f>
        <v>0</v>
      </c>
      <c r="G25" s="47"/>
      <c r="H25" s="50"/>
      <c r="I25" s="15">
        <f>(H25*20)/1000</f>
        <v>0</v>
      </c>
      <c r="J25">
        <f>(G25*20)/1000</f>
        <v>0</v>
      </c>
    </row>
    <row r="26" spans="1:10" ht="30" customHeight="1" x14ac:dyDescent="0.25">
      <c r="A26" s="32"/>
      <c r="B26" s="33"/>
      <c r="C26" s="17"/>
      <c r="D26" s="15"/>
      <c r="E26" s="15"/>
      <c r="F26" s="15"/>
      <c r="G26" s="45"/>
      <c r="H26" s="49"/>
      <c r="I26" s="15">
        <f>(H26*20)/1000</f>
        <v>0</v>
      </c>
      <c r="J26">
        <f>(G26*20)/1000</f>
        <v>0</v>
      </c>
    </row>
    <row r="27" spans="1:10" ht="30" customHeight="1" x14ac:dyDescent="0.25">
      <c r="A27" s="32"/>
      <c r="B27" s="33"/>
      <c r="C27" s="17"/>
      <c r="D27" s="15"/>
      <c r="E27" s="15"/>
      <c r="F27" s="15"/>
      <c r="G27" s="48"/>
      <c r="H27" s="51"/>
      <c r="I27" s="15">
        <f>(H27*20)/1000</f>
        <v>0</v>
      </c>
      <c r="J27">
        <f>(G27*20)/1000</f>
        <v>0</v>
      </c>
    </row>
    <row r="28" spans="1:10" ht="30" customHeight="1" x14ac:dyDescent="0.25">
      <c r="B28" s="33"/>
      <c r="C28" s="17"/>
      <c r="D28" s="15"/>
      <c r="F28" s="15"/>
      <c r="G28" s="15"/>
      <c r="I28" s="15">
        <f t="shared" si="0"/>
        <v>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63A77-12CA-4662-944D-32F496877D68}">
  <dimension ref="A1:K31"/>
  <sheetViews>
    <sheetView tabSelected="1" workbookViewId="0">
      <selection activeCell="A14" sqref="A14:XFD14"/>
    </sheetView>
  </sheetViews>
  <sheetFormatPr defaultRowHeight="15" x14ac:dyDescent="0.25"/>
  <cols>
    <col min="1" max="1" width="23.140625" customWidth="1"/>
    <col min="2" max="9" width="20.5703125" customWidth="1"/>
  </cols>
  <sheetData>
    <row r="1" spans="1:11" ht="30" customHeight="1" x14ac:dyDescent="0.25">
      <c r="A1" s="13" t="s">
        <v>62</v>
      </c>
      <c r="B1" s="12"/>
      <c r="C1" s="12"/>
      <c r="D1" s="5"/>
      <c r="E1" s="12"/>
      <c r="F1" s="12"/>
      <c r="G1" s="12"/>
      <c r="H1" s="12"/>
      <c r="I1" s="12"/>
    </row>
    <row r="2" spans="1:11" ht="30" customHeight="1" thickBot="1" x14ac:dyDescent="0.3">
      <c r="A2" s="13" t="s">
        <v>106</v>
      </c>
      <c r="B2" s="14" t="s">
        <v>64</v>
      </c>
      <c r="C2" s="14" t="s">
        <v>0</v>
      </c>
      <c r="D2" s="14" t="s">
        <v>1</v>
      </c>
      <c r="E2" s="14" t="s">
        <v>65</v>
      </c>
      <c r="F2" s="14" t="s">
        <v>66</v>
      </c>
      <c r="G2" s="14"/>
      <c r="H2" s="14" t="s">
        <v>67</v>
      </c>
      <c r="I2" s="14" t="s">
        <v>68</v>
      </c>
      <c r="K2" s="34" t="s">
        <v>69</v>
      </c>
    </row>
    <row r="3" spans="1:11" ht="30" customHeight="1" thickTop="1" thickBot="1" x14ac:dyDescent="0.3">
      <c r="A3" s="18" t="s">
        <v>70</v>
      </c>
      <c r="B3" s="24" t="s">
        <v>107</v>
      </c>
      <c r="C3" s="17">
        <v>44714</v>
      </c>
      <c r="D3" s="15">
        <v>0</v>
      </c>
      <c r="E3" s="15">
        <v>19.5</v>
      </c>
      <c r="F3" s="15"/>
      <c r="G3" s="15"/>
      <c r="H3" s="15"/>
      <c r="I3" s="15"/>
    </row>
    <row r="4" spans="1:11" ht="30" customHeight="1" thickTop="1" thickBot="1" x14ac:dyDescent="0.3">
      <c r="A4" s="19" t="s">
        <v>72</v>
      </c>
      <c r="B4" s="25" t="s">
        <v>107</v>
      </c>
      <c r="C4" s="17">
        <v>44715</v>
      </c>
      <c r="D4" s="15">
        <v>1</v>
      </c>
      <c r="E4" s="15">
        <v>19.600000000000001</v>
      </c>
      <c r="F4" s="15">
        <f>(E4/E3)*100</f>
        <v>100.51282051282051</v>
      </c>
      <c r="G4" s="15"/>
      <c r="H4" s="15">
        <v>236</v>
      </c>
      <c r="I4" s="15">
        <f>(H4*20)/1000</f>
        <v>4.72</v>
      </c>
    </row>
    <row r="5" spans="1:11" ht="30" customHeight="1" thickTop="1" thickBot="1" x14ac:dyDescent="0.3">
      <c r="A5" s="19" t="s">
        <v>72</v>
      </c>
      <c r="B5" s="26" t="s">
        <v>107</v>
      </c>
      <c r="C5" s="17">
        <v>44716</v>
      </c>
      <c r="D5" s="15">
        <v>2</v>
      </c>
      <c r="E5" s="15">
        <v>19.2</v>
      </c>
      <c r="F5" s="15">
        <f>(E5/E3)*100</f>
        <v>98.461538461538453</v>
      </c>
      <c r="G5" s="15"/>
      <c r="H5" s="15">
        <f>430-236</f>
        <v>194</v>
      </c>
      <c r="I5" s="15">
        <f>(H5*20)/1000</f>
        <v>3.88</v>
      </c>
    </row>
    <row r="6" spans="1:11" ht="30" customHeight="1" thickTop="1" thickBot="1" x14ac:dyDescent="0.3">
      <c r="A6" s="31" t="s">
        <v>74</v>
      </c>
      <c r="B6" s="25" t="s">
        <v>107</v>
      </c>
      <c r="C6" s="17">
        <v>44717</v>
      </c>
      <c r="D6" s="15">
        <v>3</v>
      </c>
      <c r="E6" s="15">
        <v>19.7</v>
      </c>
      <c r="F6" s="15">
        <f>(E6/E3)*100</f>
        <v>101.02564102564102</v>
      </c>
      <c r="G6" s="15"/>
      <c r="H6" s="15">
        <f>662-430</f>
        <v>232</v>
      </c>
      <c r="I6" s="15">
        <f t="shared" ref="I6:I22" si="0">(H6*20)/1000</f>
        <v>4.6399999999999997</v>
      </c>
    </row>
    <row r="7" spans="1:11" ht="30" customHeight="1" thickTop="1" thickBot="1" x14ac:dyDescent="0.3">
      <c r="A7" s="22" t="s">
        <v>74</v>
      </c>
      <c r="B7" s="27" t="s">
        <v>107</v>
      </c>
      <c r="C7" s="17">
        <v>44718</v>
      </c>
      <c r="D7" s="15">
        <v>4</v>
      </c>
      <c r="E7" s="15">
        <v>18.7</v>
      </c>
      <c r="F7" s="15">
        <f>(E7/E3)*100</f>
        <v>95.897435897435884</v>
      </c>
      <c r="G7" s="15"/>
      <c r="H7" s="54">
        <f>203-7</f>
        <v>196</v>
      </c>
      <c r="I7" s="15">
        <f t="shared" si="0"/>
        <v>3.92</v>
      </c>
      <c r="K7">
        <v>7</v>
      </c>
    </row>
    <row r="8" spans="1:11" ht="30" customHeight="1" thickTop="1" thickBot="1" x14ac:dyDescent="0.3">
      <c r="A8" s="22" t="s">
        <v>74</v>
      </c>
      <c r="B8" s="25" t="s">
        <v>107</v>
      </c>
      <c r="C8" s="17">
        <v>44719</v>
      </c>
      <c r="D8" s="15">
        <v>5</v>
      </c>
      <c r="E8" s="15">
        <v>18.2</v>
      </c>
      <c r="F8" s="15">
        <f>(E8/E3)*100</f>
        <v>93.333333333333329</v>
      </c>
      <c r="G8" s="15"/>
      <c r="H8" s="54">
        <v>184</v>
      </c>
      <c r="I8" s="15">
        <f t="shared" si="0"/>
        <v>3.68</v>
      </c>
      <c r="K8">
        <v>4</v>
      </c>
    </row>
    <row r="9" spans="1:11" ht="30" customHeight="1" thickTop="1" thickBot="1" x14ac:dyDescent="0.3">
      <c r="A9" s="22" t="s">
        <v>74</v>
      </c>
      <c r="B9" s="26" t="s">
        <v>107</v>
      </c>
      <c r="C9" s="17">
        <v>44720</v>
      </c>
      <c r="D9" s="15">
        <v>6</v>
      </c>
      <c r="E9" s="15">
        <v>18.8</v>
      </c>
      <c r="F9" s="15">
        <f>(E9/E3)*100</f>
        <v>96.410256410256409</v>
      </c>
      <c r="G9" s="15"/>
      <c r="H9" s="54">
        <v>219</v>
      </c>
      <c r="I9" s="15">
        <f t="shared" si="0"/>
        <v>4.38</v>
      </c>
      <c r="K9">
        <v>10</v>
      </c>
    </row>
    <row r="10" spans="1:11" ht="30" customHeight="1" thickTop="1" thickBot="1" x14ac:dyDescent="0.3">
      <c r="A10" s="22" t="s">
        <v>74</v>
      </c>
      <c r="B10" s="25" t="s">
        <v>107</v>
      </c>
      <c r="C10" s="17">
        <v>44721</v>
      </c>
      <c r="D10" s="15">
        <v>7</v>
      </c>
      <c r="E10" s="55">
        <v>15.9</v>
      </c>
      <c r="F10" s="15">
        <f>(E10/E3)*100</f>
        <v>81.538461538461533</v>
      </c>
      <c r="G10" s="15"/>
      <c r="H10" s="15">
        <f>622-620</f>
        <v>2</v>
      </c>
      <c r="I10" s="15">
        <f t="shared" si="0"/>
        <v>0.04</v>
      </c>
    </row>
    <row r="11" spans="1:11" ht="30" customHeight="1" thickTop="1" thickBot="1" x14ac:dyDescent="0.3">
      <c r="A11" s="22" t="s">
        <v>74</v>
      </c>
      <c r="B11" s="26" t="s">
        <v>107</v>
      </c>
      <c r="C11" s="17">
        <v>44722</v>
      </c>
      <c r="D11" s="15">
        <v>8</v>
      </c>
      <c r="E11" s="55">
        <v>15.1</v>
      </c>
      <c r="F11" s="15">
        <f>(E11/E3)*100</f>
        <v>77.435897435897445</v>
      </c>
      <c r="G11" s="15"/>
      <c r="H11" s="15">
        <f>624-622</f>
        <v>2</v>
      </c>
      <c r="I11" s="15">
        <f t="shared" si="0"/>
        <v>0.04</v>
      </c>
    </row>
    <row r="12" spans="1:11" ht="30" customHeight="1" thickTop="1" thickBot="1" x14ac:dyDescent="0.3">
      <c r="A12" s="22" t="s">
        <v>74</v>
      </c>
      <c r="B12" s="25" t="s">
        <v>107</v>
      </c>
      <c r="C12" s="17">
        <v>44723</v>
      </c>
      <c r="D12" s="15">
        <v>9</v>
      </c>
      <c r="E12" s="55">
        <v>15.4</v>
      </c>
      <c r="F12" s="15">
        <f>(E12/E3)*100</f>
        <v>78.974358974358978</v>
      </c>
      <c r="G12" s="15"/>
      <c r="H12" s="15">
        <f>626-624</f>
        <v>2</v>
      </c>
      <c r="I12" s="15">
        <f t="shared" si="0"/>
        <v>0.04</v>
      </c>
    </row>
    <row r="13" spans="1:11" ht="30" customHeight="1" thickTop="1" thickBot="1" x14ac:dyDescent="0.3">
      <c r="A13" s="20" t="s">
        <v>73</v>
      </c>
      <c r="B13" s="26" t="s">
        <v>107</v>
      </c>
      <c r="C13" s="17">
        <v>44724</v>
      </c>
      <c r="D13" s="15">
        <v>10</v>
      </c>
      <c r="E13" s="57">
        <v>15.4</v>
      </c>
      <c r="F13" s="15">
        <f>(E13/E3)*100</f>
        <v>78.974358974358978</v>
      </c>
      <c r="G13" s="15"/>
      <c r="H13" s="15">
        <v>0</v>
      </c>
      <c r="I13" s="15">
        <f t="shared" si="0"/>
        <v>0</v>
      </c>
    </row>
    <row r="14" spans="1:11" ht="30" customHeight="1" thickTop="1" thickBot="1" x14ac:dyDescent="0.3">
      <c r="A14" s="21" t="s">
        <v>73</v>
      </c>
      <c r="B14" s="25" t="s">
        <v>107</v>
      </c>
      <c r="C14" s="17">
        <v>44725</v>
      </c>
      <c r="D14" s="15">
        <v>11</v>
      </c>
      <c r="E14" s="55">
        <v>15.1</v>
      </c>
      <c r="F14" s="15">
        <f>(E14/E3)*100</f>
        <v>77.435897435897445</v>
      </c>
      <c r="G14" s="15"/>
      <c r="H14" s="15">
        <v>0</v>
      </c>
      <c r="I14" s="15">
        <f t="shared" si="0"/>
        <v>0</v>
      </c>
    </row>
    <row r="15" spans="1:11" ht="30" customHeight="1" thickTop="1" thickBot="1" x14ac:dyDescent="0.3">
      <c r="A15" s="21" t="s">
        <v>73</v>
      </c>
      <c r="B15" s="26" t="s">
        <v>107</v>
      </c>
      <c r="C15" s="17">
        <v>44726</v>
      </c>
      <c r="D15" s="15">
        <v>12</v>
      </c>
      <c r="E15" s="15"/>
      <c r="F15" s="15">
        <f>(E15/E3)*100</f>
        <v>0</v>
      </c>
      <c r="G15" s="15"/>
      <c r="H15" s="15"/>
      <c r="I15" s="15">
        <f t="shared" si="0"/>
        <v>0</v>
      </c>
    </row>
    <row r="16" spans="1:11" ht="30" customHeight="1" thickTop="1" thickBot="1" x14ac:dyDescent="0.3">
      <c r="A16" s="21" t="s">
        <v>73</v>
      </c>
      <c r="B16" s="25" t="s">
        <v>107</v>
      </c>
      <c r="C16" s="17">
        <v>44727</v>
      </c>
      <c r="D16" s="15">
        <v>13</v>
      </c>
      <c r="E16" s="15"/>
      <c r="F16" s="15">
        <f>(E16/E3)*100</f>
        <v>0</v>
      </c>
      <c r="G16" s="15"/>
      <c r="H16" s="15"/>
      <c r="I16" s="15">
        <f t="shared" si="0"/>
        <v>0</v>
      </c>
    </row>
    <row r="17" spans="1:10" ht="30" customHeight="1" thickTop="1" thickBot="1" x14ac:dyDescent="0.3">
      <c r="A17" s="21" t="s">
        <v>73</v>
      </c>
      <c r="B17" s="26" t="s">
        <v>107</v>
      </c>
      <c r="C17" s="17">
        <v>44728</v>
      </c>
      <c r="D17" s="15">
        <v>14</v>
      </c>
      <c r="E17" s="15"/>
      <c r="F17" s="15">
        <f>(E17/E3)*100</f>
        <v>0</v>
      </c>
      <c r="G17" s="15"/>
      <c r="H17" s="15"/>
      <c r="I17" s="15">
        <f t="shared" si="0"/>
        <v>0</v>
      </c>
    </row>
    <row r="18" spans="1:10" ht="30" customHeight="1" thickTop="1" thickBot="1" x14ac:dyDescent="0.3">
      <c r="A18" s="21" t="s">
        <v>73</v>
      </c>
      <c r="B18" s="25" t="s">
        <v>107</v>
      </c>
      <c r="C18" s="17">
        <v>44729</v>
      </c>
      <c r="D18" s="15">
        <v>15</v>
      </c>
      <c r="E18" s="15"/>
      <c r="F18" s="15">
        <f>(E18/E3)*100</f>
        <v>0</v>
      </c>
      <c r="G18" s="15"/>
      <c r="H18" s="15"/>
      <c r="I18" s="15">
        <f t="shared" si="0"/>
        <v>0</v>
      </c>
    </row>
    <row r="19" spans="1:10" ht="30" customHeight="1" thickTop="1" thickBot="1" x14ac:dyDescent="0.3">
      <c r="A19" s="21" t="s">
        <v>73</v>
      </c>
      <c r="B19" s="26" t="s">
        <v>107</v>
      </c>
      <c r="C19" s="17">
        <v>44730</v>
      </c>
      <c r="D19" s="15">
        <v>16</v>
      </c>
      <c r="E19" s="15"/>
      <c r="F19" s="15">
        <f>(E19/E3)*100</f>
        <v>0</v>
      </c>
      <c r="G19" s="15"/>
      <c r="H19" s="15"/>
      <c r="I19" s="15">
        <f t="shared" si="0"/>
        <v>0</v>
      </c>
    </row>
    <row r="20" spans="1:10" ht="30" customHeight="1" thickTop="1" thickBot="1" x14ac:dyDescent="0.3">
      <c r="A20" s="21" t="s">
        <v>102</v>
      </c>
      <c r="B20" s="25" t="s">
        <v>107</v>
      </c>
      <c r="C20" s="17">
        <v>44731</v>
      </c>
      <c r="D20" s="15">
        <v>17</v>
      </c>
      <c r="E20" s="15"/>
      <c r="F20" s="15">
        <f>(E20/E3)*100</f>
        <v>0</v>
      </c>
      <c r="G20" s="15"/>
      <c r="H20" s="15"/>
      <c r="I20" s="15">
        <f t="shared" si="0"/>
        <v>0</v>
      </c>
    </row>
    <row r="21" spans="1:10" ht="30" customHeight="1" thickTop="1" thickBot="1" x14ac:dyDescent="0.3">
      <c r="A21" s="21" t="s">
        <v>103</v>
      </c>
      <c r="B21" s="26" t="s">
        <v>107</v>
      </c>
      <c r="C21" s="17">
        <v>44732</v>
      </c>
      <c r="D21" s="15">
        <v>18</v>
      </c>
      <c r="E21" s="15"/>
      <c r="F21" s="15">
        <f>(E21/E3)*100</f>
        <v>0</v>
      </c>
      <c r="G21" s="15"/>
      <c r="H21" s="15"/>
      <c r="I21" s="15">
        <f t="shared" si="0"/>
        <v>0</v>
      </c>
    </row>
    <row r="22" spans="1:10" ht="30" customHeight="1" thickTop="1" thickBot="1" x14ac:dyDescent="0.3">
      <c r="A22" s="23" t="s">
        <v>79</v>
      </c>
      <c r="B22" s="25" t="s">
        <v>86</v>
      </c>
      <c r="C22" s="17">
        <v>44733</v>
      </c>
      <c r="D22" s="15">
        <v>19</v>
      </c>
      <c r="E22" s="15"/>
      <c r="F22" s="15">
        <f>(E22/E3)*100</f>
        <v>0</v>
      </c>
      <c r="G22" s="15"/>
      <c r="H22" s="15"/>
      <c r="I22" s="15">
        <f t="shared" si="0"/>
        <v>0</v>
      </c>
    </row>
    <row r="23" spans="1:10" ht="30" customHeight="1" thickTop="1" thickBot="1" x14ac:dyDescent="0.3">
      <c r="A23" s="23" t="s">
        <v>79</v>
      </c>
      <c r="B23" s="26" t="s">
        <v>86</v>
      </c>
      <c r="C23" s="17">
        <v>44734</v>
      </c>
      <c r="D23" s="15">
        <v>20</v>
      </c>
      <c r="E23" s="15"/>
      <c r="F23" s="15">
        <f>(E23/E3)*100</f>
        <v>0</v>
      </c>
      <c r="G23" s="45"/>
      <c r="H23" s="50"/>
      <c r="I23" s="15">
        <f>(H23*20)/1000</f>
        <v>0</v>
      </c>
      <c r="J23">
        <f>(G23*20)/1000</f>
        <v>0</v>
      </c>
    </row>
    <row r="24" spans="1:10" ht="30" customHeight="1" thickTop="1" thickBot="1" x14ac:dyDescent="0.3">
      <c r="A24" s="23" t="s">
        <v>79</v>
      </c>
      <c r="B24" s="29" t="s">
        <v>86</v>
      </c>
      <c r="C24" s="17">
        <v>44735</v>
      </c>
      <c r="D24" s="15">
        <v>21</v>
      </c>
      <c r="E24" s="15"/>
      <c r="F24" s="15">
        <f>(E24/E3)*100</f>
        <v>0</v>
      </c>
      <c r="G24" s="46"/>
      <c r="H24" s="50"/>
      <c r="I24" s="15">
        <f>(H24*20)/1000</f>
        <v>0</v>
      </c>
      <c r="J24">
        <f>(G24*20)/1000</f>
        <v>0</v>
      </c>
    </row>
    <row r="25" spans="1:10" ht="30" customHeight="1" thickTop="1" x14ac:dyDescent="0.25">
      <c r="A25" s="30"/>
      <c r="B25" s="30" t="s">
        <v>86</v>
      </c>
      <c r="C25" s="17">
        <v>44736</v>
      </c>
      <c r="D25" s="15">
        <v>22</v>
      </c>
      <c r="E25" s="15"/>
      <c r="F25" s="15">
        <f>(E25/E3)*100</f>
        <v>0</v>
      </c>
      <c r="G25" s="47"/>
      <c r="H25" s="50"/>
      <c r="I25" s="15">
        <f>(H25*20)/1000</f>
        <v>0</v>
      </c>
      <c r="J25">
        <f>(G25*20)/1000</f>
        <v>0</v>
      </c>
    </row>
    <row r="26" spans="1:10" ht="30" customHeight="1" x14ac:dyDescent="0.25">
      <c r="A26" s="32"/>
      <c r="B26" s="33"/>
      <c r="C26" s="17"/>
      <c r="D26" s="15"/>
      <c r="E26" s="15"/>
      <c r="F26" s="15"/>
      <c r="G26" s="45"/>
      <c r="H26" s="49"/>
      <c r="I26" s="15">
        <f>(H26*20)/1000</f>
        <v>0</v>
      </c>
      <c r="J26">
        <f>(G26*20)/1000</f>
        <v>0</v>
      </c>
    </row>
    <row r="27" spans="1:10" ht="30" customHeight="1" x14ac:dyDescent="0.25">
      <c r="A27" s="32"/>
      <c r="B27" s="33"/>
      <c r="C27" s="17"/>
      <c r="D27" s="15"/>
      <c r="E27" s="15"/>
      <c r="F27" s="15"/>
      <c r="G27" s="48"/>
      <c r="H27" s="51"/>
      <c r="I27" s="15">
        <f>(H27*20)/1000</f>
        <v>0</v>
      </c>
      <c r="J27">
        <f>(G27*20)/1000</f>
        <v>0</v>
      </c>
    </row>
    <row r="28" spans="1:10" ht="30" customHeight="1" x14ac:dyDescent="0.25">
      <c r="B28" s="33"/>
      <c r="C28" s="17"/>
      <c r="D28" s="15"/>
      <c r="F28" s="15"/>
      <c r="G28" s="15"/>
      <c r="I28" s="15">
        <f t="shared" ref="I28" si="1">(H28*20)/1000</f>
        <v>0</v>
      </c>
    </row>
    <row r="31" spans="1:10" ht="300" customHeight="1" x14ac:dyDescent="0.25">
      <c r="A31" t="s">
        <v>108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7E27-CB40-46C3-9F72-F1B7AA2D473B}">
  <dimension ref="A1:K28"/>
  <sheetViews>
    <sheetView topLeftCell="A13" workbookViewId="0">
      <selection activeCell="H20" sqref="H20"/>
    </sheetView>
  </sheetViews>
  <sheetFormatPr defaultRowHeight="15" x14ac:dyDescent="0.25"/>
  <cols>
    <col min="1" max="10" width="20.5703125" customWidth="1"/>
  </cols>
  <sheetData>
    <row r="1" spans="1:11" ht="30" customHeight="1" x14ac:dyDescent="0.25">
      <c r="A1" s="13" t="s">
        <v>62</v>
      </c>
      <c r="B1" s="12"/>
      <c r="C1" s="12"/>
      <c r="D1" s="5"/>
      <c r="E1" s="12"/>
      <c r="F1" s="12"/>
      <c r="G1" s="12"/>
      <c r="H1" s="12"/>
      <c r="I1" s="12"/>
    </row>
    <row r="2" spans="1:11" ht="30" customHeight="1" thickBot="1" x14ac:dyDescent="0.3">
      <c r="A2" s="13" t="s">
        <v>109</v>
      </c>
      <c r="B2" s="14" t="s">
        <v>64</v>
      </c>
      <c r="C2" s="14" t="s">
        <v>0</v>
      </c>
      <c r="D2" s="14" t="s">
        <v>1</v>
      </c>
      <c r="E2" s="14" t="s">
        <v>65</v>
      </c>
      <c r="F2" s="14" t="s">
        <v>66</v>
      </c>
      <c r="G2" s="14"/>
      <c r="H2" s="14" t="s">
        <v>67</v>
      </c>
      <c r="I2" s="14" t="s">
        <v>68</v>
      </c>
      <c r="K2" s="34" t="s">
        <v>69</v>
      </c>
    </row>
    <row r="3" spans="1:11" ht="30" customHeight="1" x14ac:dyDescent="0.25">
      <c r="A3" s="18" t="s">
        <v>70</v>
      </c>
      <c r="B3" s="24" t="s">
        <v>110</v>
      </c>
      <c r="C3" s="17">
        <v>44714</v>
      </c>
      <c r="D3" s="15">
        <v>0</v>
      </c>
      <c r="E3" s="15">
        <v>22.7</v>
      </c>
      <c r="F3" s="15"/>
      <c r="G3" s="15"/>
      <c r="H3" s="15"/>
      <c r="I3" s="15"/>
    </row>
    <row r="4" spans="1:11" ht="30" customHeight="1" x14ac:dyDescent="0.25">
      <c r="A4" s="19" t="s">
        <v>72</v>
      </c>
      <c r="B4" s="25" t="s">
        <v>110</v>
      </c>
      <c r="C4" s="17">
        <v>44715</v>
      </c>
      <c r="D4" s="15">
        <v>1</v>
      </c>
      <c r="E4" s="15">
        <v>22.6</v>
      </c>
      <c r="F4" s="15">
        <f>(E4/E3)*100</f>
        <v>99.559471365638771</v>
      </c>
      <c r="G4" s="15"/>
      <c r="H4" s="15">
        <v>285</v>
      </c>
      <c r="I4" s="15">
        <f>(H4*20)/1000</f>
        <v>5.7</v>
      </c>
    </row>
    <row r="5" spans="1:11" ht="30" customHeight="1" x14ac:dyDescent="0.25">
      <c r="A5" s="19" t="s">
        <v>72</v>
      </c>
      <c r="B5" s="26" t="s">
        <v>110</v>
      </c>
      <c r="C5" s="17">
        <v>44716</v>
      </c>
      <c r="D5" s="15">
        <v>2</v>
      </c>
      <c r="E5" s="15">
        <v>22.7</v>
      </c>
      <c r="F5" s="15">
        <f>(E5/E3)*100</f>
        <v>100</v>
      </c>
      <c r="G5" s="15"/>
      <c r="H5" s="15">
        <f>489-285</f>
        <v>204</v>
      </c>
      <c r="I5" s="15">
        <f>(H5*20)/1000</f>
        <v>4.08</v>
      </c>
    </row>
    <row r="6" spans="1:11" ht="30" customHeight="1" x14ac:dyDescent="0.25">
      <c r="A6" s="31" t="s">
        <v>74</v>
      </c>
      <c r="B6" s="25" t="s">
        <v>110</v>
      </c>
      <c r="C6" s="17">
        <v>44717</v>
      </c>
      <c r="D6" s="15">
        <v>3</v>
      </c>
      <c r="E6" s="15">
        <v>22.9</v>
      </c>
      <c r="F6" s="15">
        <f>(E6/E3)*100</f>
        <v>100.88105726872247</v>
      </c>
      <c r="G6" s="15"/>
      <c r="H6" s="15">
        <f>705-489</f>
        <v>216</v>
      </c>
      <c r="I6" s="15">
        <f t="shared" ref="I6:I28" si="0">(H6*20)/1000</f>
        <v>4.32</v>
      </c>
    </row>
    <row r="7" spans="1:11" ht="30" customHeight="1" x14ac:dyDescent="0.25">
      <c r="A7" s="22" t="s">
        <v>74</v>
      </c>
      <c r="B7" s="27" t="s">
        <v>110</v>
      </c>
      <c r="C7" s="17">
        <v>44718</v>
      </c>
      <c r="D7" s="15">
        <v>4</v>
      </c>
      <c r="E7" s="15">
        <v>21.8</v>
      </c>
      <c r="F7" s="15">
        <f>(E7/E3)*100</f>
        <v>96.035242290748897</v>
      </c>
      <c r="G7" s="15"/>
      <c r="H7" s="15">
        <v>184</v>
      </c>
      <c r="I7" s="15">
        <f t="shared" si="0"/>
        <v>3.68</v>
      </c>
    </row>
    <row r="8" spans="1:11" ht="30" customHeight="1" x14ac:dyDescent="0.25">
      <c r="A8" s="22" t="s">
        <v>74</v>
      </c>
      <c r="B8" s="25" t="s">
        <v>110</v>
      </c>
      <c r="C8" s="17">
        <v>44719</v>
      </c>
      <c r="D8" s="15">
        <v>5</v>
      </c>
      <c r="E8" s="15">
        <v>21.8</v>
      </c>
      <c r="F8" s="15">
        <f>(E8/E3)*100</f>
        <v>96.035242290748897</v>
      </c>
      <c r="G8" s="15"/>
      <c r="H8" s="15">
        <f>364-184</f>
        <v>180</v>
      </c>
      <c r="I8" s="15">
        <f t="shared" si="0"/>
        <v>3.6</v>
      </c>
    </row>
    <row r="9" spans="1:11" ht="30" customHeight="1" x14ac:dyDescent="0.25">
      <c r="A9" s="22" t="s">
        <v>74</v>
      </c>
      <c r="B9" s="26" t="s">
        <v>110</v>
      </c>
      <c r="C9" s="17">
        <v>44720</v>
      </c>
      <c r="D9" s="15">
        <v>6</v>
      </c>
      <c r="E9" s="15">
        <v>22.2</v>
      </c>
      <c r="F9" s="15">
        <f>(E9/E3)*100</f>
        <v>97.797356828193841</v>
      </c>
      <c r="G9" s="15"/>
      <c r="H9" s="54">
        <v>213</v>
      </c>
      <c r="I9" s="15">
        <f t="shared" si="0"/>
        <v>4.26</v>
      </c>
      <c r="K9">
        <v>5</v>
      </c>
    </row>
    <row r="10" spans="1:11" ht="30" customHeight="1" x14ac:dyDescent="0.25">
      <c r="A10" s="22" t="s">
        <v>74</v>
      </c>
      <c r="B10" s="25" t="s">
        <v>110</v>
      </c>
      <c r="C10" s="17">
        <v>44721</v>
      </c>
      <c r="D10" s="15">
        <v>7</v>
      </c>
      <c r="E10" s="15">
        <v>19.600000000000001</v>
      </c>
      <c r="F10" s="15">
        <f>(E10/E3)*100</f>
        <v>86.343612334801762</v>
      </c>
      <c r="G10" s="15"/>
      <c r="H10" s="15">
        <f>709-517</f>
        <v>192</v>
      </c>
      <c r="I10" s="15">
        <f t="shared" si="0"/>
        <v>3.84</v>
      </c>
    </row>
    <row r="11" spans="1:11" ht="30" customHeight="1" x14ac:dyDescent="0.25">
      <c r="A11" s="22" t="s">
        <v>74</v>
      </c>
      <c r="B11" s="26" t="s">
        <v>110</v>
      </c>
      <c r="C11" s="17">
        <v>44722</v>
      </c>
      <c r="D11" s="15">
        <v>8</v>
      </c>
      <c r="E11" s="15">
        <v>19.8</v>
      </c>
      <c r="F11" s="15">
        <f>(E11/E3)*100</f>
        <v>87.224669603524234</v>
      </c>
      <c r="G11" s="15"/>
      <c r="H11" s="15">
        <f>901-708</f>
        <v>193</v>
      </c>
      <c r="I11" s="15">
        <f t="shared" si="0"/>
        <v>3.86</v>
      </c>
    </row>
    <row r="12" spans="1:11" ht="30" customHeight="1" x14ac:dyDescent="0.25">
      <c r="A12" s="22" t="s">
        <v>74</v>
      </c>
      <c r="B12" s="25" t="s">
        <v>110</v>
      </c>
      <c r="C12" s="17">
        <v>44723</v>
      </c>
      <c r="D12" s="15">
        <v>9</v>
      </c>
      <c r="E12" s="15">
        <v>19.899999999999999</v>
      </c>
      <c r="F12" s="15">
        <f>(E12/E3)*100</f>
        <v>87.665198237885448</v>
      </c>
      <c r="G12" s="15"/>
      <c r="H12" s="15">
        <f>1099-901</f>
        <v>198</v>
      </c>
      <c r="I12" s="15">
        <f t="shared" si="0"/>
        <v>3.96</v>
      </c>
    </row>
    <row r="13" spans="1:11" ht="30" customHeight="1" thickTop="1" thickBot="1" x14ac:dyDescent="0.3">
      <c r="A13" s="20" t="s">
        <v>73</v>
      </c>
      <c r="B13" s="26" t="s">
        <v>110</v>
      </c>
      <c r="C13" s="17">
        <v>44724</v>
      </c>
      <c r="D13" s="15">
        <v>10</v>
      </c>
      <c r="E13" s="15">
        <v>22.9</v>
      </c>
      <c r="F13" s="15">
        <f>(E13/E3)*100</f>
        <v>100.88105726872247</v>
      </c>
      <c r="G13" s="15"/>
      <c r="H13" s="54">
        <f>216-12</f>
        <v>204</v>
      </c>
      <c r="I13" s="15">
        <f t="shared" si="0"/>
        <v>4.08</v>
      </c>
      <c r="K13">
        <v>12</v>
      </c>
    </row>
    <row r="14" spans="1:11" ht="30" customHeight="1" thickTop="1" thickBot="1" x14ac:dyDescent="0.3">
      <c r="A14" s="21" t="s">
        <v>73</v>
      </c>
      <c r="B14" s="25" t="s">
        <v>110</v>
      </c>
      <c r="C14" s="17">
        <v>44725</v>
      </c>
      <c r="D14" s="15">
        <v>11</v>
      </c>
      <c r="E14" s="15">
        <v>22.9</v>
      </c>
      <c r="F14" s="15">
        <f>(E14/E3)*100</f>
        <v>100.88105726872247</v>
      </c>
      <c r="G14" s="15"/>
      <c r="H14" s="54">
        <v>238</v>
      </c>
      <c r="I14" s="15">
        <f t="shared" si="0"/>
        <v>4.76</v>
      </c>
      <c r="K14">
        <v>20</v>
      </c>
    </row>
    <row r="15" spans="1:11" ht="30" customHeight="1" thickTop="1" thickBot="1" x14ac:dyDescent="0.3">
      <c r="A15" s="21" t="s">
        <v>73</v>
      </c>
      <c r="B15" s="26" t="s">
        <v>110</v>
      </c>
      <c r="C15" s="17">
        <v>44726</v>
      </c>
      <c r="D15" s="15">
        <v>12</v>
      </c>
      <c r="E15" s="15">
        <v>22.9</v>
      </c>
      <c r="F15" s="15">
        <f>(E15/E3)*100</f>
        <v>100.88105726872247</v>
      </c>
      <c r="G15" s="15"/>
      <c r="H15" s="54">
        <f>261-25</f>
        <v>236</v>
      </c>
      <c r="I15" s="15">
        <f t="shared" si="0"/>
        <v>4.72</v>
      </c>
      <c r="K15">
        <v>25</v>
      </c>
    </row>
    <row r="16" spans="1:11" ht="30" customHeight="1" thickTop="1" thickBot="1" x14ac:dyDescent="0.3">
      <c r="A16" s="21" t="s">
        <v>73</v>
      </c>
      <c r="B16" s="25" t="s">
        <v>110</v>
      </c>
      <c r="C16" s="17">
        <v>44727</v>
      </c>
      <c r="D16" s="15">
        <v>13</v>
      </c>
      <c r="E16" s="15">
        <v>23.3</v>
      </c>
      <c r="F16" s="15">
        <f>(E16/E3)*100</f>
        <v>102.6431718061674</v>
      </c>
      <c r="G16" s="15"/>
      <c r="H16" s="54">
        <f>232-40</f>
        <v>192</v>
      </c>
      <c r="I16" s="15">
        <f t="shared" si="0"/>
        <v>3.84</v>
      </c>
      <c r="K16">
        <v>40</v>
      </c>
    </row>
    <row r="17" spans="1:11" ht="30" customHeight="1" thickTop="1" thickBot="1" x14ac:dyDescent="0.3">
      <c r="A17" s="21" t="s">
        <v>73</v>
      </c>
      <c r="B17" s="26" t="s">
        <v>110</v>
      </c>
      <c r="C17" s="17">
        <v>44728</v>
      </c>
      <c r="D17" s="15">
        <v>14</v>
      </c>
      <c r="E17" s="15">
        <v>23.1</v>
      </c>
      <c r="F17" s="15">
        <f>(E17/E3)*100</f>
        <v>101.76211453744494</v>
      </c>
      <c r="G17" s="15"/>
      <c r="H17" s="54">
        <f>191-6</f>
        <v>185</v>
      </c>
      <c r="I17" s="15">
        <f t="shared" si="0"/>
        <v>3.7</v>
      </c>
      <c r="K17">
        <v>6</v>
      </c>
    </row>
    <row r="18" spans="1:11" ht="30" customHeight="1" thickTop="1" thickBot="1" x14ac:dyDescent="0.3">
      <c r="A18" s="21" t="s">
        <v>73</v>
      </c>
      <c r="B18" s="25" t="s">
        <v>110</v>
      </c>
      <c r="C18" s="17">
        <v>44729</v>
      </c>
      <c r="D18" s="15">
        <v>15</v>
      </c>
      <c r="E18" s="15">
        <v>23.3</v>
      </c>
      <c r="F18" s="15">
        <f>(E18/E3)*100</f>
        <v>102.6431718061674</v>
      </c>
      <c r="G18" s="15"/>
      <c r="H18" s="15">
        <f>1111-942</f>
        <v>169</v>
      </c>
      <c r="I18" s="15">
        <f t="shared" si="0"/>
        <v>3.38</v>
      </c>
    </row>
    <row r="19" spans="1:11" ht="30" customHeight="1" thickTop="1" thickBot="1" x14ac:dyDescent="0.3">
      <c r="A19" s="21" t="s">
        <v>73</v>
      </c>
      <c r="B19" s="26" t="s">
        <v>110</v>
      </c>
      <c r="C19" s="17">
        <v>44730</v>
      </c>
      <c r="D19" s="15">
        <v>16</v>
      </c>
      <c r="E19" s="15">
        <v>23.8</v>
      </c>
      <c r="F19" s="15">
        <f>(E19/E3)*100</f>
        <v>104.84581497797359</v>
      </c>
      <c r="G19" s="15"/>
      <c r="H19" s="15">
        <f>1353-1111</f>
        <v>242</v>
      </c>
      <c r="I19" s="15">
        <f t="shared" si="0"/>
        <v>4.84</v>
      </c>
    </row>
    <row r="20" spans="1:11" ht="30" customHeight="1" thickTop="1" thickBot="1" x14ac:dyDescent="0.3">
      <c r="A20" s="21" t="s">
        <v>102</v>
      </c>
      <c r="B20" s="25" t="s">
        <v>110</v>
      </c>
      <c r="C20" s="17">
        <v>44731</v>
      </c>
      <c r="D20" s="15">
        <v>17</v>
      </c>
      <c r="E20" s="15">
        <v>23.8</v>
      </c>
      <c r="F20" s="15">
        <f>(E20/E3)*100</f>
        <v>104.84581497797359</v>
      </c>
      <c r="G20" s="15"/>
      <c r="H20" s="54">
        <f>238-4</f>
        <v>234</v>
      </c>
      <c r="I20" s="15">
        <f t="shared" si="0"/>
        <v>4.68</v>
      </c>
      <c r="K20">
        <v>4</v>
      </c>
    </row>
    <row r="21" spans="1:11" ht="30" customHeight="1" thickTop="1" thickBot="1" x14ac:dyDescent="0.3">
      <c r="A21" s="21" t="s">
        <v>103</v>
      </c>
      <c r="B21" s="26" t="s">
        <v>110</v>
      </c>
      <c r="C21" s="17">
        <v>44732</v>
      </c>
      <c r="D21" s="15">
        <v>18</v>
      </c>
      <c r="E21" s="15"/>
      <c r="F21" s="15">
        <f>(E21/E3)*100</f>
        <v>0</v>
      </c>
      <c r="G21" s="15"/>
      <c r="H21" s="15"/>
      <c r="I21" s="15">
        <f t="shared" si="0"/>
        <v>0</v>
      </c>
    </row>
    <row r="22" spans="1:11" ht="30" customHeight="1" thickTop="1" thickBot="1" x14ac:dyDescent="0.3">
      <c r="A22" s="23" t="s">
        <v>79</v>
      </c>
      <c r="B22" s="25" t="s">
        <v>90</v>
      </c>
      <c r="C22" s="17">
        <v>44733</v>
      </c>
      <c r="D22" s="15">
        <v>19</v>
      </c>
      <c r="E22" s="15"/>
      <c r="F22" s="15">
        <f>(E22/E3)*100</f>
        <v>0</v>
      </c>
      <c r="G22" s="15"/>
      <c r="H22" s="15"/>
      <c r="I22" s="15">
        <f t="shared" si="0"/>
        <v>0</v>
      </c>
    </row>
    <row r="23" spans="1:11" ht="30" customHeight="1" thickTop="1" thickBot="1" x14ac:dyDescent="0.3">
      <c r="A23" s="23" t="s">
        <v>79</v>
      </c>
      <c r="B23" s="26" t="s">
        <v>90</v>
      </c>
      <c r="C23" s="17">
        <v>44734</v>
      </c>
      <c r="D23" s="15">
        <v>20</v>
      </c>
      <c r="E23" s="15"/>
      <c r="F23" s="15">
        <f>(E23/E3)*100</f>
        <v>0</v>
      </c>
      <c r="G23" s="45"/>
      <c r="H23" s="50"/>
      <c r="I23" s="15">
        <f>(H23*20)/1000</f>
        <v>0</v>
      </c>
      <c r="J23">
        <f>(G23*20)/1000</f>
        <v>0</v>
      </c>
    </row>
    <row r="24" spans="1:11" ht="30" customHeight="1" thickTop="1" thickBot="1" x14ac:dyDescent="0.3">
      <c r="A24" s="23" t="s">
        <v>79</v>
      </c>
      <c r="B24" s="29" t="s">
        <v>90</v>
      </c>
      <c r="C24" s="17">
        <v>44735</v>
      </c>
      <c r="D24" s="15">
        <v>21</v>
      </c>
      <c r="E24" s="15"/>
      <c r="F24" s="15">
        <f>(E24/E3)*100</f>
        <v>0</v>
      </c>
      <c r="G24" s="46"/>
      <c r="H24" s="50"/>
      <c r="I24" s="15">
        <f>(H24*20)/1000</f>
        <v>0</v>
      </c>
      <c r="J24">
        <f>(G24*20)/1000</f>
        <v>0</v>
      </c>
    </row>
    <row r="25" spans="1:11" ht="30" customHeight="1" thickTop="1" x14ac:dyDescent="0.25">
      <c r="A25" s="30"/>
      <c r="B25" s="30" t="s">
        <v>90</v>
      </c>
      <c r="C25" s="17">
        <v>44736</v>
      </c>
      <c r="D25" s="15">
        <v>22</v>
      </c>
      <c r="E25" s="15"/>
      <c r="F25" s="15">
        <f>(E25/E3)*100</f>
        <v>0</v>
      </c>
      <c r="G25" s="47"/>
      <c r="H25" s="50"/>
      <c r="I25" s="15">
        <f>(H25*20)/1000</f>
        <v>0</v>
      </c>
      <c r="J25">
        <f>(G25*20)/1000</f>
        <v>0</v>
      </c>
    </row>
    <row r="26" spans="1:11" ht="30" customHeight="1" x14ac:dyDescent="0.25">
      <c r="A26" s="32"/>
      <c r="B26" s="33"/>
      <c r="C26" s="17"/>
      <c r="D26" s="15"/>
      <c r="E26" s="15"/>
      <c r="F26" s="15"/>
      <c r="G26" s="45"/>
      <c r="H26" s="49"/>
      <c r="I26" s="15">
        <f>(H26*20)/1000</f>
        <v>0</v>
      </c>
      <c r="J26">
        <f>(G26*20)/1000</f>
        <v>0</v>
      </c>
    </row>
    <row r="27" spans="1:11" ht="30" customHeight="1" x14ac:dyDescent="0.25">
      <c r="A27" s="32"/>
      <c r="B27" s="33"/>
      <c r="C27" s="17"/>
      <c r="D27" s="15"/>
      <c r="E27" s="15"/>
      <c r="F27" s="15"/>
      <c r="G27" s="48"/>
      <c r="H27" s="51"/>
      <c r="I27" s="15">
        <f>(H27*20)/1000</f>
        <v>0</v>
      </c>
      <c r="J27">
        <f>(G27*20)/1000</f>
        <v>0</v>
      </c>
    </row>
    <row r="28" spans="1:11" ht="30" customHeight="1" x14ac:dyDescent="0.25">
      <c r="B28" s="33"/>
      <c r="C28" s="17"/>
      <c r="D28" s="15"/>
      <c r="F28" s="15"/>
      <c r="G28" s="15"/>
      <c r="I28" s="15">
        <f t="shared" si="0"/>
        <v>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7272-9616-4072-BADB-F04B9ABC4B27}">
  <dimension ref="A1:K29"/>
  <sheetViews>
    <sheetView topLeftCell="A13" workbookViewId="0">
      <selection activeCell="F19" sqref="F19"/>
    </sheetView>
  </sheetViews>
  <sheetFormatPr defaultRowHeight="15" x14ac:dyDescent="0.25"/>
  <cols>
    <col min="1" max="1" width="30.7109375" customWidth="1"/>
    <col min="2" max="10" width="20.5703125" customWidth="1"/>
  </cols>
  <sheetData>
    <row r="1" spans="1:11" ht="30" customHeight="1" x14ac:dyDescent="0.25">
      <c r="A1" s="13" t="s">
        <v>62</v>
      </c>
      <c r="B1" s="12"/>
      <c r="C1" s="12"/>
      <c r="D1" s="5"/>
      <c r="E1" s="12"/>
      <c r="F1" s="12"/>
      <c r="G1" s="12"/>
      <c r="H1" s="12"/>
      <c r="I1" s="12"/>
    </row>
    <row r="2" spans="1:11" ht="30" customHeight="1" thickBot="1" x14ac:dyDescent="0.3">
      <c r="A2" s="13" t="s">
        <v>111</v>
      </c>
      <c r="B2" s="14" t="s">
        <v>64</v>
      </c>
      <c r="C2" s="14" t="s">
        <v>0</v>
      </c>
      <c r="D2" s="14" t="s">
        <v>1</v>
      </c>
      <c r="E2" s="14" t="s">
        <v>65</v>
      </c>
      <c r="F2" s="14" t="s">
        <v>66</v>
      </c>
      <c r="G2" s="14"/>
      <c r="H2" s="14" t="s">
        <v>67</v>
      </c>
      <c r="I2" s="14" t="s">
        <v>68</v>
      </c>
      <c r="K2" s="34" t="s">
        <v>69</v>
      </c>
    </row>
    <row r="3" spans="1:11" ht="30" customHeight="1" thickTop="1" thickBot="1" x14ac:dyDescent="0.3">
      <c r="A3" s="18" t="s">
        <v>70</v>
      </c>
      <c r="B3" s="24" t="s">
        <v>112</v>
      </c>
      <c r="C3" s="17">
        <v>44714</v>
      </c>
      <c r="D3" s="15">
        <v>0</v>
      </c>
      <c r="E3" s="15">
        <v>19.100000000000001</v>
      </c>
      <c r="F3" s="15"/>
      <c r="G3" s="15"/>
      <c r="H3" s="15"/>
      <c r="I3" s="15"/>
    </row>
    <row r="4" spans="1:11" ht="30" customHeight="1" thickTop="1" thickBot="1" x14ac:dyDescent="0.3">
      <c r="A4" s="19" t="s">
        <v>72</v>
      </c>
      <c r="B4" s="25" t="s">
        <v>112</v>
      </c>
      <c r="C4" s="17">
        <v>44715</v>
      </c>
      <c r="D4" s="15">
        <v>1</v>
      </c>
      <c r="E4" s="15">
        <v>19.399999999999999</v>
      </c>
      <c r="F4" s="15">
        <f>(E4/E3)*100</f>
        <v>101.57068062827224</v>
      </c>
      <c r="G4" s="15"/>
      <c r="H4" s="15">
        <v>298</v>
      </c>
      <c r="I4" s="15">
        <f>(H4*20)/1000</f>
        <v>5.96</v>
      </c>
    </row>
    <row r="5" spans="1:11" ht="30" customHeight="1" thickTop="1" thickBot="1" x14ac:dyDescent="0.3">
      <c r="A5" s="19" t="s">
        <v>72</v>
      </c>
      <c r="B5" s="26" t="s">
        <v>112</v>
      </c>
      <c r="C5" s="17">
        <v>44716</v>
      </c>
      <c r="D5" s="15">
        <v>2</v>
      </c>
      <c r="E5" s="15">
        <v>19.8</v>
      </c>
      <c r="F5" s="15">
        <f>(E5/E3)*100</f>
        <v>103.66492146596858</v>
      </c>
      <c r="G5" s="15"/>
      <c r="H5" s="15">
        <f>524-298</f>
        <v>226</v>
      </c>
      <c r="I5" s="15">
        <f>(H5*20)/1000</f>
        <v>4.5199999999999996</v>
      </c>
    </row>
    <row r="6" spans="1:11" ht="30" customHeight="1" thickTop="1" thickBot="1" x14ac:dyDescent="0.3">
      <c r="A6" s="31" t="s">
        <v>74</v>
      </c>
      <c r="B6" s="25" t="s">
        <v>112</v>
      </c>
      <c r="C6" s="17">
        <v>44717</v>
      </c>
      <c r="D6" s="15">
        <v>3</v>
      </c>
      <c r="E6" s="15">
        <v>19.899999999999999</v>
      </c>
      <c r="F6" s="15">
        <f>(E6/E3)*100</f>
        <v>104.18848167539265</v>
      </c>
      <c r="G6" s="15"/>
      <c r="H6" s="15">
        <f>763-524</f>
        <v>239</v>
      </c>
      <c r="I6" s="15">
        <f t="shared" ref="I6:I28" si="0">(H6*20)/1000</f>
        <v>4.78</v>
      </c>
    </row>
    <row r="7" spans="1:11" ht="30" customHeight="1" thickTop="1" thickBot="1" x14ac:dyDescent="0.3">
      <c r="A7" s="22" t="s">
        <v>74</v>
      </c>
      <c r="B7" s="27" t="s">
        <v>112</v>
      </c>
      <c r="C7" s="17">
        <v>44718</v>
      </c>
      <c r="D7" s="15">
        <v>4</v>
      </c>
      <c r="E7" s="15">
        <v>19.399999999999999</v>
      </c>
      <c r="F7" s="15">
        <f>(E7/E3)*100</f>
        <v>101.57068062827224</v>
      </c>
      <c r="G7" s="15"/>
      <c r="H7" s="54">
        <f>178-13</f>
        <v>165</v>
      </c>
      <c r="I7" s="15">
        <f t="shared" si="0"/>
        <v>3.3</v>
      </c>
      <c r="K7">
        <v>13</v>
      </c>
    </row>
    <row r="8" spans="1:11" ht="30" customHeight="1" thickTop="1" thickBot="1" x14ac:dyDescent="0.3">
      <c r="A8" s="22" t="s">
        <v>74</v>
      </c>
      <c r="B8" s="25" t="s">
        <v>112</v>
      </c>
      <c r="C8" s="17">
        <v>44719</v>
      </c>
      <c r="D8" s="15">
        <v>5</v>
      </c>
      <c r="E8" s="15">
        <v>19.2</v>
      </c>
      <c r="F8" s="15">
        <f>(E8/E3)*100</f>
        <v>100.52356020942408</v>
      </c>
      <c r="G8" s="15"/>
      <c r="H8" s="54">
        <v>159</v>
      </c>
      <c r="I8" s="15">
        <f t="shared" si="0"/>
        <v>3.18</v>
      </c>
      <c r="K8">
        <v>3</v>
      </c>
    </row>
    <row r="9" spans="1:11" ht="30" customHeight="1" thickTop="1" thickBot="1" x14ac:dyDescent="0.3">
      <c r="A9" s="22" t="s">
        <v>74</v>
      </c>
      <c r="B9" s="26" t="s">
        <v>112</v>
      </c>
      <c r="C9" s="17">
        <v>44720</v>
      </c>
      <c r="D9" s="15">
        <v>6</v>
      </c>
      <c r="E9" s="15">
        <v>19.399999999999999</v>
      </c>
      <c r="F9" s="15">
        <f>(E9/E3)*100</f>
        <v>101.57068062827224</v>
      </c>
      <c r="G9" s="15"/>
      <c r="H9" s="15">
        <f>517-340</f>
        <v>177</v>
      </c>
      <c r="I9" s="15">
        <f t="shared" si="0"/>
        <v>3.54</v>
      </c>
    </row>
    <row r="10" spans="1:11" ht="30" customHeight="1" thickTop="1" thickBot="1" x14ac:dyDescent="0.3">
      <c r="A10" s="22" t="s">
        <v>74</v>
      </c>
      <c r="B10" s="25" t="s">
        <v>112</v>
      </c>
      <c r="C10" s="17">
        <v>44721</v>
      </c>
      <c r="D10" s="15">
        <v>7</v>
      </c>
      <c r="E10" s="15">
        <v>21</v>
      </c>
      <c r="F10" s="15">
        <f>(E10/E3)*100</f>
        <v>109.94764397905759</v>
      </c>
      <c r="G10" s="15"/>
      <c r="H10" s="15">
        <f>760-599</f>
        <v>161</v>
      </c>
      <c r="I10" s="15">
        <f t="shared" si="0"/>
        <v>3.22</v>
      </c>
    </row>
    <row r="11" spans="1:11" ht="30" customHeight="1" thickTop="1" thickBot="1" x14ac:dyDescent="0.3">
      <c r="A11" s="22" t="s">
        <v>74</v>
      </c>
      <c r="B11" s="26" t="s">
        <v>112</v>
      </c>
      <c r="C11" s="17">
        <v>44722</v>
      </c>
      <c r="D11" s="15">
        <v>8</v>
      </c>
      <c r="E11" s="15">
        <v>21.3</v>
      </c>
      <c r="F11" s="15">
        <f>(E11/E3)*100</f>
        <v>111.51832460732984</v>
      </c>
      <c r="G11" s="15"/>
      <c r="H11" s="15">
        <f>961-760</f>
        <v>201</v>
      </c>
      <c r="I11" s="15">
        <f t="shared" si="0"/>
        <v>4.0199999999999996</v>
      </c>
    </row>
    <row r="12" spans="1:11" ht="30" customHeight="1" thickTop="1" thickBot="1" x14ac:dyDescent="0.3">
      <c r="A12" s="22" t="s">
        <v>74</v>
      </c>
      <c r="B12" s="25" t="s">
        <v>112</v>
      </c>
      <c r="C12" s="17">
        <v>44723</v>
      </c>
      <c r="D12" s="15">
        <v>9</v>
      </c>
      <c r="E12" s="15">
        <v>21.2</v>
      </c>
      <c r="F12" s="15">
        <f>(E12/E3)*100</f>
        <v>110.99476439790574</v>
      </c>
      <c r="G12" s="15"/>
      <c r="H12" s="15">
        <f>1160-961</f>
        <v>199</v>
      </c>
      <c r="I12" s="15">
        <f t="shared" si="0"/>
        <v>3.98</v>
      </c>
    </row>
    <row r="13" spans="1:11" ht="30" customHeight="1" thickTop="1" thickBot="1" x14ac:dyDescent="0.3">
      <c r="A13" s="20" t="s">
        <v>73</v>
      </c>
      <c r="B13" s="26" t="s">
        <v>112</v>
      </c>
      <c r="C13" s="17">
        <v>44724</v>
      </c>
      <c r="D13" s="15">
        <v>10</v>
      </c>
      <c r="E13" s="15">
        <v>20.2</v>
      </c>
      <c r="F13" s="15">
        <f>(E13/E3)*100</f>
        <v>105.75916230366491</v>
      </c>
      <c r="G13" s="15"/>
      <c r="H13" s="15">
        <f>1267-1099</f>
        <v>168</v>
      </c>
      <c r="I13" s="15">
        <f t="shared" si="0"/>
        <v>3.36</v>
      </c>
    </row>
    <row r="14" spans="1:11" ht="30" customHeight="1" thickTop="1" thickBot="1" x14ac:dyDescent="0.3">
      <c r="A14" s="21" t="s">
        <v>73</v>
      </c>
      <c r="B14" s="25" t="s">
        <v>112</v>
      </c>
      <c r="C14" s="17">
        <v>44725</v>
      </c>
      <c r="D14" s="15">
        <v>11</v>
      </c>
      <c r="E14" s="15">
        <v>20</v>
      </c>
      <c r="F14" s="15">
        <f>(E14/E3)*100</f>
        <v>104.71204188481676</v>
      </c>
      <c r="G14" s="15"/>
      <c r="H14" s="15">
        <v>170</v>
      </c>
      <c r="I14" s="15">
        <f t="shared" si="0"/>
        <v>3.4</v>
      </c>
    </row>
    <row r="15" spans="1:11" ht="30" customHeight="1" thickTop="1" thickBot="1" x14ac:dyDescent="0.3">
      <c r="A15" s="21" t="s">
        <v>73</v>
      </c>
      <c r="B15" s="26" t="s">
        <v>112</v>
      </c>
      <c r="C15" s="17">
        <v>44726</v>
      </c>
      <c r="D15" s="15">
        <v>12</v>
      </c>
      <c r="E15" s="15">
        <v>20</v>
      </c>
      <c r="F15" s="15">
        <f>(E15/E3)*100</f>
        <v>104.71204188481676</v>
      </c>
      <c r="G15" s="15"/>
      <c r="H15" s="15">
        <f>346-170</f>
        <v>176</v>
      </c>
      <c r="I15" s="15">
        <f t="shared" si="0"/>
        <v>3.52</v>
      </c>
    </row>
    <row r="16" spans="1:11" ht="30" customHeight="1" thickTop="1" thickBot="1" x14ac:dyDescent="0.3">
      <c r="A16" s="21" t="s">
        <v>73</v>
      </c>
      <c r="B16" s="25" t="s">
        <v>112</v>
      </c>
      <c r="C16" s="17">
        <v>44727</v>
      </c>
      <c r="D16" s="15">
        <v>13</v>
      </c>
      <c r="E16" s="15">
        <v>19.7</v>
      </c>
      <c r="F16" s="15">
        <f>(E16/E3)*100</f>
        <v>103.1413612565445</v>
      </c>
      <c r="G16" s="15"/>
      <c r="H16" s="54">
        <v>126</v>
      </c>
      <c r="I16" s="15">
        <f t="shared" si="0"/>
        <v>2.52</v>
      </c>
      <c r="K16">
        <v>3</v>
      </c>
    </row>
    <row r="17" spans="1:11" ht="30" customHeight="1" thickTop="1" thickBot="1" x14ac:dyDescent="0.3">
      <c r="A17" s="21" t="s">
        <v>73</v>
      </c>
      <c r="B17" s="26" t="s">
        <v>112</v>
      </c>
      <c r="C17" s="17">
        <v>44728</v>
      </c>
      <c r="D17" s="15">
        <v>14</v>
      </c>
      <c r="E17" s="15">
        <v>21.3</v>
      </c>
      <c r="F17" s="15">
        <f>(E17/E3)*100</f>
        <v>111.51832460732984</v>
      </c>
      <c r="G17" s="15"/>
      <c r="H17" s="15">
        <f>611-475</f>
        <v>136</v>
      </c>
      <c r="I17" s="15">
        <f t="shared" si="0"/>
        <v>2.72</v>
      </c>
    </row>
    <row r="18" spans="1:11" ht="30" customHeight="1" thickTop="1" thickBot="1" x14ac:dyDescent="0.3">
      <c r="A18" s="21" t="s">
        <v>73</v>
      </c>
      <c r="B18" s="25" t="s">
        <v>112</v>
      </c>
      <c r="C18" s="17">
        <v>44729</v>
      </c>
      <c r="D18" s="15">
        <v>15</v>
      </c>
      <c r="E18" s="15">
        <v>19.5</v>
      </c>
      <c r="F18" s="15">
        <f>(E18/E3)*100</f>
        <v>102.09424083769633</v>
      </c>
      <c r="G18" s="15"/>
      <c r="H18" s="15">
        <f>750-611</f>
        <v>139</v>
      </c>
      <c r="I18" s="15">
        <f t="shared" si="0"/>
        <v>2.78</v>
      </c>
    </row>
    <row r="19" spans="1:11" ht="30" customHeight="1" thickTop="1" thickBot="1" x14ac:dyDescent="0.3">
      <c r="A19" s="21" t="s">
        <v>73</v>
      </c>
      <c r="B19" s="26" t="s">
        <v>112</v>
      </c>
      <c r="C19" s="17">
        <v>44730</v>
      </c>
      <c r="D19" s="15">
        <v>16</v>
      </c>
      <c r="E19" s="15">
        <v>19.8</v>
      </c>
      <c r="F19" s="15">
        <f>(E19/E3)*100</f>
        <v>103.66492146596858</v>
      </c>
      <c r="G19" s="15"/>
      <c r="H19" s="15">
        <f>946-750</f>
        <v>196</v>
      </c>
      <c r="I19" s="15">
        <f t="shared" si="0"/>
        <v>3.92</v>
      </c>
    </row>
    <row r="20" spans="1:11" ht="30" customHeight="1" thickTop="1" thickBot="1" x14ac:dyDescent="0.3">
      <c r="A20" s="21" t="s">
        <v>102</v>
      </c>
      <c r="B20" s="25" t="s">
        <v>112</v>
      </c>
      <c r="C20" s="17">
        <v>44731</v>
      </c>
      <c r="D20" s="15">
        <v>17</v>
      </c>
      <c r="E20" s="15">
        <v>19.8</v>
      </c>
      <c r="F20" s="15">
        <f>(E20/E3)*100</f>
        <v>103.66492146596858</v>
      </c>
      <c r="G20" s="15"/>
      <c r="H20" s="54">
        <v>174</v>
      </c>
      <c r="I20" s="15">
        <f t="shared" si="0"/>
        <v>3.48</v>
      </c>
      <c r="K20">
        <v>2</v>
      </c>
    </row>
    <row r="21" spans="1:11" ht="30" customHeight="1" thickTop="1" thickBot="1" x14ac:dyDescent="0.3">
      <c r="A21" s="21" t="s">
        <v>103</v>
      </c>
      <c r="B21" s="26" t="s">
        <v>112</v>
      </c>
      <c r="C21" s="17">
        <v>44732</v>
      </c>
      <c r="D21" s="15">
        <v>18</v>
      </c>
      <c r="E21" s="15"/>
      <c r="F21" s="15">
        <f>(E21/E3)*100</f>
        <v>0</v>
      </c>
      <c r="G21" s="15"/>
      <c r="H21" s="15"/>
      <c r="I21" s="15">
        <f t="shared" si="0"/>
        <v>0</v>
      </c>
    </row>
    <row r="22" spans="1:11" ht="30" customHeight="1" thickTop="1" thickBot="1" x14ac:dyDescent="0.3">
      <c r="A22" s="23" t="s">
        <v>79</v>
      </c>
      <c r="B22" s="25" t="s">
        <v>113</v>
      </c>
      <c r="C22" s="17">
        <v>44733</v>
      </c>
      <c r="D22" s="15">
        <v>19</v>
      </c>
      <c r="E22" s="15"/>
      <c r="F22" s="15">
        <f>(E22/E3)*100</f>
        <v>0</v>
      </c>
      <c r="G22" s="15"/>
      <c r="H22" s="15"/>
      <c r="I22" s="15">
        <f t="shared" si="0"/>
        <v>0</v>
      </c>
    </row>
    <row r="23" spans="1:11" ht="30" customHeight="1" thickTop="1" thickBot="1" x14ac:dyDescent="0.3">
      <c r="A23" s="23" t="s">
        <v>79</v>
      </c>
      <c r="B23" s="26" t="s">
        <v>113</v>
      </c>
      <c r="C23" s="17">
        <v>44734</v>
      </c>
      <c r="D23" s="15">
        <v>20</v>
      </c>
      <c r="E23" s="15"/>
      <c r="F23" s="15">
        <f>(E23/E3)*100</f>
        <v>0</v>
      </c>
      <c r="G23" s="45"/>
      <c r="H23" s="50"/>
      <c r="I23" s="15">
        <f>(H23*20)/1000</f>
        <v>0</v>
      </c>
      <c r="J23">
        <f>(G23*20)/1000</f>
        <v>0</v>
      </c>
    </row>
    <row r="24" spans="1:11" ht="30" customHeight="1" thickTop="1" thickBot="1" x14ac:dyDescent="0.3">
      <c r="A24" s="23" t="s">
        <v>79</v>
      </c>
      <c r="B24" s="29" t="s">
        <v>113</v>
      </c>
      <c r="C24" s="17">
        <v>44735</v>
      </c>
      <c r="D24" s="15">
        <v>21</v>
      </c>
      <c r="E24" s="15"/>
      <c r="F24" s="15">
        <f>(E24/E3)*100</f>
        <v>0</v>
      </c>
      <c r="G24" s="46"/>
      <c r="H24" s="50"/>
      <c r="I24" s="15">
        <f>(H24*20)/1000</f>
        <v>0</v>
      </c>
      <c r="J24">
        <f>(G24*20)/1000</f>
        <v>0</v>
      </c>
    </row>
    <row r="25" spans="1:11" ht="30" customHeight="1" thickTop="1" x14ac:dyDescent="0.25">
      <c r="A25" s="30"/>
      <c r="B25" s="30" t="s">
        <v>113</v>
      </c>
      <c r="C25" s="17">
        <v>44736</v>
      </c>
      <c r="D25" s="15">
        <v>22</v>
      </c>
      <c r="E25" s="15"/>
      <c r="F25" s="15">
        <f>(E25/E3)*100</f>
        <v>0</v>
      </c>
      <c r="G25" s="47"/>
      <c r="H25" s="50"/>
      <c r="I25" s="15">
        <f>(H25*20)/1000</f>
        <v>0</v>
      </c>
      <c r="J25">
        <f>(G25*20)/1000</f>
        <v>0</v>
      </c>
    </row>
    <row r="26" spans="1:11" ht="30" customHeight="1" x14ac:dyDescent="0.25">
      <c r="A26" s="32"/>
      <c r="B26" s="33"/>
      <c r="C26" s="17"/>
      <c r="D26" s="15"/>
      <c r="E26" s="15"/>
      <c r="F26" s="15"/>
      <c r="G26" s="45"/>
      <c r="H26" s="49"/>
      <c r="I26" s="15">
        <f>(H26*20)/1000</f>
        <v>0</v>
      </c>
      <c r="J26">
        <f>(G26*20)/1000</f>
        <v>0</v>
      </c>
    </row>
    <row r="27" spans="1:11" ht="30" customHeight="1" x14ac:dyDescent="0.25">
      <c r="A27" s="32"/>
      <c r="B27" s="33"/>
      <c r="C27" s="17"/>
      <c r="D27" s="15"/>
      <c r="E27" s="15"/>
      <c r="F27" s="15"/>
      <c r="G27" s="48"/>
      <c r="H27" s="51"/>
      <c r="I27" s="15">
        <f>(H27*20)/1000</f>
        <v>0</v>
      </c>
      <c r="J27">
        <f>(G27*20)/1000</f>
        <v>0</v>
      </c>
    </row>
    <row r="28" spans="1:11" ht="30" customHeight="1" x14ac:dyDescent="0.25">
      <c r="B28" s="33"/>
      <c r="C28" s="17"/>
      <c r="D28" s="15"/>
      <c r="F28" s="15"/>
      <c r="G28" s="15"/>
      <c r="I28" s="15">
        <f t="shared" si="0"/>
        <v>0</v>
      </c>
    </row>
    <row r="29" spans="1:11" ht="99.75" customHeight="1" x14ac:dyDescent="0.25">
      <c r="A29" t="s">
        <v>114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A0D9D-3E47-4237-9952-E4DCBBD812F0}">
  <dimension ref="A1:K28"/>
  <sheetViews>
    <sheetView topLeftCell="A11" workbookViewId="0">
      <selection activeCell="H21" sqref="H21"/>
    </sheetView>
  </sheetViews>
  <sheetFormatPr defaultRowHeight="15" x14ac:dyDescent="0.25"/>
  <cols>
    <col min="1" max="10" width="20.5703125" customWidth="1"/>
  </cols>
  <sheetData>
    <row r="1" spans="1:11" ht="30" customHeight="1" x14ac:dyDescent="0.25">
      <c r="A1" s="13" t="s">
        <v>62</v>
      </c>
      <c r="B1" s="12"/>
      <c r="C1" s="12"/>
      <c r="D1" s="5"/>
      <c r="E1" s="12"/>
      <c r="F1" s="12"/>
      <c r="G1" s="12"/>
      <c r="H1" s="12"/>
      <c r="I1" s="12"/>
    </row>
    <row r="2" spans="1:11" ht="30" customHeight="1" thickBot="1" x14ac:dyDescent="0.3">
      <c r="A2" s="13" t="s">
        <v>115</v>
      </c>
      <c r="B2" s="14" t="s">
        <v>64</v>
      </c>
      <c r="C2" s="14" t="s">
        <v>0</v>
      </c>
      <c r="D2" s="14" t="s">
        <v>1</v>
      </c>
      <c r="E2" s="14" t="s">
        <v>65</v>
      </c>
      <c r="F2" s="14" t="s">
        <v>66</v>
      </c>
      <c r="G2" s="14"/>
      <c r="H2" s="14" t="s">
        <v>67</v>
      </c>
      <c r="I2" s="14" t="s">
        <v>68</v>
      </c>
      <c r="K2" s="34" t="s">
        <v>69</v>
      </c>
    </row>
    <row r="3" spans="1:11" ht="30" customHeight="1" thickTop="1" thickBot="1" x14ac:dyDescent="0.3">
      <c r="A3" s="18" t="s">
        <v>70</v>
      </c>
      <c r="B3" s="24" t="s">
        <v>116</v>
      </c>
      <c r="C3" s="17">
        <v>44714</v>
      </c>
      <c r="D3" s="15">
        <v>0</v>
      </c>
      <c r="E3" s="15">
        <v>21.4</v>
      </c>
      <c r="F3" s="15"/>
      <c r="G3" s="15"/>
      <c r="H3" s="15"/>
      <c r="I3" s="15"/>
    </row>
    <row r="4" spans="1:11" ht="30" customHeight="1" thickTop="1" thickBot="1" x14ac:dyDescent="0.3">
      <c r="A4" s="19" t="s">
        <v>72</v>
      </c>
      <c r="B4" s="25" t="s">
        <v>116</v>
      </c>
      <c r="C4" s="17">
        <v>44715</v>
      </c>
      <c r="D4" s="15">
        <v>1</v>
      </c>
      <c r="E4" s="15">
        <v>22.1</v>
      </c>
      <c r="F4" s="15">
        <f>(E4/E3)*100</f>
        <v>103.27102803738319</v>
      </c>
      <c r="G4" s="15"/>
      <c r="H4" s="15">
        <v>247</v>
      </c>
      <c r="I4" s="15">
        <f>(H4*20)/1000</f>
        <v>4.9400000000000004</v>
      </c>
    </row>
    <row r="5" spans="1:11" ht="30" customHeight="1" thickTop="1" thickBot="1" x14ac:dyDescent="0.3">
      <c r="A5" s="19" t="s">
        <v>72</v>
      </c>
      <c r="B5" s="26" t="s">
        <v>116</v>
      </c>
      <c r="C5" s="17">
        <v>44716</v>
      </c>
      <c r="D5" s="15">
        <v>2</v>
      </c>
      <c r="E5" s="15">
        <v>21.7</v>
      </c>
      <c r="F5" s="15">
        <f>(E5/E3)*100</f>
        <v>101.4018691588785</v>
      </c>
      <c r="G5" s="15"/>
      <c r="H5" s="15">
        <f>480-247</f>
        <v>233</v>
      </c>
      <c r="I5" s="15">
        <f>(H5*20)/1000</f>
        <v>4.66</v>
      </c>
    </row>
    <row r="6" spans="1:11" ht="30" customHeight="1" thickTop="1" thickBot="1" x14ac:dyDescent="0.3">
      <c r="A6" s="31" t="s">
        <v>74</v>
      </c>
      <c r="B6" s="25" t="s">
        <v>116</v>
      </c>
      <c r="C6" s="17">
        <v>44717</v>
      </c>
      <c r="D6" s="15">
        <v>3</v>
      </c>
      <c r="E6" s="15">
        <v>21.6</v>
      </c>
      <c r="F6" s="15">
        <f>(E6/E3)*100</f>
        <v>100.93457943925235</v>
      </c>
      <c r="G6" s="15"/>
      <c r="H6" s="15">
        <f>696-480</f>
        <v>216</v>
      </c>
      <c r="I6" s="15">
        <f t="shared" ref="I6:I22" si="0">(H6*20)/1000</f>
        <v>4.32</v>
      </c>
    </row>
    <row r="7" spans="1:11" ht="30" customHeight="1" thickTop="1" thickBot="1" x14ac:dyDescent="0.3">
      <c r="A7" s="22" t="s">
        <v>74</v>
      </c>
      <c r="B7" s="27" t="s">
        <v>116</v>
      </c>
      <c r="C7" s="17">
        <v>44718</v>
      </c>
      <c r="D7" s="15">
        <v>4</v>
      </c>
      <c r="E7" s="15">
        <v>21</v>
      </c>
      <c r="F7" s="15">
        <f>(E7/E3)*100</f>
        <v>98.130841121495337</v>
      </c>
      <c r="G7" s="15"/>
      <c r="H7" s="15">
        <v>188</v>
      </c>
      <c r="I7" s="15">
        <f t="shared" si="0"/>
        <v>3.76</v>
      </c>
    </row>
    <row r="8" spans="1:11" ht="30" customHeight="1" thickTop="1" thickBot="1" x14ac:dyDescent="0.3">
      <c r="A8" s="22" t="s">
        <v>74</v>
      </c>
      <c r="B8" s="25" t="s">
        <v>116</v>
      </c>
      <c r="C8" s="17">
        <v>44719</v>
      </c>
      <c r="D8" s="15">
        <v>5</v>
      </c>
      <c r="E8" s="15">
        <v>21.7</v>
      </c>
      <c r="F8" s="15">
        <f>(E8/E3)*100</f>
        <v>101.4018691588785</v>
      </c>
      <c r="G8" s="15"/>
      <c r="H8" s="15">
        <f>379-188</f>
        <v>191</v>
      </c>
      <c r="I8" s="15">
        <f t="shared" si="0"/>
        <v>3.82</v>
      </c>
    </row>
    <row r="9" spans="1:11" ht="30" customHeight="1" thickTop="1" thickBot="1" x14ac:dyDescent="0.3">
      <c r="A9" s="22" t="s">
        <v>74</v>
      </c>
      <c r="B9" s="26" t="s">
        <v>116</v>
      </c>
      <c r="C9" s="17">
        <v>44720</v>
      </c>
      <c r="D9" s="15">
        <v>6</v>
      </c>
      <c r="E9" s="15">
        <v>20.9</v>
      </c>
      <c r="F9" s="15">
        <f>(E9/E3)*100</f>
        <v>97.663551401869171</v>
      </c>
      <c r="G9" s="15"/>
      <c r="H9" s="15">
        <f>559-379</f>
        <v>180</v>
      </c>
      <c r="I9" s="15">
        <f t="shared" si="0"/>
        <v>3.6</v>
      </c>
    </row>
    <row r="10" spans="1:11" ht="30" customHeight="1" thickTop="1" thickBot="1" x14ac:dyDescent="0.3">
      <c r="A10" s="22" t="s">
        <v>74</v>
      </c>
      <c r="B10" s="25" t="s">
        <v>116</v>
      </c>
      <c r="C10" s="17">
        <v>44721</v>
      </c>
      <c r="D10" s="15">
        <v>7</v>
      </c>
      <c r="E10" s="15">
        <v>21</v>
      </c>
      <c r="F10" s="15">
        <f>(E10/E3)*100</f>
        <v>98.130841121495337</v>
      </c>
      <c r="G10" s="15"/>
      <c r="H10" s="15">
        <f>760-599</f>
        <v>161</v>
      </c>
      <c r="I10" s="15">
        <f t="shared" si="0"/>
        <v>3.22</v>
      </c>
    </row>
    <row r="11" spans="1:11" ht="30" customHeight="1" thickTop="1" thickBot="1" x14ac:dyDescent="0.3">
      <c r="A11" s="22" t="s">
        <v>74</v>
      </c>
      <c r="B11" s="26" t="s">
        <v>116</v>
      </c>
      <c r="C11" s="17">
        <v>44722</v>
      </c>
      <c r="D11" s="15">
        <v>8</v>
      </c>
      <c r="E11" s="15">
        <v>21.3</v>
      </c>
      <c r="F11" s="15">
        <f>(E11/E3)*100</f>
        <v>99.532710280373834</v>
      </c>
      <c r="G11" s="15"/>
      <c r="H11" s="15">
        <f>961-760</f>
        <v>201</v>
      </c>
      <c r="I11" s="15">
        <f t="shared" si="0"/>
        <v>4.0199999999999996</v>
      </c>
    </row>
    <row r="12" spans="1:11" ht="30" customHeight="1" thickTop="1" thickBot="1" x14ac:dyDescent="0.3">
      <c r="A12" s="22" t="s">
        <v>74</v>
      </c>
      <c r="B12" s="25" t="s">
        <v>116</v>
      </c>
      <c r="C12" s="17">
        <v>44723</v>
      </c>
      <c r="D12" s="15">
        <v>9</v>
      </c>
      <c r="E12" s="15">
        <v>21.2</v>
      </c>
      <c r="F12" s="15">
        <f>(E12/E3)*100</f>
        <v>99.065420560747668</v>
      </c>
      <c r="G12" s="15"/>
      <c r="H12" s="15">
        <f>1160-961</f>
        <v>199</v>
      </c>
      <c r="I12" s="15">
        <f t="shared" si="0"/>
        <v>3.98</v>
      </c>
    </row>
    <row r="13" spans="1:11" ht="30" customHeight="1" thickTop="1" thickBot="1" x14ac:dyDescent="0.3">
      <c r="A13" s="20" t="s">
        <v>73</v>
      </c>
      <c r="B13" s="26" t="s">
        <v>116</v>
      </c>
      <c r="C13" s="17">
        <v>44724</v>
      </c>
      <c r="D13" s="15">
        <v>10</v>
      </c>
      <c r="E13" s="15">
        <v>21.2</v>
      </c>
      <c r="F13" s="15">
        <f>(E13/E3)*100</f>
        <v>99.065420560747668</v>
      </c>
      <c r="G13" s="15"/>
      <c r="H13" s="15">
        <f>1326-1160</f>
        <v>166</v>
      </c>
      <c r="I13" s="15">
        <f t="shared" si="0"/>
        <v>3.32</v>
      </c>
    </row>
    <row r="14" spans="1:11" ht="30" customHeight="1" thickTop="1" thickBot="1" x14ac:dyDescent="0.3">
      <c r="A14" s="21" t="s">
        <v>73</v>
      </c>
      <c r="B14" s="25" t="s">
        <v>116</v>
      </c>
      <c r="C14" s="17">
        <v>44725</v>
      </c>
      <c r="D14" s="15">
        <v>11</v>
      </c>
      <c r="E14" s="15">
        <v>21.1</v>
      </c>
      <c r="F14" s="15">
        <f>(E14/E3)*100</f>
        <v>98.598130841121517</v>
      </c>
      <c r="G14" s="15"/>
      <c r="H14" s="15">
        <v>172</v>
      </c>
      <c r="I14" s="15">
        <f t="shared" si="0"/>
        <v>3.44</v>
      </c>
    </row>
    <row r="15" spans="1:11" ht="30" customHeight="1" thickTop="1" thickBot="1" x14ac:dyDescent="0.3">
      <c r="A15" s="21" t="s">
        <v>73</v>
      </c>
      <c r="B15" s="26" t="s">
        <v>116</v>
      </c>
      <c r="C15" s="17">
        <v>44726</v>
      </c>
      <c r="D15" s="15">
        <v>12</v>
      </c>
      <c r="E15" s="15">
        <v>20.8</v>
      </c>
      <c r="F15" s="15">
        <f>(E15/E3)*100</f>
        <v>97.196261682243005</v>
      </c>
      <c r="G15" s="15"/>
      <c r="H15" s="15">
        <f>371-172</f>
        <v>199</v>
      </c>
      <c r="I15" s="15">
        <f t="shared" si="0"/>
        <v>3.98</v>
      </c>
    </row>
    <row r="16" spans="1:11" ht="30" customHeight="1" thickTop="1" thickBot="1" x14ac:dyDescent="0.3">
      <c r="A16" s="21" t="s">
        <v>73</v>
      </c>
      <c r="B16" s="25" t="s">
        <v>116</v>
      </c>
      <c r="C16" s="17">
        <v>44727</v>
      </c>
      <c r="D16" s="15">
        <v>13</v>
      </c>
      <c r="E16" s="15">
        <v>21</v>
      </c>
      <c r="F16" s="15">
        <f>(E16/E3)*100</f>
        <v>98.130841121495337</v>
      </c>
      <c r="G16" s="15"/>
      <c r="H16" s="15">
        <f>544-371</f>
        <v>173</v>
      </c>
      <c r="I16" s="15">
        <f t="shared" si="0"/>
        <v>3.46</v>
      </c>
    </row>
    <row r="17" spans="1:10" ht="30" customHeight="1" thickTop="1" thickBot="1" x14ac:dyDescent="0.3">
      <c r="A17" s="21" t="s">
        <v>73</v>
      </c>
      <c r="B17" s="26" t="s">
        <v>116</v>
      </c>
      <c r="C17" s="17">
        <v>44728</v>
      </c>
      <c r="D17" s="15">
        <v>14</v>
      </c>
      <c r="E17" s="15">
        <v>20.8</v>
      </c>
      <c r="F17" s="15">
        <f>(E17/E3)*100</f>
        <v>97.196261682243005</v>
      </c>
      <c r="G17" s="15"/>
      <c r="H17" s="15">
        <f>707-544</f>
        <v>163</v>
      </c>
      <c r="I17" s="15">
        <f t="shared" si="0"/>
        <v>3.26</v>
      </c>
    </row>
    <row r="18" spans="1:10" ht="30" customHeight="1" thickTop="1" thickBot="1" x14ac:dyDescent="0.3">
      <c r="A18" s="21" t="s">
        <v>73</v>
      </c>
      <c r="B18" s="25" t="s">
        <v>116</v>
      </c>
      <c r="C18" s="17">
        <v>44729</v>
      </c>
      <c r="D18" s="15">
        <v>15</v>
      </c>
      <c r="E18" s="15">
        <v>21</v>
      </c>
      <c r="F18" s="15">
        <f>(E18/E3)*100</f>
        <v>98.130841121495337</v>
      </c>
      <c r="G18" s="15"/>
      <c r="H18" s="15">
        <f>906-707</f>
        <v>199</v>
      </c>
      <c r="I18" s="15">
        <f t="shared" si="0"/>
        <v>3.98</v>
      </c>
    </row>
    <row r="19" spans="1:10" ht="30" customHeight="1" thickTop="1" thickBot="1" x14ac:dyDescent="0.3">
      <c r="A19" s="21" t="s">
        <v>73</v>
      </c>
      <c r="B19" s="26" t="s">
        <v>116</v>
      </c>
      <c r="C19" s="17">
        <v>44730</v>
      </c>
      <c r="D19" s="15">
        <v>16</v>
      </c>
      <c r="E19" s="15">
        <v>20.9</v>
      </c>
      <c r="F19" s="15">
        <f>(E19/E3)*100</f>
        <v>97.663551401869171</v>
      </c>
      <c r="G19" s="15"/>
      <c r="H19" s="15">
        <f>1121-906</f>
        <v>215</v>
      </c>
      <c r="I19" s="15">
        <f t="shared" si="0"/>
        <v>4.3</v>
      </c>
    </row>
    <row r="20" spans="1:10" ht="30" customHeight="1" thickTop="1" thickBot="1" x14ac:dyDescent="0.3">
      <c r="A20" s="21" t="s">
        <v>102</v>
      </c>
      <c r="B20" s="25" t="s">
        <v>116</v>
      </c>
      <c r="C20" s="17">
        <v>44731</v>
      </c>
      <c r="D20" s="15">
        <v>17</v>
      </c>
      <c r="E20" s="15">
        <v>21.2</v>
      </c>
      <c r="F20" s="15">
        <f>(E20/E3)*100</f>
        <v>99.065420560747668</v>
      </c>
      <c r="G20" s="15"/>
      <c r="H20" s="15">
        <f>1337-1121</f>
        <v>216</v>
      </c>
      <c r="I20" s="15">
        <f t="shared" si="0"/>
        <v>4.32</v>
      </c>
    </row>
    <row r="21" spans="1:10" ht="30" customHeight="1" thickTop="1" thickBot="1" x14ac:dyDescent="0.3">
      <c r="A21" s="21" t="s">
        <v>103</v>
      </c>
      <c r="B21" s="26" t="s">
        <v>116</v>
      </c>
      <c r="C21" s="17">
        <v>44732</v>
      </c>
      <c r="D21" s="15">
        <v>18</v>
      </c>
      <c r="E21" s="15"/>
      <c r="F21" s="15">
        <f>(E21/E3)*100</f>
        <v>0</v>
      </c>
      <c r="G21" s="15"/>
      <c r="H21" s="15"/>
      <c r="I21" s="15">
        <f t="shared" si="0"/>
        <v>0</v>
      </c>
    </row>
    <row r="22" spans="1:10" ht="30" customHeight="1" thickTop="1" thickBot="1" x14ac:dyDescent="0.3">
      <c r="A22" s="23" t="s">
        <v>79</v>
      </c>
      <c r="B22" s="25" t="s">
        <v>117</v>
      </c>
      <c r="C22" s="17">
        <v>44733</v>
      </c>
      <c r="D22" s="15">
        <v>19</v>
      </c>
      <c r="E22" s="15"/>
      <c r="F22" s="15">
        <f>(E22/E3)*100</f>
        <v>0</v>
      </c>
      <c r="G22" s="15"/>
      <c r="H22" s="15"/>
      <c r="I22" s="15">
        <f t="shared" si="0"/>
        <v>0</v>
      </c>
    </row>
    <row r="23" spans="1:10" ht="30" customHeight="1" thickTop="1" thickBot="1" x14ac:dyDescent="0.3">
      <c r="A23" s="23" t="s">
        <v>79</v>
      </c>
      <c r="B23" s="26" t="s">
        <v>117</v>
      </c>
      <c r="C23" s="17">
        <v>44734</v>
      </c>
      <c r="D23" s="15">
        <v>20</v>
      </c>
      <c r="E23" s="15"/>
      <c r="F23" s="15">
        <f>(E23/E3)*100</f>
        <v>0</v>
      </c>
      <c r="G23" s="45"/>
      <c r="H23" s="50"/>
      <c r="I23" s="15">
        <f t="shared" ref="I23:I28" si="1">(H23*20)/1000</f>
        <v>0</v>
      </c>
      <c r="J23">
        <f>(G23*20)/1000</f>
        <v>0</v>
      </c>
    </row>
    <row r="24" spans="1:10" ht="30" customHeight="1" thickTop="1" thickBot="1" x14ac:dyDescent="0.3">
      <c r="A24" s="23" t="s">
        <v>79</v>
      </c>
      <c r="B24" s="29" t="s">
        <v>117</v>
      </c>
      <c r="C24" s="17">
        <v>44735</v>
      </c>
      <c r="D24" s="15">
        <v>21</v>
      </c>
      <c r="E24" s="15"/>
      <c r="F24" s="15">
        <f>(E24/E3)*100</f>
        <v>0</v>
      </c>
      <c r="G24" s="46"/>
      <c r="H24" s="50"/>
      <c r="I24" s="15">
        <f t="shared" si="1"/>
        <v>0</v>
      </c>
      <c r="J24">
        <f>(G24*20)/1000</f>
        <v>0</v>
      </c>
    </row>
    <row r="25" spans="1:10" ht="30" customHeight="1" thickTop="1" x14ac:dyDescent="0.25">
      <c r="A25" s="30"/>
      <c r="B25" s="30" t="s">
        <v>117</v>
      </c>
      <c r="C25" s="17">
        <v>44736</v>
      </c>
      <c r="D25" s="15">
        <v>22</v>
      </c>
      <c r="E25" s="15"/>
      <c r="F25" s="15">
        <f>(E25/E3)*100</f>
        <v>0</v>
      </c>
      <c r="G25" s="47"/>
      <c r="H25" s="50"/>
      <c r="I25" s="15">
        <f t="shared" si="1"/>
        <v>0</v>
      </c>
      <c r="J25">
        <f>(G25*20)/1000</f>
        <v>0</v>
      </c>
    </row>
    <row r="26" spans="1:10" ht="30" customHeight="1" x14ac:dyDescent="0.25">
      <c r="A26" s="32"/>
      <c r="B26" s="33"/>
      <c r="C26" s="17"/>
      <c r="D26" s="15"/>
      <c r="E26" s="15"/>
      <c r="F26" s="15"/>
      <c r="G26" s="45"/>
      <c r="H26" s="49"/>
      <c r="I26" s="15">
        <f t="shared" si="1"/>
        <v>0</v>
      </c>
      <c r="J26">
        <f>(G26*20)/1000</f>
        <v>0</v>
      </c>
    </row>
    <row r="27" spans="1:10" ht="30" customHeight="1" x14ac:dyDescent="0.25">
      <c r="A27" s="32"/>
      <c r="B27" s="33"/>
      <c r="C27" s="17"/>
      <c r="D27" s="15"/>
      <c r="E27" s="15"/>
      <c r="F27" s="15"/>
      <c r="G27" s="48"/>
      <c r="H27" s="51"/>
      <c r="I27" s="15">
        <f t="shared" si="1"/>
        <v>0</v>
      </c>
      <c r="J27">
        <f>(G27*20)/1000</f>
        <v>0</v>
      </c>
    </row>
    <row r="28" spans="1:10" ht="30" customHeight="1" x14ac:dyDescent="0.25">
      <c r="B28" s="33"/>
      <c r="C28" s="17"/>
      <c r="D28" s="15"/>
      <c r="F28" s="15"/>
      <c r="G28" s="15"/>
      <c r="I28" s="15">
        <f t="shared" si="1"/>
        <v>0</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89AB-D48F-402A-AD50-4F0DC5085E14}">
  <dimension ref="A1:BF95"/>
  <sheetViews>
    <sheetView topLeftCell="J25" workbookViewId="0">
      <selection activeCell="S68" sqref="S68"/>
    </sheetView>
  </sheetViews>
  <sheetFormatPr defaultRowHeight="15" x14ac:dyDescent="0.25"/>
  <cols>
    <col min="2" max="2" width="8.7109375" customWidth="1"/>
    <col min="3" max="8" width="11.42578125" bestFit="1" customWidth="1"/>
    <col min="10" max="15" width="11.42578125" bestFit="1" customWidth="1"/>
    <col min="19" max="19" width="13.5703125" customWidth="1"/>
    <col min="21" max="21" width="16.140625" customWidth="1"/>
    <col min="24" max="24" width="13.140625" customWidth="1"/>
    <col min="26" max="26" width="12.28515625" customWidth="1"/>
    <col min="50" max="50" width="14.7109375" customWidth="1"/>
    <col min="52" max="52" width="13.5703125" customWidth="1"/>
  </cols>
  <sheetData>
    <row r="1" spans="1:52" x14ac:dyDescent="0.25">
      <c r="A1" s="5"/>
      <c r="B1" s="59" t="s">
        <v>118</v>
      </c>
      <c r="C1" s="59"/>
      <c r="D1" s="59"/>
      <c r="E1" s="59"/>
      <c r="F1" s="59"/>
      <c r="G1" s="59"/>
      <c r="H1" s="59"/>
      <c r="I1" s="59" t="s">
        <v>119</v>
      </c>
      <c r="J1" s="59"/>
      <c r="K1" s="59"/>
      <c r="L1" s="59"/>
      <c r="M1" s="59"/>
      <c r="N1" s="59"/>
      <c r="O1" s="59"/>
      <c r="P1" s="5"/>
      <c r="Q1" s="5"/>
      <c r="R1" s="5"/>
      <c r="S1" s="5" t="s">
        <v>120</v>
      </c>
      <c r="T1" s="5"/>
      <c r="U1" s="5" t="s">
        <v>121</v>
      </c>
      <c r="AG1">
        <f t="shared" ref="AG1:AG19" si="0">A1</f>
        <v>0</v>
      </c>
      <c r="AH1" s="60" t="str">
        <f t="shared" ref="AH1" si="1">B1</f>
        <v>PR-NR Pellets Taken</v>
      </c>
      <c r="AI1" s="60"/>
      <c r="AJ1" s="60"/>
      <c r="AK1" s="60"/>
      <c r="AL1" s="60"/>
      <c r="AM1" s="60"/>
      <c r="AN1" s="60"/>
      <c r="AO1" s="60" t="str">
        <f t="shared" ref="AO1" si="2">I1</f>
        <v>NR-PR Pellets Taken</v>
      </c>
      <c r="AP1" s="60"/>
      <c r="AQ1" s="60"/>
      <c r="AR1" s="60"/>
      <c r="AS1" s="60"/>
      <c r="AT1" s="60"/>
      <c r="AU1" s="60"/>
      <c r="AX1" t="s">
        <v>122</v>
      </c>
      <c r="AZ1" t="s">
        <v>123</v>
      </c>
    </row>
    <row r="2" spans="1:52" x14ac:dyDescent="0.25">
      <c r="A2" s="5" t="s">
        <v>124</v>
      </c>
      <c r="B2" s="5"/>
      <c r="C2" s="5" t="s">
        <v>63</v>
      </c>
      <c r="D2" s="5" t="s">
        <v>81</v>
      </c>
      <c r="E2" s="5" t="s">
        <v>84</v>
      </c>
      <c r="F2" s="5" t="s">
        <v>88</v>
      </c>
      <c r="G2" s="5" t="s">
        <v>92</v>
      </c>
      <c r="H2" s="5" t="s">
        <v>96</v>
      </c>
      <c r="I2" s="5"/>
      <c r="J2" s="5" t="s">
        <v>100</v>
      </c>
      <c r="K2" s="5" t="s">
        <v>104</v>
      </c>
      <c r="L2" s="5" t="s">
        <v>106</v>
      </c>
      <c r="M2" s="5" t="s">
        <v>109</v>
      </c>
      <c r="N2" s="5" t="s">
        <v>111</v>
      </c>
      <c r="O2" s="5" t="s">
        <v>115</v>
      </c>
      <c r="P2" s="5"/>
      <c r="Q2" s="5"/>
      <c r="R2" s="5"/>
      <c r="S2" s="5"/>
      <c r="T2" s="5"/>
      <c r="U2" s="5"/>
      <c r="AG2" t="str">
        <f t="shared" si="0"/>
        <v>DAY</v>
      </c>
      <c r="AI2" t="str">
        <f t="shared" ref="AI2" si="3">C2</f>
        <v>FEDXB01</v>
      </c>
      <c r="AJ2" t="str">
        <f t="shared" ref="AJ2" si="4">D2</f>
        <v>FEDXB02</v>
      </c>
      <c r="AK2" t="str">
        <f t="shared" ref="AK2" si="5">E2</f>
        <v>FEDXB03</v>
      </c>
      <c r="AL2" t="str">
        <f t="shared" ref="AL2" si="6">F2</f>
        <v>FEDXB04</v>
      </c>
      <c r="AM2" t="str">
        <f t="shared" ref="AM2" si="7">G2</f>
        <v>FEDXB05</v>
      </c>
      <c r="AN2" t="str">
        <f t="shared" ref="AN2" si="8">H2</f>
        <v>FEDXB06</v>
      </c>
      <c r="AP2" t="str">
        <f t="shared" ref="AP2" si="9">J2</f>
        <v>FEDXB07</v>
      </c>
      <c r="AQ2" t="str">
        <f t="shared" ref="AQ2" si="10">K2</f>
        <v>FEDXB08</v>
      </c>
      <c r="AR2" t="str">
        <f t="shared" ref="AR2" si="11">L2</f>
        <v>FEDXB09</v>
      </c>
      <c r="AS2" t="str">
        <f t="shared" ref="AS2" si="12">M2</f>
        <v>FEDXB10</v>
      </c>
      <c r="AT2" t="str">
        <f t="shared" ref="AT2" si="13">N2</f>
        <v>FEDXB11</v>
      </c>
      <c r="AU2" t="str">
        <f t="shared" ref="AU2" si="14">O2</f>
        <v>FEDXB12</v>
      </c>
    </row>
    <row r="3" spans="1:52" x14ac:dyDescent="0.25">
      <c r="A3" s="5">
        <v>1</v>
      </c>
      <c r="B3" s="5"/>
      <c r="C3" s="36" cm="1">
        <f t="array" ref="C3:C19">FEDXB01!H4:H20</f>
        <v>229</v>
      </c>
      <c r="D3" s="36" cm="1">
        <f t="array" ref="D3:D19">FEDXB02!H4:H20</f>
        <v>255</v>
      </c>
      <c r="E3" s="36" cm="1">
        <f t="array" ref="E3:E19">FEDXB03!H4:H20</f>
        <v>142</v>
      </c>
      <c r="F3" s="36" cm="1">
        <f t="array" ref="F3:F19">FEDXB04!H4:H20</f>
        <v>161</v>
      </c>
      <c r="G3" s="36" cm="1">
        <f t="array" ref="G3:G19">FEDXB05!H4:H20</f>
        <v>305</v>
      </c>
      <c r="H3" s="36" cm="1">
        <f t="array" ref="H3:H19">FEDXB06!H4:H20</f>
        <v>353</v>
      </c>
      <c r="I3" s="5"/>
      <c r="J3" s="36" cm="1">
        <f t="array" ref="J3:J19">FEDXB07!H4:H20</f>
        <v>320</v>
      </c>
      <c r="K3" s="36" cm="1">
        <f t="array" ref="K3:K19">FEDXB08!H4:H20</f>
        <v>184</v>
      </c>
      <c r="L3" s="36"/>
      <c r="M3" s="36" cm="1">
        <f t="array" ref="M3:M19">FEDXB10!H4:H20</f>
        <v>285</v>
      </c>
      <c r="N3" s="36" cm="1">
        <f t="array" ref="N3:N19">FEDXB11!H4:H20</f>
        <v>298</v>
      </c>
      <c r="O3" s="36" cm="1">
        <f t="array" ref="O3:O19">FEDXB12!H4:H20</f>
        <v>247</v>
      </c>
      <c r="P3" s="5"/>
      <c r="Q3" s="5"/>
      <c r="R3" s="5"/>
      <c r="S3" s="42">
        <f>AVERAGE(C3:H3)</f>
        <v>240.83333333333334</v>
      </c>
      <c r="T3" s="41"/>
      <c r="U3" s="42">
        <f>AVERAGE(J3:O3)</f>
        <v>266.8</v>
      </c>
      <c r="AG3">
        <f t="shared" si="0"/>
        <v>1</v>
      </c>
      <c r="AI3" s="9">
        <f>C3*0.067</f>
        <v>15.343000000000002</v>
      </c>
      <c r="AJ3" s="9">
        <f t="shared" ref="AJ3:AN3" si="15">D3*0.067</f>
        <v>17.085000000000001</v>
      </c>
      <c r="AK3" s="9">
        <f t="shared" si="15"/>
        <v>9.5140000000000011</v>
      </c>
      <c r="AL3" s="9">
        <f t="shared" si="15"/>
        <v>10.787000000000001</v>
      </c>
      <c r="AM3" s="9">
        <f t="shared" si="15"/>
        <v>20.435000000000002</v>
      </c>
      <c r="AN3" s="9">
        <f t="shared" si="15"/>
        <v>23.651</v>
      </c>
      <c r="AP3" s="9">
        <f t="shared" ref="AP3" si="16">J3*0.067</f>
        <v>21.44</v>
      </c>
      <c r="AQ3" s="9">
        <f t="shared" ref="AQ3" si="17">K3*0.067</f>
        <v>12.328000000000001</v>
      </c>
      <c r="AR3" s="9"/>
      <c r="AS3" s="9">
        <f t="shared" ref="AS3" si="18">M3*0.067</f>
        <v>19.095000000000002</v>
      </c>
      <c r="AT3" s="9">
        <f t="shared" ref="AT3" si="19">N3*0.067</f>
        <v>19.966000000000001</v>
      </c>
      <c r="AU3" s="9">
        <f t="shared" ref="AU3" si="20">O3*0.067</f>
        <v>16.548999999999999</v>
      </c>
      <c r="AX3" s="39">
        <f>AVERAGEA(AI3:AN3)</f>
        <v>16.135833333333334</v>
      </c>
      <c r="AY3" s="39"/>
      <c r="AZ3" s="39">
        <f>AVERAGE(AP3:AU3)</f>
        <v>17.875600000000002</v>
      </c>
    </row>
    <row r="4" spans="1:52" x14ac:dyDescent="0.25">
      <c r="A4" s="5">
        <v>2</v>
      </c>
      <c r="B4" s="5"/>
      <c r="C4" s="36">
        <v>281</v>
      </c>
      <c r="D4" s="36">
        <v>215</v>
      </c>
      <c r="E4" s="36">
        <v>197</v>
      </c>
      <c r="F4" s="36">
        <v>178</v>
      </c>
      <c r="G4" s="36">
        <v>213</v>
      </c>
      <c r="H4" s="36">
        <v>224</v>
      </c>
      <c r="I4" s="5"/>
      <c r="J4" s="36">
        <v>222</v>
      </c>
      <c r="K4" s="36">
        <v>238</v>
      </c>
      <c r="L4" s="36"/>
      <c r="M4" s="36">
        <v>204</v>
      </c>
      <c r="N4" s="36">
        <v>226</v>
      </c>
      <c r="O4" s="36">
        <v>233</v>
      </c>
      <c r="P4" s="5"/>
      <c r="Q4" s="5"/>
      <c r="R4" s="5"/>
      <c r="S4" s="42">
        <f t="shared" ref="S4:S19" si="21">AVERAGE(C4:H4)</f>
        <v>218</v>
      </c>
      <c r="T4" s="41"/>
      <c r="U4" s="42">
        <f t="shared" ref="U4:U19" si="22">AVERAGE(J4:O4)</f>
        <v>224.6</v>
      </c>
      <c r="AG4">
        <f t="shared" si="0"/>
        <v>2</v>
      </c>
      <c r="AI4" s="9">
        <f t="shared" ref="AI4:AI5" si="23">C4*0.067</f>
        <v>18.827000000000002</v>
      </c>
      <c r="AJ4" s="9">
        <f t="shared" ref="AJ4:AJ5" si="24">D4*0.067</f>
        <v>14.405000000000001</v>
      </c>
      <c r="AK4" s="9">
        <f t="shared" ref="AK4:AK5" si="25">E4*0.067</f>
        <v>13.199000000000002</v>
      </c>
      <c r="AL4" s="9">
        <f t="shared" ref="AL4:AL5" si="26">F4*0.067</f>
        <v>11.926</v>
      </c>
      <c r="AM4" s="9">
        <f t="shared" ref="AM4:AM5" si="27">G4*0.067</f>
        <v>14.271000000000001</v>
      </c>
      <c r="AN4" s="9">
        <f t="shared" ref="AN4:AN5" si="28">H4*0.067</f>
        <v>15.008000000000001</v>
      </c>
      <c r="AP4" s="9">
        <f t="shared" ref="AP4:AP5" si="29">J4*0.067</f>
        <v>14.874000000000001</v>
      </c>
      <c r="AQ4" s="9">
        <f t="shared" ref="AQ4:AQ5" si="30">K4*0.067</f>
        <v>15.946000000000002</v>
      </c>
      <c r="AR4" s="9"/>
      <c r="AS4" s="9">
        <f t="shared" ref="AS4:AS5" si="31">M4*0.067</f>
        <v>13.668000000000001</v>
      </c>
      <c r="AT4" s="9">
        <f t="shared" ref="AT4:AT5" si="32">N4*0.067</f>
        <v>15.142000000000001</v>
      </c>
      <c r="AU4" s="9">
        <f t="shared" ref="AU4:AU5" si="33">O4*0.067</f>
        <v>15.611000000000001</v>
      </c>
      <c r="AX4" s="39">
        <f t="shared" ref="AX4:AX5" si="34">AVERAGEA(AI4:AN4)</f>
        <v>14.606</v>
      </c>
      <c r="AY4" s="39"/>
      <c r="AZ4" s="39">
        <f t="shared" ref="AZ4:AZ19" si="35">AVERAGE(AP4:AU4)</f>
        <v>15.0482</v>
      </c>
    </row>
    <row r="5" spans="1:52" x14ac:dyDescent="0.25">
      <c r="A5" s="5">
        <v>3</v>
      </c>
      <c r="B5" s="5"/>
      <c r="C5" s="36">
        <v>235</v>
      </c>
      <c r="D5" s="36">
        <v>193</v>
      </c>
      <c r="E5" s="36">
        <v>198</v>
      </c>
      <c r="F5" s="36">
        <v>210</v>
      </c>
      <c r="G5" s="36">
        <v>176</v>
      </c>
      <c r="H5" s="36">
        <v>192</v>
      </c>
      <c r="I5" s="5"/>
      <c r="J5" s="36">
        <v>236</v>
      </c>
      <c r="K5" s="36">
        <v>176</v>
      </c>
      <c r="L5" s="36"/>
      <c r="M5" s="36">
        <v>216</v>
      </c>
      <c r="N5" s="36">
        <v>239</v>
      </c>
      <c r="O5" s="36">
        <v>216</v>
      </c>
      <c r="P5" s="5"/>
      <c r="Q5" s="5"/>
      <c r="R5" s="5"/>
      <c r="S5" s="42">
        <f t="shared" si="21"/>
        <v>200.66666666666666</v>
      </c>
      <c r="T5" s="41"/>
      <c r="U5" s="42">
        <f t="shared" si="22"/>
        <v>216.6</v>
      </c>
      <c r="AG5">
        <f t="shared" si="0"/>
        <v>3</v>
      </c>
      <c r="AI5" s="9">
        <f t="shared" si="23"/>
        <v>15.745000000000001</v>
      </c>
      <c r="AJ5" s="9">
        <f t="shared" si="24"/>
        <v>12.931000000000001</v>
      </c>
      <c r="AK5" s="9">
        <f t="shared" si="25"/>
        <v>13.266</v>
      </c>
      <c r="AL5" s="9">
        <f t="shared" si="26"/>
        <v>14.07</v>
      </c>
      <c r="AM5" s="9">
        <f t="shared" si="27"/>
        <v>11.792000000000002</v>
      </c>
      <c r="AN5" s="9">
        <f t="shared" si="28"/>
        <v>12.864000000000001</v>
      </c>
      <c r="AP5" s="9">
        <f t="shared" si="29"/>
        <v>15.812000000000001</v>
      </c>
      <c r="AQ5" s="9">
        <f t="shared" si="30"/>
        <v>11.792000000000002</v>
      </c>
      <c r="AR5" s="9"/>
      <c r="AS5" s="9">
        <f t="shared" si="31"/>
        <v>14.472000000000001</v>
      </c>
      <c r="AT5" s="9">
        <f t="shared" si="32"/>
        <v>16.013000000000002</v>
      </c>
      <c r="AU5" s="9">
        <f t="shared" si="33"/>
        <v>14.472000000000001</v>
      </c>
      <c r="AX5" s="39">
        <f t="shared" si="34"/>
        <v>13.444666666666668</v>
      </c>
      <c r="AY5" s="39"/>
      <c r="AZ5" s="39">
        <f t="shared" si="35"/>
        <v>14.512200000000002</v>
      </c>
    </row>
    <row r="6" spans="1:52" x14ac:dyDescent="0.25">
      <c r="A6" s="5">
        <v>4</v>
      </c>
      <c r="B6" s="5"/>
      <c r="C6" s="6">
        <v>107</v>
      </c>
      <c r="D6" s="6">
        <v>166</v>
      </c>
      <c r="E6" s="6">
        <v>143</v>
      </c>
      <c r="F6" s="6">
        <v>113</v>
      </c>
      <c r="G6" s="6">
        <v>165</v>
      </c>
      <c r="H6" s="6">
        <v>142</v>
      </c>
      <c r="I6" s="5"/>
      <c r="J6" s="37">
        <v>212</v>
      </c>
      <c r="K6" s="37">
        <v>199</v>
      </c>
      <c r="L6" s="37"/>
      <c r="M6" s="37">
        <v>184</v>
      </c>
      <c r="N6" s="37">
        <v>165</v>
      </c>
      <c r="O6" s="37">
        <v>188</v>
      </c>
      <c r="P6" s="5"/>
      <c r="Q6" s="5"/>
      <c r="R6" s="5"/>
      <c r="S6" s="43">
        <f t="shared" si="21"/>
        <v>139.33333333333334</v>
      </c>
      <c r="T6" s="41"/>
      <c r="U6" s="44">
        <f t="shared" si="22"/>
        <v>189.6</v>
      </c>
      <c r="AG6">
        <f t="shared" si="0"/>
        <v>4</v>
      </c>
      <c r="AI6" s="38">
        <f>C6*0.08</f>
        <v>8.56</v>
      </c>
      <c r="AJ6" s="38">
        <f t="shared" ref="AJ6:AN6" si="36">D6*0.08</f>
        <v>13.280000000000001</v>
      </c>
      <c r="AK6" s="38">
        <f t="shared" si="36"/>
        <v>11.44</v>
      </c>
      <c r="AL6" s="38">
        <f t="shared" si="36"/>
        <v>9.0400000000000009</v>
      </c>
      <c r="AM6" s="38">
        <f t="shared" si="36"/>
        <v>13.200000000000001</v>
      </c>
      <c r="AN6" s="38">
        <f t="shared" si="36"/>
        <v>11.36</v>
      </c>
      <c r="AP6" s="40">
        <f t="shared" ref="AP6" si="37">J6*0.08</f>
        <v>16.96</v>
      </c>
      <c r="AQ6" s="40">
        <f t="shared" ref="AQ6" si="38">K6*0.08</f>
        <v>15.92</v>
      </c>
      <c r="AR6" s="40"/>
      <c r="AS6" s="40">
        <f t="shared" ref="AS6" si="39">M6*0.08</f>
        <v>14.72</v>
      </c>
      <c r="AT6" s="40">
        <f t="shared" ref="AT6" si="40">N6*0.08</f>
        <v>13.200000000000001</v>
      </c>
      <c r="AU6" s="40">
        <f t="shared" ref="AU6" si="41">O6*0.08</f>
        <v>15.040000000000001</v>
      </c>
      <c r="AX6" s="39">
        <f>AVERAGE(AI6:AN6)</f>
        <v>11.146666666666667</v>
      </c>
      <c r="AY6" s="39"/>
      <c r="AZ6" s="39">
        <f t="shared" si="35"/>
        <v>15.168000000000001</v>
      </c>
    </row>
    <row r="7" spans="1:52" x14ac:dyDescent="0.25">
      <c r="A7" s="5">
        <v>5</v>
      </c>
      <c r="B7" s="5"/>
      <c r="C7" s="6">
        <v>154</v>
      </c>
      <c r="D7" s="6">
        <v>176</v>
      </c>
      <c r="E7" s="6">
        <v>147</v>
      </c>
      <c r="F7" s="6">
        <v>158</v>
      </c>
      <c r="G7" s="6">
        <v>155</v>
      </c>
      <c r="H7" s="6">
        <v>143</v>
      </c>
      <c r="I7" s="5"/>
      <c r="J7" s="37">
        <v>204</v>
      </c>
      <c r="K7" s="37">
        <v>182</v>
      </c>
      <c r="L7" s="37"/>
      <c r="M7" s="37">
        <v>180</v>
      </c>
      <c r="N7" s="37">
        <v>159</v>
      </c>
      <c r="O7" s="37">
        <v>191</v>
      </c>
      <c r="P7" s="5"/>
      <c r="Q7" s="5"/>
      <c r="R7" s="5"/>
      <c r="S7" s="43">
        <f t="shared" si="21"/>
        <v>155.5</v>
      </c>
      <c r="T7" s="41"/>
      <c r="U7" s="44">
        <f t="shared" si="22"/>
        <v>183.2</v>
      </c>
      <c r="AG7">
        <f t="shared" si="0"/>
        <v>5</v>
      </c>
      <c r="AI7" s="38">
        <f t="shared" ref="AI7:AI19" si="42">C7*0.08</f>
        <v>12.32</v>
      </c>
      <c r="AJ7" s="38">
        <f t="shared" ref="AJ7:AJ19" si="43">D7*0.08</f>
        <v>14.08</v>
      </c>
      <c r="AK7" s="38">
        <f t="shared" ref="AK7:AK19" si="44">E7*0.08</f>
        <v>11.76</v>
      </c>
      <c r="AL7" s="38">
        <f t="shared" ref="AL7:AL19" si="45">F7*0.08</f>
        <v>12.64</v>
      </c>
      <c r="AM7" s="38">
        <f t="shared" ref="AM7:AM19" si="46">G7*0.08</f>
        <v>12.4</v>
      </c>
      <c r="AN7" s="38">
        <f t="shared" ref="AN7:AN19" si="47">H7*0.08</f>
        <v>11.44</v>
      </c>
      <c r="AP7" s="40">
        <f t="shared" ref="AP7:AP19" si="48">J7*0.08</f>
        <v>16.32</v>
      </c>
      <c r="AQ7" s="40">
        <f t="shared" ref="AQ7:AQ19" si="49">K7*0.08</f>
        <v>14.56</v>
      </c>
      <c r="AR7" s="40"/>
      <c r="AS7" s="40">
        <f t="shared" ref="AS7:AS19" si="50">M7*0.08</f>
        <v>14.4</v>
      </c>
      <c r="AT7" s="40">
        <f t="shared" ref="AT7:AT19" si="51">N7*0.08</f>
        <v>12.72</v>
      </c>
      <c r="AU7" s="40">
        <f t="shared" ref="AU7:AU19" si="52">O7*0.08</f>
        <v>15.280000000000001</v>
      </c>
      <c r="AX7" s="39">
        <f t="shared" ref="AX7:AX19" si="53">AVERAGE(AI7:AN7)</f>
        <v>12.44</v>
      </c>
      <c r="AY7" s="39"/>
      <c r="AZ7" s="39">
        <f t="shared" si="35"/>
        <v>14.656000000000001</v>
      </c>
    </row>
    <row r="8" spans="1:52" x14ac:dyDescent="0.25">
      <c r="A8" s="5">
        <v>6</v>
      </c>
      <c r="B8" s="5"/>
      <c r="C8" s="6">
        <v>219</v>
      </c>
      <c r="D8" s="6">
        <v>196</v>
      </c>
      <c r="E8" s="6">
        <v>214</v>
      </c>
      <c r="F8" s="6">
        <v>207</v>
      </c>
      <c r="G8" s="6">
        <v>208</v>
      </c>
      <c r="H8" s="6">
        <v>214</v>
      </c>
      <c r="I8" s="5"/>
      <c r="J8" s="37">
        <v>207</v>
      </c>
      <c r="K8" s="37">
        <v>181</v>
      </c>
      <c r="L8" s="37"/>
      <c r="M8" s="37">
        <v>213</v>
      </c>
      <c r="N8" s="37">
        <v>177</v>
      </c>
      <c r="O8" s="37">
        <v>180</v>
      </c>
      <c r="P8" s="5"/>
      <c r="Q8" s="5"/>
      <c r="R8" s="5"/>
      <c r="S8" s="43">
        <f t="shared" si="21"/>
        <v>209.66666666666666</v>
      </c>
      <c r="T8" s="41"/>
      <c r="U8" s="44">
        <f t="shared" si="22"/>
        <v>191.6</v>
      </c>
      <c r="AG8">
        <f t="shared" si="0"/>
        <v>6</v>
      </c>
      <c r="AI8" s="38">
        <f t="shared" si="42"/>
        <v>17.52</v>
      </c>
      <c r="AJ8" s="38">
        <f t="shared" si="43"/>
        <v>15.68</v>
      </c>
      <c r="AK8" s="38">
        <f t="shared" si="44"/>
        <v>17.12</v>
      </c>
      <c r="AL8" s="38">
        <f t="shared" si="45"/>
        <v>16.559999999999999</v>
      </c>
      <c r="AM8" s="38">
        <f t="shared" si="46"/>
        <v>16.64</v>
      </c>
      <c r="AN8" s="38">
        <f t="shared" si="47"/>
        <v>17.12</v>
      </c>
      <c r="AP8" s="40">
        <f t="shared" si="48"/>
        <v>16.559999999999999</v>
      </c>
      <c r="AQ8" s="40">
        <f t="shared" si="49"/>
        <v>14.48</v>
      </c>
      <c r="AR8" s="40"/>
      <c r="AS8" s="40">
        <f t="shared" si="50"/>
        <v>17.04</v>
      </c>
      <c r="AT8" s="40">
        <f t="shared" si="51"/>
        <v>14.16</v>
      </c>
      <c r="AU8" s="40">
        <f t="shared" si="52"/>
        <v>14.4</v>
      </c>
      <c r="AX8" s="39">
        <f t="shared" si="53"/>
        <v>16.773333333333337</v>
      </c>
      <c r="AY8" s="39"/>
      <c r="AZ8" s="39">
        <f t="shared" si="35"/>
        <v>15.327999999999999</v>
      </c>
    </row>
    <row r="9" spans="1:52" x14ac:dyDescent="0.25">
      <c r="A9" s="5">
        <v>7</v>
      </c>
      <c r="B9" s="5"/>
      <c r="C9" s="6">
        <v>226</v>
      </c>
      <c r="D9" s="6">
        <v>156</v>
      </c>
      <c r="E9" s="6">
        <v>213</v>
      </c>
      <c r="F9" s="6">
        <v>188</v>
      </c>
      <c r="G9" s="6">
        <v>198</v>
      </c>
      <c r="H9" s="6">
        <v>213</v>
      </c>
      <c r="I9" s="5"/>
      <c r="J9" s="37">
        <v>203</v>
      </c>
      <c r="K9" s="37">
        <v>168</v>
      </c>
      <c r="L9" s="37"/>
      <c r="M9" s="37">
        <v>192</v>
      </c>
      <c r="N9" s="37">
        <v>161</v>
      </c>
      <c r="O9" s="37">
        <v>161</v>
      </c>
      <c r="P9" s="5"/>
      <c r="Q9" s="5"/>
      <c r="R9" s="5"/>
      <c r="S9" s="43">
        <f t="shared" si="21"/>
        <v>199</v>
      </c>
      <c r="T9" s="41"/>
      <c r="U9" s="44">
        <f t="shared" si="22"/>
        <v>177</v>
      </c>
      <c r="AG9">
        <f t="shared" si="0"/>
        <v>7</v>
      </c>
      <c r="AI9" s="38">
        <f t="shared" si="42"/>
        <v>18.080000000000002</v>
      </c>
      <c r="AJ9" s="38">
        <f t="shared" si="43"/>
        <v>12.48</v>
      </c>
      <c r="AK9" s="38">
        <f t="shared" si="44"/>
        <v>17.04</v>
      </c>
      <c r="AL9" s="38">
        <f t="shared" si="45"/>
        <v>15.040000000000001</v>
      </c>
      <c r="AM9" s="38">
        <f t="shared" si="46"/>
        <v>15.84</v>
      </c>
      <c r="AN9" s="38">
        <f t="shared" si="47"/>
        <v>17.04</v>
      </c>
      <c r="AP9" s="40">
        <f t="shared" si="48"/>
        <v>16.240000000000002</v>
      </c>
      <c r="AQ9" s="40">
        <f t="shared" si="49"/>
        <v>13.44</v>
      </c>
      <c r="AR9" s="40"/>
      <c r="AS9" s="40">
        <f t="shared" si="50"/>
        <v>15.36</v>
      </c>
      <c r="AT9" s="40">
        <f t="shared" si="51"/>
        <v>12.88</v>
      </c>
      <c r="AU9" s="40">
        <f t="shared" si="52"/>
        <v>12.88</v>
      </c>
      <c r="AX9" s="39">
        <f t="shared" si="53"/>
        <v>15.920000000000002</v>
      </c>
      <c r="AY9" s="39"/>
      <c r="AZ9" s="39">
        <f t="shared" si="35"/>
        <v>14.16</v>
      </c>
    </row>
    <row r="10" spans="1:52" x14ac:dyDescent="0.25">
      <c r="A10" s="5">
        <v>8</v>
      </c>
      <c r="B10" s="5"/>
      <c r="C10" s="6">
        <v>254</v>
      </c>
      <c r="D10" s="6">
        <v>176</v>
      </c>
      <c r="E10" s="6">
        <v>243</v>
      </c>
      <c r="F10" s="6">
        <v>175</v>
      </c>
      <c r="G10" s="6">
        <v>214</v>
      </c>
      <c r="H10" s="6">
        <v>203</v>
      </c>
      <c r="I10" s="5"/>
      <c r="J10" s="37">
        <v>217</v>
      </c>
      <c r="K10" s="37">
        <v>188</v>
      </c>
      <c r="L10" s="37"/>
      <c r="M10" s="37">
        <v>193</v>
      </c>
      <c r="N10" s="37">
        <v>201</v>
      </c>
      <c r="O10" s="37">
        <v>201</v>
      </c>
      <c r="P10" s="5"/>
      <c r="Q10" s="5"/>
      <c r="R10" s="5"/>
      <c r="S10" s="43">
        <f t="shared" si="21"/>
        <v>210.83333333333334</v>
      </c>
      <c r="T10" s="41"/>
      <c r="U10" s="44">
        <f t="shared" si="22"/>
        <v>200</v>
      </c>
      <c r="AG10">
        <f t="shared" si="0"/>
        <v>8</v>
      </c>
      <c r="AI10" s="38">
        <f t="shared" si="42"/>
        <v>20.32</v>
      </c>
      <c r="AJ10" s="38">
        <f t="shared" si="43"/>
        <v>14.08</v>
      </c>
      <c r="AK10" s="38">
        <f t="shared" si="44"/>
        <v>19.440000000000001</v>
      </c>
      <c r="AL10" s="38">
        <f t="shared" si="45"/>
        <v>14</v>
      </c>
      <c r="AM10" s="38">
        <f t="shared" si="46"/>
        <v>17.12</v>
      </c>
      <c r="AN10" s="38">
        <f t="shared" si="47"/>
        <v>16.240000000000002</v>
      </c>
      <c r="AP10" s="40">
        <f t="shared" si="48"/>
        <v>17.36</v>
      </c>
      <c r="AQ10" s="40">
        <f t="shared" si="49"/>
        <v>15.040000000000001</v>
      </c>
      <c r="AR10" s="40"/>
      <c r="AS10" s="40">
        <f t="shared" si="50"/>
        <v>15.44</v>
      </c>
      <c r="AT10" s="40">
        <f t="shared" si="51"/>
        <v>16.080000000000002</v>
      </c>
      <c r="AU10" s="40">
        <f t="shared" si="52"/>
        <v>16.080000000000002</v>
      </c>
      <c r="AX10" s="39">
        <f t="shared" si="53"/>
        <v>16.866666666666671</v>
      </c>
      <c r="AY10" s="39"/>
      <c r="AZ10" s="39">
        <f t="shared" si="35"/>
        <v>16</v>
      </c>
    </row>
    <row r="11" spans="1:52" x14ac:dyDescent="0.25">
      <c r="A11" s="5">
        <v>9</v>
      </c>
      <c r="B11" s="5"/>
      <c r="C11" s="6">
        <v>246</v>
      </c>
      <c r="D11" s="6">
        <v>192</v>
      </c>
      <c r="E11" s="6">
        <v>261</v>
      </c>
      <c r="F11" s="6">
        <v>217</v>
      </c>
      <c r="G11" s="6">
        <v>250</v>
      </c>
      <c r="H11" s="6">
        <v>218</v>
      </c>
      <c r="I11" s="5"/>
      <c r="J11" s="37">
        <v>209</v>
      </c>
      <c r="K11" s="37">
        <v>208</v>
      </c>
      <c r="L11" s="37"/>
      <c r="M11" s="37">
        <v>198</v>
      </c>
      <c r="N11" s="37">
        <v>199</v>
      </c>
      <c r="O11" s="37">
        <v>199</v>
      </c>
      <c r="P11" s="5"/>
      <c r="Q11" s="5"/>
      <c r="R11" s="5"/>
      <c r="S11" s="43">
        <f t="shared" si="21"/>
        <v>230.66666666666666</v>
      </c>
      <c r="T11" s="41"/>
      <c r="U11" s="44">
        <f t="shared" si="22"/>
        <v>202.6</v>
      </c>
      <c r="AG11">
        <f t="shared" si="0"/>
        <v>9</v>
      </c>
      <c r="AI11" s="38">
        <f t="shared" si="42"/>
        <v>19.68</v>
      </c>
      <c r="AJ11" s="38">
        <f t="shared" si="43"/>
        <v>15.36</v>
      </c>
      <c r="AK11" s="38">
        <f t="shared" si="44"/>
        <v>20.88</v>
      </c>
      <c r="AL11" s="38">
        <f t="shared" si="45"/>
        <v>17.36</v>
      </c>
      <c r="AM11" s="38">
        <f t="shared" si="46"/>
        <v>20</v>
      </c>
      <c r="AN11" s="38">
        <f t="shared" si="47"/>
        <v>17.440000000000001</v>
      </c>
      <c r="AP11" s="40">
        <f t="shared" si="48"/>
        <v>16.72</v>
      </c>
      <c r="AQ11" s="40">
        <f t="shared" si="49"/>
        <v>16.64</v>
      </c>
      <c r="AR11" s="40"/>
      <c r="AS11" s="40">
        <f t="shared" si="50"/>
        <v>15.84</v>
      </c>
      <c r="AT11" s="40">
        <f t="shared" si="51"/>
        <v>15.92</v>
      </c>
      <c r="AU11" s="40">
        <f t="shared" si="52"/>
        <v>15.92</v>
      </c>
      <c r="AX11" s="39">
        <f t="shared" si="53"/>
        <v>18.453333333333333</v>
      </c>
      <c r="AY11" s="39"/>
      <c r="AZ11" s="39">
        <f t="shared" si="35"/>
        <v>16.208000000000002</v>
      </c>
    </row>
    <row r="12" spans="1:52" x14ac:dyDescent="0.25">
      <c r="A12" s="5">
        <v>10</v>
      </c>
      <c r="B12" s="5"/>
      <c r="C12" s="6">
        <v>182</v>
      </c>
      <c r="D12" s="6">
        <v>186</v>
      </c>
      <c r="E12" s="6">
        <v>205</v>
      </c>
      <c r="F12" s="6">
        <v>217</v>
      </c>
      <c r="G12" s="6">
        <v>213</v>
      </c>
      <c r="H12" s="6">
        <v>189</v>
      </c>
      <c r="I12" s="5"/>
      <c r="J12" s="37">
        <v>192</v>
      </c>
      <c r="K12" s="37">
        <v>188</v>
      </c>
      <c r="L12" s="37"/>
      <c r="M12" s="37">
        <v>204</v>
      </c>
      <c r="N12" s="37">
        <v>168</v>
      </c>
      <c r="O12" s="37">
        <v>166</v>
      </c>
      <c r="P12" s="5"/>
      <c r="Q12" s="5"/>
      <c r="R12" s="5"/>
      <c r="S12" s="43">
        <f t="shared" si="21"/>
        <v>198.66666666666666</v>
      </c>
      <c r="T12" s="41"/>
      <c r="U12" s="44">
        <f t="shared" si="22"/>
        <v>183.6</v>
      </c>
      <c r="AG12">
        <f t="shared" si="0"/>
        <v>10</v>
      </c>
      <c r="AI12" s="38">
        <f t="shared" si="42"/>
        <v>14.56</v>
      </c>
      <c r="AJ12" s="38">
        <f t="shared" si="43"/>
        <v>14.88</v>
      </c>
      <c r="AK12" s="38">
        <f t="shared" si="44"/>
        <v>16.399999999999999</v>
      </c>
      <c r="AL12" s="38">
        <f t="shared" si="45"/>
        <v>17.36</v>
      </c>
      <c r="AM12" s="38">
        <f t="shared" si="46"/>
        <v>17.04</v>
      </c>
      <c r="AN12" s="38">
        <f t="shared" si="47"/>
        <v>15.120000000000001</v>
      </c>
      <c r="AP12" s="40">
        <f t="shared" si="48"/>
        <v>15.36</v>
      </c>
      <c r="AQ12" s="40">
        <f t="shared" si="49"/>
        <v>15.040000000000001</v>
      </c>
      <c r="AR12" s="40"/>
      <c r="AS12" s="40">
        <f t="shared" si="50"/>
        <v>16.32</v>
      </c>
      <c r="AT12" s="40">
        <f t="shared" si="51"/>
        <v>13.44</v>
      </c>
      <c r="AU12" s="40">
        <f t="shared" si="52"/>
        <v>13.280000000000001</v>
      </c>
      <c r="AX12" s="39">
        <f t="shared" si="53"/>
        <v>15.893333333333336</v>
      </c>
      <c r="AY12" s="39"/>
      <c r="AZ12" s="39">
        <f t="shared" si="35"/>
        <v>14.687999999999999</v>
      </c>
    </row>
    <row r="13" spans="1:52" x14ac:dyDescent="0.25">
      <c r="A13" s="5">
        <v>11</v>
      </c>
      <c r="B13" s="5"/>
      <c r="C13" s="37">
        <v>253</v>
      </c>
      <c r="D13" s="37">
        <v>198</v>
      </c>
      <c r="E13" s="37">
        <v>264</v>
      </c>
      <c r="F13" s="37">
        <v>250</v>
      </c>
      <c r="G13" s="37">
        <v>244</v>
      </c>
      <c r="H13" s="37">
        <v>150</v>
      </c>
      <c r="I13" s="5"/>
      <c r="J13" s="6">
        <v>169</v>
      </c>
      <c r="K13" s="6">
        <v>159</v>
      </c>
      <c r="L13" s="6"/>
      <c r="M13" s="6">
        <v>238</v>
      </c>
      <c r="N13" s="6">
        <v>170</v>
      </c>
      <c r="O13" s="6">
        <v>172</v>
      </c>
      <c r="P13" s="5"/>
      <c r="Q13" s="5"/>
      <c r="R13" s="5"/>
      <c r="S13" s="44">
        <f t="shared" si="21"/>
        <v>226.5</v>
      </c>
      <c r="T13" s="41"/>
      <c r="U13" s="43">
        <f t="shared" si="22"/>
        <v>181.6</v>
      </c>
      <c r="AG13">
        <f t="shared" si="0"/>
        <v>11</v>
      </c>
      <c r="AI13" s="40">
        <f t="shared" si="42"/>
        <v>20.240000000000002</v>
      </c>
      <c r="AJ13" s="40">
        <f t="shared" si="43"/>
        <v>15.84</v>
      </c>
      <c r="AK13" s="40">
        <f t="shared" si="44"/>
        <v>21.12</v>
      </c>
      <c r="AL13" s="40">
        <f t="shared" si="45"/>
        <v>20</v>
      </c>
      <c r="AM13" s="40">
        <f t="shared" si="46"/>
        <v>19.52</v>
      </c>
      <c r="AN13" s="40">
        <f t="shared" si="47"/>
        <v>12</v>
      </c>
      <c r="AP13" s="38">
        <f t="shared" si="48"/>
        <v>13.52</v>
      </c>
      <c r="AQ13" s="38">
        <f t="shared" si="49"/>
        <v>12.72</v>
      </c>
      <c r="AR13" s="38"/>
      <c r="AS13" s="38">
        <f t="shared" si="50"/>
        <v>19.04</v>
      </c>
      <c r="AT13" s="38">
        <f t="shared" si="51"/>
        <v>13.6</v>
      </c>
      <c r="AU13" s="38">
        <f t="shared" si="52"/>
        <v>13.76</v>
      </c>
      <c r="AX13" s="39">
        <f t="shared" si="53"/>
        <v>18.12</v>
      </c>
      <c r="AY13" s="39"/>
      <c r="AZ13" s="39">
        <f t="shared" si="35"/>
        <v>14.528</v>
      </c>
    </row>
    <row r="14" spans="1:52" x14ac:dyDescent="0.25">
      <c r="A14" s="5">
        <v>12</v>
      </c>
      <c r="B14" s="5"/>
      <c r="C14" s="37">
        <v>212</v>
      </c>
      <c r="D14" s="37">
        <v>208</v>
      </c>
      <c r="E14" s="37">
        <v>232</v>
      </c>
      <c r="F14" s="37">
        <v>240</v>
      </c>
      <c r="G14" s="37">
        <v>227</v>
      </c>
      <c r="H14" s="37">
        <v>288</v>
      </c>
      <c r="I14" s="5"/>
      <c r="J14" s="6">
        <v>234</v>
      </c>
      <c r="K14" s="6">
        <v>212</v>
      </c>
      <c r="L14" s="6"/>
      <c r="M14" s="6">
        <v>236</v>
      </c>
      <c r="N14" s="6">
        <v>176</v>
      </c>
      <c r="O14" s="6">
        <v>199</v>
      </c>
      <c r="P14" s="5"/>
      <c r="Q14" s="5"/>
      <c r="R14" s="5"/>
      <c r="S14" s="44">
        <f t="shared" si="21"/>
        <v>234.5</v>
      </c>
      <c r="T14" s="41"/>
      <c r="U14" s="43">
        <f t="shared" si="22"/>
        <v>211.4</v>
      </c>
      <c r="AG14">
        <f t="shared" si="0"/>
        <v>12</v>
      </c>
      <c r="AI14" s="40">
        <f t="shared" si="42"/>
        <v>16.96</v>
      </c>
      <c r="AJ14" s="40">
        <f t="shared" si="43"/>
        <v>16.64</v>
      </c>
      <c r="AK14" s="40">
        <f t="shared" si="44"/>
        <v>18.559999999999999</v>
      </c>
      <c r="AL14" s="40">
        <f t="shared" si="45"/>
        <v>19.2</v>
      </c>
      <c r="AM14" s="40">
        <f t="shared" si="46"/>
        <v>18.16</v>
      </c>
      <c r="AN14" s="40">
        <f t="shared" si="47"/>
        <v>23.04</v>
      </c>
      <c r="AP14" s="38">
        <f t="shared" si="48"/>
        <v>18.72</v>
      </c>
      <c r="AQ14" s="38">
        <f t="shared" si="49"/>
        <v>16.96</v>
      </c>
      <c r="AR14" s="38"/>
      <c r="AS14" s="38">
        <f t="shared" si="50"/>
        <v>18.88</v>
      </c>
      <c r="AT14" s="38">
        <f t="shared" si="51"/>
        <v>14.08</v>
      </c>
      <c r="AU14" s="38">
        <f t="shared" si="52"/>
        <v>15.92</v>
      </c>
      <c r="AX14" s="39">
        <f t="shared" si="53"/>
        <v>18.760000000000002</v>
      </c>
      <c r="AY14" s="39"/>
      <c r="AZ14" s="39">
        <f t="shared" si="35"/>
        <v>16.911999999999999</v>
      </c>
    </row>
    <row r="15" spans="1:52" x14ac:dyDescent="0.25">
      <c r="A15" s="5">
        <v>13</v>
      </c>
      <c r="B15" s="5"/>
      <c r="C15" s="37">
        <v>169</v>
      </c>
      <c r="D15" s="37">
        <v>151</v>
      </c>
      <c r="E15" s="37">
        <v>223</v>
      </c>
      <c r="F15" s="37">
        <v>224</v>
      </c>
      <c r="G15" s="37">
        <v>208</v>
      </c>
      <c r="H15" s="37">
        <v>233</v>
      </c>
      <c r="I15" s="5"/>
      <c r="J15" s="6">
        <v>238</v>
      </c>
      <c r="K15" s="6">
        <v>184</v>
      </c>
      <c r="L15" s="6"/>
      <c r="M15" s="6">
        <v>192</v>
      </c>
      <c r="N15" s="6">
        <v>126</v>
      </c>
      <c r="O15" s="6">
        <v>173</v>
      </c>
      <c r="P15" s="5"/>
      <c r="Q15" s="5"/>
      <c r="R15" s="5"/>
      <c r="S15" s="44">
        <f t="shared" si="21"/>
        <v>201.33333333333334</v>
      </c>
      <c r="T15" s="41"/>
      <c r="U15" s="43">
        <f t="shared" si="22"/>
        <v>182.6</v>
      </c>
      <c r="AG15">
        <f t="shared" si="0"/>
        <v>13</v>
      </c>
      <c r="AI15" s="40">
        <f t="shared" si="42"/>
        <v>13.52</v>
      </c>
      <c r="AJ15" s="40">
        <f t="shared" si="43"/>
        <v>12.08</v>
      </c>
      <c r="AK15" s="40">
        <f t="shared" si="44"/>
        <v>17.84</v>
      </c>
      <c r="AL15" s="40">
        <f t="shared" si="45"/>
        <v>17.920000000000002</v>
      </c>
      <c r="AM15" s="40">
        <f t="shared" si="46"/>
        <v>16.64</v>
      </c>
      <c r="AN15" s="40">
        <f t="shared" si="47"/>
        <v>18.64</v>
      </c>
      <c r="AP15" s="38">
        <f t="shared" si="48"/>
        <v>19.04</v>
      </c>
      <c r="AQ15" s="38">
        <f t="shared" si="49"/>
        <v>14.72</v>
      </c>
      <c r="AR15" s="38"/>
      <c r="AS15" s="38">
        <f t="shared" si="50"/>
        <v>15.36</v>
      </c>
      <c r="AT15" s="38">
        <f t="shared" si="51"/>
        <v>10.08</v>
      </c>
      <c r="AU15" s="38">
        <f t="shared" si="52"/>
        <v>13.84</v>
      </c>
      <c r="AX15" s="39">
        <f t="shared" si="53"/>
        <v>16.106666666666666</v>
      </c>
      <c r="AY15" s="39"/>
      <c r="AZ15" s="39">
        <f t="shared" si="35"/>
        <v>14.607999999999999</v>
      </c>
    </row>
    <row r="16" spans="1:52" x14ac:dyDescent="0.25">
      <c r="A16" s="5">
        <v>14</v>
      </c>
      <c r="B16" s="5"/>
      <c r="C16" s="37">
        <v>164</v>
      </c>
      <c r="D16" s="37">
        <v>132</v>
      </c>
      <c r="E16" s="37">
        <v>198</v>
      </c>
      <c r="F16" s="37">
        <v>185</v>
      </c>
      <c r="G16" s="37">
        <v>180</v>
      </c>
      <c r="H16" s="37">
        <v>224</v>
      </c>
      <c r="I16" s="5"/>
      <c r="J16" s="6">
        <v>270</v>
      </c>
      <c r="K16" s="6">
        <v>182</v>
      </c>
      <c r="L16" s="6"/>
      <c r="M16" s="6">
        <v>185</v>
      </c>
      <c r="N16" s="6">
        <v>136</v>
      </c>
      <c r="O16" s="6">
        <v>163</v>
      </c>
      <c r="P16" s="5"/>
      <c r="Q16" s="5"/>
      <c r="R16" s="5"/>
      <c r="S16" s="44">
        <f t="shared" si="21"/>
        <v>180.5</v>
      </c>
      <c r="T16" s="41"/>
      <c r="U16" s="43">
        <f t="shared" si="22"/>
        <v>187.2</v>
      </c>
      <c r="AG16">
        <f t="shared" si="0"/>
        <v>14</v>
      </c>
      <c r="AI16" s="40">
        <f t="shared" si="42"/>
        <v>13.120000000000001</v>
      </c>
      <c r="AJ16" s="40">
        <f t="shared" si="43"/>
        <v>10.56</v>
      </c>
      <c r="AK16" s="40">
        <f t="shared" si="44"/>
        <v>15.84</v>
      </c>
      <c r="AL16" s="40">
        <f t="shared" si="45"/>
        <v>14.8</v>
      </c>
      <c r="AM16" s="40">
        <f t="shared" si="46"/>
        <v>14.4</v>
      </c>
      <c r="AN16" s="40">
        <f t="shared" si="47"/>
        <v>17.920000000000002</v>
      </c>
      <c r="AP16" s="38">
        <f t="shared" si="48"/>
        <v>21.6</v>
      </c>
      <c r="AQ16" s="38">
        <f t="shared" si="49"/>
        <v>14.56</v>
      </c>
      <c r="AR16" s="38"/>
      <c r="AS16" s="38">
        <f t="shared" si="50"/>
        <v>14.8</v>
      </c>
      <c r="AT16" s="38">
        <f t="shared" si="51"/>
        <v>10.88</v>
      </c>
      <c r="AU16" s="38">
        <f t="shared" si="52"/>
        <v>13.040000000000001</v>
      </c>
      <c r="AX16" s="39">
        <f t="shared" si="53"/>
        <v>14.44</v>
      </c>
      <c r="AY16" s="39"/>
      <c r="AZ16" s="39">
        <f t="shared" si="35"/>
        <v>14.976000000000003</v>
      </c>
    </row>
    <row r="17" spans="1:58" x14ac:dyDescent="0.25">
      <c r="A17" s="5">
        <v>15</v>
      </c>
      <c r="B17" s="5"/>
      <c r="C17" s="37">
        <v>154</v>
      </c>
      <c r="D17" s="37">
        <v>121</v>
      </c>
      <c r="E17" s="37">
        <v>178</v>
      </c>
      <c r="F17" s="37">
        <v>164</v>
      </c>
      <c r="G17" s="37">
        <v>158</v>
      </c>
      <c r="H17" s="37">
        <v>213</v>
      </c>
      <c r="I17" s="5"/>
      <c r="J17" s="6">
        <v>246</v>
      </c>
      <c r="K17" s="6">
        <v>182</v>
      </c>
      <c r="L17" s="6"/>
      <c r="M17" s="6">
        <v>169</v>
      </c>
      <c r="N17" s="6">
        <v>139</v>
      </c>
      <c r="O17" s="6">
        <v>199</v>
      </c>
      <c r="P17" s="5"/>
      <c r="Q17" s="5"/>
      <c r="R17" s="5"/>
      <c r="S17" s="44">
        <f t="shared" si="21"/>
        <v>164.66666666666666</v>
      </c>
      <c r="T17" s="41"/>
      <c r="U17" s="43">
        <f t="shared" si="22"/>
        <v>187</v>
      </c>
      <c r="AG17">
        <f t="shared" si="0"/>
        <v>15</v>
      </c>
      <c r="AI17" s="40">
        <f t="shared" si="42"/>
        <v>12.32</v>
      </c>
      <c r="AJ17" s="40">
        <f t="shared" si="43"/>
        <v>9.68</v>
      </c>
      <c r="AK17" s="40">
        <f t="shared" si="44"/>
        <v>14.24</v>
      </c>
      <c r="AL17" s="40">
        <f t="shared" si="45"/>
        <v>13.120000000000001</v>
      </c>
      <c r="AM17" s="40">
        <f t="shared" si="46"/>
        <v>12.64</v>
      </c>
      <c r="AN17" s="40">
        <f t="shared" si="47"/>
        <v>17.04</v>
      </c>
      <c r="AP17" s="38">
        <f t="shared" si="48"/>
        <v>19.68</v>
      </c>
      <c r="AQ17" s="38">
        <f t="shared" si="49"/>
        <v>14.56</v>
      </c>
      <c r="AR17" s="38"/>
      <c r="AS17" s="38">
        <f t="shared" si="50"/>
        <v>13.52</v>
      </c>
      <c r="AT17" s="38">
        <f t="shared" si="51"/>
        <v>11.120000000000001</v>
      </c>
      <c r="AU17" s="38">
        <f t="shared" si="52"/>
        <v>15.92</v>
      </c>
      <c r="AX17" s="39">
        <f t="shared" si="53"/>
        <v>13.173333333333332</v>
      </c>
      <c r="AY17" s="39"/>
      <c r="AZ17" s="39">
        <f t="shared" si="35"/>
        <v>14.960000000000003</v>
      </c>
    </row>
    <row r="18" spans="1:58" x14ac:dyDescent="0.25">
      <c r="A18" s="5">
        <v>16</v>
      </c>
      <c r="B18" s="5"/>
      <c r="C18" s="37">
        <v>233</v>
      </c>
      <c r="D18" s="37">
        <v>219</v>
      </c>
      <c r="E18" s="37">
        <v>171</v>
      </c>
      <c r="F18" s="37">
        <v>209</v>
      </c>
      <c r="G18" s="37">
        <v>232</v>
      </c>
      <c r="H18" s="37">
        <v>344</v>
      </c>
      <c r="I18" s="5"/>
      <c r="J18" s="6">
        <v>259</v>
      </c>
      <c r="K18" s="6">
        <v>205</v>
      </c>
      <c r="L18" s="6"/>
      <c r="M18" s="6">
        <v>242</v>
      </c>
      <c r="N18" s="6">
        <v>196</v>
      </c>
      <c r="O18" s="6">
        <v>215</v>
      </c>
      <c r="P18" s="5"/>
      <c r="Q18" s="5"/>
      <c r="R18" s="5"/>
      <c r="S18" s="44">
        <f t="shared" si="21"/>
        <v>234.66666666666666</v>
      </c>
      <c r="T18" s="41"/>
      <c r="U18" s="43">
        <f t="shared" si="22"/>
        <v>223.4</v>
      </c>
      <c r="AG18">
        <f t="shared" si="0"/>
        <v>16</v>
      </c>
      <c r="AI18" s="40">
        <f t="shared" si="42"/>
        <v>18.64</v>
      </c>
      <c r="AJ18" s="40">
        <f t="shared" si="43"/>
        <v>17.52</v>
      </c>
      <c r="AK18" s="40">
        <f t="shared" si="44"/>
        <v>13.68</v>
      </c>
      <c r="AL18" s="40">
        <f t="shared" si="45"/>
        <v>16.72</v>
      </c>
      <c r="AM18" s="40">
        <f t="shared" si="46"/>
        <v>18.559999999999999</v>
      </c>
      <c r="AN18" s="40">
        <f t="shared" si="47"/>
        <v>27.52</v>
      </c>
      <c r="AP18" s="38">
        <f t="shared" si="48"/>
        <v>20.72</v>
      </c>
      <c r="AQ18" s="38">
        <f t="shared" si="49"/>
        <v>16.399999999999999</v>
      </c>
      <c r="AR18" s="38"/>
      <c r="AS18" s="38">
        <f t="shared" si="50"/>
        <v>19.36</v>
      </c>
      <c r="AT18" s="38">
        <f t="shared" si="51"/>
        <v>15.68</v>
      </c>
      <c r="AU18" s="38">
        <f t="shared" si="52"/>
        <v>17.2</v>
      </c>
      <c r="AX18" s="39">
        <f t="shared" si="53"/>
        <v>18.773333333333333</v>
      </c>
      <c r="AY18" s="39"/>
      <c r="AZ18" s="39">
        <f t="shared" si="35"/>
        <v>17.872</v>
      </c>
    </row>
    <row r="19" spans="1:58" x14ac:dyDescent="0.25">
      <c r="A19" s="5">
        <v>17</v>
      </c>
      <c r="B19" s="5"/>
      <c r="C19" s="37">
        <v>207</v>
      </c>
      <c r="D19" s="37">
        <v>176</v>
      </c>
      <c r="E19" s="37">
        <v>180</v>
      </c>
      <c r="F19" s="37">
        <v>180</v>
      </c>
      <c r="G19" s="37">
        <v>217</v>
      </c>
      <c r="H19" s="37">
        <v>241</v>
      </c>
      <c r="I19" s="5"/>
      <c r="J19" s="6">
        <v>263</v>
      </c>
      <c r="K19" s="6">
        <v>201</v>
      </c>
      <c r="L19" s="6"/>
      <c r="M19" s="6">
        <v>234</v>
      </c>
      <c r="N19" s="6">
        <v>174</v>
      </c>
      <c r="O19" s="6">
        <v>216</v>
      </c>
      <c r="P19" s="5"/>
      <c r="Q19" s="5"/>
      <c r="R19" s="5"/>
      <c r="S19" s="44">
        <f t="shared" si="21"/>
        <v>200.16666666666666</v>
      </c>
      <c r="T19" s="41"/>
      <c r="U19" s="43">
        <f t="shared" si="22"/>
        <v>217.6</v>
      </c>
      <c r="AG19">
        <f t="shared" si="0"/>
        <v>17</v>
      </c>
      <c r="AI19" s="40">
        <f t="shared" si="42"/>
        <v>16.559999999999999</v>
      </c>
      <c r="AJ19" s="40">
        <f t="shared" si="43"/>
        <v>14.08</v>
      </c>
      <c r="AK19" s="40">
        <f t="shared" si="44"/>
        <v>14.4</v>
      </c>
      <c r="AL19" s="40">
        <f t="shared" si="45"/>
        <v>14.4</v>
      </c>
      <c r="AM19" s="40">
        <f t="shared" si="46"/>
        <v>17.36</v>
      </c>
      <c r="AN19" s="40">
        <f t="shared" si="47"/>
        <v>19.28</v>
      </c>
      <c r="AP19" s="38">
        <f t="shared" si="48"/>
        <v>21.04</v>
      </c>
      <c r="AQ19" s="38">
        <f t="shared" si="49"/>
        <v>16.080000000000002</v>
      </c>
      <c r="AR19" s="38"/>
      <c r="AS19" s="38">
        <f t="shared" si="50"/>
        <v>18.72</v>
      </c>
      <c r="AT19" s="38">
        <f t="shared" si="51"/>
        <v>13.92</v>
      </c>
      <c r="AU19" s="38">
        <f t="shared" si="52"/>
        <v>17.28</v>
      </c>
      <c r="AX19" s="39">
        <f t="shared" si="53"/>
        <v>16.013333333333332</v>
      </c>
      <c r="AY19" s="39"/>
      <c r="AZ19" s="39">
        <f t="shared" si="35"/>
        <v>17.408000000000001</v>
      </c>
    </row>
    <row r="20" spans="1:58" x14ac:dyDescent="0.25">
      <c r="A20" s="5">
        <v>18</v>
      </c>
      <c r="B20" s="5"/>
      <c r="C20" s="5"/>
      <c r="D20" s="5"/>
      <c r="E20" s="5"/>
      <c r="F20" s="5"/>
      <c r="G20" s="5"/>
      <c r="H20" s="5"/>
      <c r="I20" s="5"/>
      <c r="J20" s="5"/>
      <c r="K20" s="5"/>
      <c r="L20" s="5"/>
      <c r="M20" s="5"/>
      <c r="N20" s="5"/>
      <c r="O20" s="5"/>
      <c r="P20" s="5"/>
      <c r="Q20" s="5"/>
      <c r="R20" s="5"/>
      <c r="S20" s="5"/>
      <c r="T20" s="5"/>
      <c r="U20" s="5"/>
    </row>
    <row r="21" spans="1:58" x14ac:dyDescent="0.25">
      <c r="A21" s="5">
        <v>19</v>
      </c>
      <c r="B21" s="5"/>
      <c r="C21" s="5"/>
      <c r="D21" s="5"/>
      <c r="E21" s="5"/>
      <c r="F21" s="5"/>
      <c r="G21" s="5"/>
      <c r="H21" s="5"/>
      <c r="I21" s="5"/>
      <c r="J21" s="5"/>
      <c r="K21" s="5"/>
      <c r="L21" s="5"/>
      <c r="M21" s="5"/>
      <c r="N21" s="5"/>
      <c r="O21" s="5"/>
      <c r="P21" s="5"/>
      <c r="Q21" s="5"/>
      <c r="R21" s="5"/>
      <c r="S21" s="5"/>
      <c r="T21" s="5"/>
      <c r="U21" s="5"/>
    </row>
    <row r="22" spans="1:58" x14ac:dyDescent="0.25">
      <c r="A22" s="5">
        <v>20</v>
      </c>
      <c r="B22" s="5"/>
      <c r="C22" s="5"/>
      <c r="D22" s="5"/>
      <c r="E22" s="5"/>
      <c r="F22" s="5"/>
      <c r="G22" s="5"/>
      <c r="H22" s="5"/>
      <c r="I22" s="5"/>
      <c r="J22" s="5"/>
      <c r="K22" s="5"/>
      <c r="L22" s="5"/>
      <c r="M22" s="5"/>
      <c r="N22" s="5"/>
      <c r="O22" s="5"/>
      <c r="P22" s="5"/>
      <c r="Q22" s="5"/>
      <c r="R22" s="5"/>
      <c r="S22" s="5"/>
      <c r="T22" s="5"/>
      <c r="U22" s="5"/>
    </row>
    <row r="23" spans="1:58" x14ac:dyDescent="0.25">
      <c r="A23" s="5">
        <v>21</v>
      </c>
      <c r="B23" s="5"/>
      <c r="C23" s="5"/>
      <c r="D23" s="5"/>
      <c r="E23" s="5"/>
      <c r="F23" s="5"/>
      <c r="G23" s="5"/>
      <c r="H23" s="5"/>
      <c r="I23" s="5"/>
      <c r="J23" s="5"/>
      <c r="K23" s="5"/>
      <c r="L23" s="5"/>
      <c r="M23" s="5"/>
      <c r="N23" s="5"/>
      <c r="O23" s="5"/>
      <c r="P23" s="5"/>
      <c r="Q23" s="5"/>
      <c r="R23" s="5"/>
      <c r="S23" s="5"/>
      <c r="T23" s="5"/>
      <c r="U23" s="5"/>
    </row>
    <row r="24" spans="1:58" x14ac:dyDescent="0.25">
      <c r="A24" s="5">
        <v>22</v>
      </c>
      <c r="B24" s="5"/>
      <c r="C24" s="5"/>
      <c r="D24" s="5"/>
      <c r="E24" s="5"/>
      <c r="F24" s="5"/>
      <c r="G24" s="5"/>
      <c r="H24" s="5"/>
      <c r="I24" s="5"/>
      <c r="J24" s="5"/>
      <c r="K24" s="5"/>
      <c r="L24" s="5"/>
      <c r="M24" s="5"/>
      <c r="N24" s="5"/>
      <c r="O24" s="5"/>
      <c r="P24" s="5"/>
      <c r="Q24" s="5"/>
      <c r="R24" s="5"/>
      <c r="S24" s="5"/>
      <c r="T24" s="5"/>
      <c r="U24" s="5"/>
    </row>
    <row r="25" spans="1:58" x14ac:dyDescent="0.25">
      <c r="A25" s="5">
        <v>23</v>
      </c>
      <c r="B25" s="5"/>
      <c r="C25" s="5"/>
      <c r="D25" s="5"/>
      <c r="E25" s="5"/>
      <c r="F25" s="5"/>
      <c r="G25" s="5"/>
      <c r="H25" s="5"/>
      <c r="I25" s="5"/>
      <c r="J25" s="5"/>
      <c r="K25" s="5"/>
      <c r="L25" s="5"/>
      <c r="M25" s="5"/>
      <c r="N25" s="5"/>
      <c r="O25" s="5"/>
      <c r="P25" s="5"/>
      <c r="Q25" s="5"/>
      <c r="R25" s="5"/>
      <c r="S25" s="5"/>
      <c r="T25" s="5"/>
      <c r="U25" s="5"/>
    </row>
    <row r="26" spans="1:58" x14ac:dyDescent="0.25">
      <c r="A26" s="5">
        <v>24</v>
      </c>
      <c r="B26" s="5"/>
      <c r="C26" s="5"/>
      <c r="D26" s="5"/>
      <c r="E26" s="5"/>
      <c r="F26" s="5"/>
      <c r="G26" s="5"/>
      <c r="H26" s="5"/>
      <c r="I26" s="5"/>
      <c r="J26" s="5"/>
      <c r="K26" s="5"/>
      <c r="L26" s="5"/>
      <c r="M26" s="5"/>
      <c r="N26" s="5"/>
      <c r="O26" s="5"/>
      <c r="P26" s="5"/>
      <c r="Q26" s="5"/>
      <c r="R26" s="5"/>
      <c r="S26" s="5"/>
      <c r="T26" s="5"/>
      <c r="U26" s="5"/>
    </row>
    <row r="27" spans="1:58" x14ac:dyDescent="0.25">
      <c r="A27" s="5">
        <v>25</v>
      </c>
      <c r="B27" s="5"/>
      <c r="C27" s="5"/>
      <c r="D27" s="5"/>
      <c r="E27" s="5"/>
      <c r="F27" s="5"/>
      <c r="G27" s="5"/>
      <c r="H27" s="5"/>
      <c r="I27" s="5"/>
      <c r="J27" s="5"/>
      <c r="K27" s="5"/>
      <c r="L27" s="5"/>
      <c r="M27" s="5"/>
      <c r="N27" s="5"/>
      <c r="O27" s="5"/>
      <c r="P27" s="5"/>
      <c r="Q27" s="5"/>
      <c r="R27" s="5"/>
      <c r="S27" s="5"/>
      <c r="T27" s="5"/>
      <c r="U27" s="5"/>
    </row>
    <row r="28" spans="1:58" x14ac:dyDescent="0.25">
      <c r="A28" s="5"/>
      <c r="B28" s="5"/>
      <c r="C28" s="5"/>
      <c r="D28" s="5"/>
      <c r="E28" s="5"/>
      <c r="F28" s="5"/>
      <c r="G28" s="5"/>
      <c r="H28" s="5"/>
      <c r="I28" s="5"/>
      <c r="J28" s="5"/>
      <c r="K28" s="5"/>
      <c r="L28" s="5"/>
      <c r="M28" s="5"/>
      <c r="N28" s="5"/>
      <c r="O28" s="5"/>
      <c r="P28" s="5"/>
      <c r="Q28" s="5"/>
      <c r="R28" s="5"/>
      <c r="S28" s="5"/>
      <c r="T28" s="5"/>
      <c r="U28" s="5"/>
    </row>
    <row r="29" spans="1:58" x14ac:dyDescent="0.25">
      <c r="A29" s="5"/>
      <c r="B29" s="5"/>
      <c r="C29" s="5"/>
      <c r="D29" s="5"/>
      <c r="E29" s="5"/>
      <c r="F29" s="5"/>
      <c r="G29" s="5"/>
      <c r="H29" s="5"/>
      <c r="I29" s="5"/>
      <c r="J29" s="5"/>
      <c r="K29" s="5"/>
      <c r="L29" s="5"/>
      <c r="M29" s="5"/>
      <c r="N29" s="5"/>
      <c r="O29" s="5"/>
      <c r="P29" s="5"/>
      <c r="Q29" s="5"/>
      <c r="R29" s="5"/>
      <c r="S29" s="5"/>
      <c r="T29" s="5"/>
      <c r="U29" s="5"/>
    </row>
    <row r="30" spans="1:58" x14ac:dyDescent="0.25">
      <c r="A30" s="5"/>
      <c r="B30" s="5"/>
      <c r="C30" s="5"/>
      <c r="D30" s="5"/>
      <c r="E30" s="5"/>
      <c r="F30" s="5"/>
      <c r="G30" s="5"/>
      <c r="H30" s="5"/>
      <c r="I30" s="5"/>
      <c r="J30" s="5"/>
      <c r="K30" s="5"/>
      <c r="L30" s="5"/>
      <c r="M30" s="5"/>
      <c r="N30" s="5"/>
      <c r="O30" s="5"/>
      <c r="P30" s="5"/>
      <c r="Q30" s="5"/>
      <c r="R30" s="5"/>
      <c r="S30" s="5"/>
      <c r="T30" s="5"/>
      <c r="U30" s="5"/>
    </row>
    <row r="31" spans="1:58" x14ac:dyDescent="0.25">
      <c r="A31" s="5"/>
      <c r="B31" s="5"/>
      <c r="C31" s="5" t="s">
        <v>63</v>
      </c>
      <c r="D31" s="5" t="s">
        <v>81</v>
      </c>
      <c r="E31" s="5" t="s">
        <v>84</v>
      </c>
      <c r="F31" s="5" t="s">
        <v>88</v>
      </c>
      <c r="G31" s="5" t="s">
        <v>92</v>
      </c>
      <c r="H31" s="5" t="s">
        <v>96</v>
      </c>
      <c r="I31" s="5"/>
      <c r="J31" s="5" t="s">
        <v>100</v>
      </c>
      <c r="K31" s="5" t="s">
        <v>104</v>
      </c>
      <c r="L31" s="5" t="s">
        <v>106</v>
      </c>
      <c r="M31" s="5" t="s">
        <v>109</v>
      </c>
      <c r="N31" s="5" t="s">
        <v>111</v>
      </c>
      <c r="O31" s="5" t="s">
        <v>115</v>
      </c>
      <c r="P31" s="5"/>
      <c r="Q31" s="5"/>
      <c r="R31" s="5"/>
      <c r="S31" s="5" t="s">
        <v>125</v>
      </c>
      <c r="T31" s="5"/>
      <c r="U31" s="5" t="s">
        <v>126</v>
      </c>
      <c r="X31" s="5" t="s">
        <v>127</v>
      </c>
      <c r="Y31" s="5" t="s">
        <v>128</v>
      </c>
      <c r="Z31" s="5" t="s">
        <v>129</v>
      </c>
      <c r="AA31" s="5" t="s">
        <v>130</v>
      </c>
      <c r="AG31" s="5"/>
      <c r="AH31" s="5"/>
      <c r="AI31" s="5" t="s">
        <v>63</v>
      </c>
      <c r="AJ31" s="5" t="s">
        <v>81</v>
      </c>
      <c r="AK31" s="5" t="s">
        <v>84</v>
      </c>
      <c r="AL31" s="5" t="s">
        <v>88</v>
      </c>
      <c r="AM31" s="5" t="s">
        <v>92</v>
      </c>
      <c r="AN31" s="5" t="s">
        <v>96</v>
      </c>
      <c r="AO31" s="5"/>
      <c r="AP31" s="5" t="s">
        <v>100</v>
      </c>
      <c r="AQ31" s="5" t="s">
        <v>104</v>
      </c>
      <c r="AR31" s="5" t="s">
        <v>106</v>
      </c>
      <c r="AS31" s="5" t="s">
        <v>109</v>
      </c>
      <c r="AT31" s="5" t="s">
        <v>111</v>
      </c>
      <c r="AU31" s="5" t="s">
        <v>115</v>
      </c>
      <c r="AX31" s="5" t="s">
        <v>125</v>
      </c>
      <c r="AY31" s="5"/>
      <c r="AZ31" s="5" t="s">
        <v>126</v>
      </c>
      <c r="BC31" s="5" t="s">
        <v>127</v>
      </c>
      <c r="BD31" s="5" t="s">
        <v>128</v>
      </c>
      <c r="BE31" s="5" t="s">
        <v>129</v>
      </c>
      <c r="BF31" s="5" t="s">
        <v>130</v>
      </c>
    </row>
    <row r="32" spans="1:58" x14ac:dyDescent="0.25">
      <c r="A32" s="5"/>
      <c r="B32" s="36" t="s">
        <v>131</v>
      </c>
      <c r="C32" s="41">
        <f t="shared" ref="C32:H32" si="54">AVERAGE(C3:C5)</f>
        <v>248.33333333333334</v>
      </c>
      <c r="D32" s="41">
        <f t="shared" si="54"/>
        <v>221</v>
      </c>
      <c r="E32" s="41">
        <f t="shared" si="54"/>
        <v>179</v>
      </c>
      <c r="F32" s="41">
        <f t="shared" si="54"/>
        <v>183</v>
      </c>
      <c r="G32" s="41">
        <f t="shared" si="54"/>
        <v>231.33333333333334</v>
      </c>
      <c r="H32" s="41">
        <f t="shared" si="54"/>
        <v>256.33333333333331</v>
      </c>
      <c r="I32" s="41"/>
      <c r="J32" s="41">
        <f t="shared" ref="J32:O32" si="55">AVERAGE(J3:J5)</f>
        <v>259.33333333333331</v>
      </c>
      <c r="K32" s="41">
        <f t="shared" si="55"/>
        <v>199.33333333333334</v>
      </c>
      <c r="L32" s="41"/>
      <c r="M32" s="41">
        <f t="shared" si="55"/>
        <v>235</v>
      </c>
      <c r="N32" s="41">
        <f t="shared" si="55"/>
        <v>254.33333333333334</v>
      </c>
      <c r="O32" s="41">
        <f t="shared" si="55"/>
        <v>232</v>
      </c>
      <c r="P32" s="5"/>
      <c r="Q32" s="5"/>
      <c r="R32" s="5"/>
      <c r="S32" s="41">
        <f>AVERAGE(S3:S5)</f>
        <v>219.83333333333334</v>
      </c>
      <c r="T32" s="41"/>
      <c r="U32" s="41">
        <f>AVERAGE(U3:U5)</f>
        <v>236</v>
      </c>
      <c r="X32" s="5">
        <f>AVERAGE(C32:O32)</f>
        <v>227.18181818181819</v>
      </c>
      <c r="Y32" s="5">
        <f>_xlfn.STDEV.P(C32:O32)</f>
        <v>27.397693494442592</v>
      </c>
      <c r="Z32" s="5">
        <f>SQRT(Y32)</f>
        <v>5.2342806090658334</v>
      </c>
      <c r="AA32" s="5">
        <v>12</v>
      </c>
      <c r="AG32" s="5"/>
      <c r="AH32" s="36" t="s">
        <v>131</v>
      </c>
      <c r="AI32" s="5">
        <f t="shared" ref="AI32:AN32" si="56">AVERAGE(AI3:AI5)</f>
        <v>16.638333333333335</v>
      </c>
      <c r="AJ32" s="5">
        <f t="shared" si="56"/>
        <v>14.807000000000002</v>
      </c>
      <c r="AK32" s="5">
        <f t="shared" si="56"/>
        <v>11.993</v>
      </c>
      <c r="AL32" s="5">
        <f t="shared" si="56"/>
        <v>12.261000000000001</v>
      </c>
      <c r="AM32" s="5">
        <f t="shared" si="56"/>
        <v>15.499333333333334</v>
      </c>
      <c r="AN32" s="5">
        <f t="shared" si="56"/>
        <v>17.174333333333333</v>
      </c>
      <c r="AO32" s="5"/>
      <c r="AP32" s="5">
        <f t="shared" ref="AP32:AU32" si="57">AVERAGE(AP3:AP5)</f>
        <v>17.375333333333334</v>
      </c>
      <c r="AQ32" s="5">
        <f t="shared" si="57"/>
        <v>13.355333333333334</v>
      </c>
      <c r="AR32" s="5"/>
      <c r="AS32" s="5">
        <f t="shared" si="57"/>
        <v>15.745000000000003</v>
      </c>
      <c r="AT32" s="5">
        <f t="shared" si="57"/>
        <v>17.040333333333336</v>
      </c>
      <c r="AU32" s="5">
        <f t="shared" si="57"/>
        <v>15.543999999999999</v>
      </c>
      <c r="AX32" s="5">
        <f>AVERAGE(AX3:AX5)</f>
        <v>14.728833333333334</v>
      </c>
      <c r="AY32" s="5"/>
      <c r="AZ32" s="5">
        <f>AVERAGE(AZ3:AZ5)</f>
        <v>15.811999999999999</v>
      </c>
      <c r="BC32" s="5">
        <f>AVERAGE(AH32:AT32)</f>
        <v>15.1889</v>
      </c>
      <c r="BD32" s="5">
        <f>_xlfn.STDEV.P(AH32:AT32)</f>
        <v>1.9222617988539921</v>
      </c>
      <c r="BE32" s="5">
        <f>SQRT(BD32)</f>
        <v>1.3864565621951495</v>
      </c>
      <c r="BF32" s="5">
        <v>12</v>
      </c>
    </row>
    <row r="33" spans="1:58" x14ac:dyDescent="0.25">
      <c r="A33" s="5" t="s">
        <v>124</v>
      </c>
      <c r="B33" s="6" t="s">
        <v>132</v>
      </c>
      <c r="C33" s="41">
        <f t="shared" ref="C33:H33" si="58">AVERAGE(C6:C12)</f>
        <v>198.28571428571428</v>
      </c>
      <c r="D33" s="41">
        <f t="shared" si="58"/>
        <v>178.28571428571428</v>
      </c>
      <c r="E33" s="41">
        <f t="shared" si="58"/>
        <v>203.71428571428572</v>
      </c>
      <c r="F33" s="41">
        <f t="shared" si="58"/>
        <v>182.14285714285714</v>
      </c>
      <c r="G33" s="41">
        <f t="shared" si="58"/>
        <v>200.42857142857142</v>
      </c>
      <c r="H33" s="41">
        <f t="shared" si="58"/>
        <v>188.85714285714286</v>
      </c>
      <c r="I33" s="41"/>
      <c r="J33" s="41">
        <f>AVERAGE(J13:J19)</f>
        <v>239.85714285714286</v>
      </c>
      <c r="K33" s="41">
        <f t="shared" ref="K33:O33" si="59">AVERAGE(K13:K19)</f>
        <v>189.28571428571428</v>
      </c>
      <c r="L33" s="41"/>
      <c r="M33" s="41">
        <f t="shared" si="59"/>
        <v>213.71428571428572</v>
      </c>
      <c r="N33" s="41">
        <f t="shared" si="59"/>
        <v>159.57142857142858</v>
      </c>
      <c r="O33" s="41">
        <f t="shared" si="59"/>
        <v>191</v>
      </c>
      <c r="P33" s="5"/>
      <c r="Q33" s="5"/>
      <c r="R33" s="5"/>
      <c r="S33" s="41">
        <f>AVERAGE(S6:S12)</f>
        <v>191.95238095238096</v>
      </c>
      <c r="T33" s="41"/>
      <c r="U33" s="41">
        <f>AVERAGE(U13:U19)</f>
        <v>198.68571428571428</v>
      </c>
      <c r="X33" s="5">
        <f>AVERAGE(C33:O33)</f>
        <v>195.012987012987</v>
      </c>
      <c r="Y33" s="5">
        <f t="shared" ref="Y33:Y34" si="60">_xlfn.STDEV.P(C33:O33)</f>
        <v>19.69041040111194</v>
      </c>
      <c r="Z33" s="5">
        <f t="shared" ref="Z33:Z34" si="61">SQRT(Y33)</f>
        <v>4.4373877902558778</v>
      </c>
      <c r="AA33" s="5">
        <v>12</v>
      </c>
      <c r="AG33" s="5" t="s">
        <v>124</v>
      </c>
      <c r="AH33" s="6" t="s">
        <v>132</v>
      </c>
      <c r="AI33" s="5">
        <f t="shared" ref="AI33:AN33" si="62">AVERAGE(AI6:AI12)</f>
        <v>15.862857142857147</v>
      </c>
      <c r="AJ33" s="5">
        <f t="shared" si="62"/>
        <v>14.262857142857142</v>
      </c>
      <c r="AK33" s="5">
        <f t="shared" si="62"/>
        <v>16.297142857142855</v>
      </c>
      <c r="AL33" s="5">
        <f t="shared" si="62"/>
        <v>14.571428571428571</v>
      </c>
      <c r="AM33" s="5">
        <f t="shared" si="62"/>
        <v>16.034285714285716</v>
      </c>
      <c r="AN33" s="5">
        <f t="shared" si="62"/>
        <v>15.108571428571429</v>
      </c>
      <c r="AO33" s="5"/>
      <c r="AP33" s="5">
        <f>AVERAGE(AP13:AP19)</f>
        <v>19.188571428571429</v>
      </c>
      <c r="AQ33" s="5">
        <f t="shared" ref="AQ33:AU33" si="63">AVERAGE(AQ13:AQ19)</f>
        <v>15.142857142857141</v>
      </c>
      <c r="AR33" s="5"/>
      <c r="AS33" s="5">
        <f t="shared" si="63"/>
        <v>17.097142857142856</v>
      </c>
      <c r="AT33" s="5">
        <f t="shared" si="63"/>
        <v>12.765714285714285</v>
      </c>
      <c r="AU33" s="5">
        <f t="shared" si="63"/>
        <v>15.28</v>
      </c>
      <c r="AX33" s="5">
        <f>AVERAGE(AX6:AX12)</f>
        <v>15.356190476190477</v>
      </c>
      <c r="AY33" s="5"/>
      <c r="AZ33" s="5">
        <f>AVERAGE(AZ13:AZ19)</f>
        <v>15.894857142857145</v>
      </c>
      <c r="BC33" s="5">
        <f>AVERAGE(AH33:AT33)</f>
        <v>15.633142857142854</v>
      </c>
      <c r="BD33" s="5">
        <f t="shared" ref="BD33:BD34" si="64">_xlfn.STDEV.P(AH33:AT33)</f>
        <v>1.6486834326894269</v>
      </c>
      <c r="BE33" s="5">
        <f t="shared" ref="BE33:BE34" si="65">SQRT(BD33)</f>
        <v>1.2840106824670217</v>
      </c>
      <c r="BF33" s="5">
        <v>12</v>
      </c>
    </row>
    <row r="34" spans="1:58" x14ac:dyDescent="0.25">
      <c r="A34" s="5"/>
      <c r="B34" s="37" t="s">
        <v>133</v>
      </c>
      <c r="C34" s="41">
        <f t="shared" ref="C34:H34" si="66">AVERAGE(C13:C20)</f>
        <v>198.85714285714286</v>
      </c>
      <c r="D34" s="41">
        <f t="shared" si="66"/>
        <v>172.14285714285714</v>
      </c>
      <c r="E34" s="41">
        <f t="shared" si="66"/>
        <v>206.57142857142858</v>
      </c>
      <c r="F34" s="41">
        <f t="shared" si="66"/>
        <v>207.42857142857142</v>
      </c>
      <c r="G34" s="41">
        <f t="shared" si="66"/>
        <v>209.42857142857142</v>
      </c>
      <c r="H34" s="41">
        <f t="shared" si="66"/>
        <v>241.85714285714286</v>
      </c>
      <c r="I34" s="41"/>
      <c r="J34" s="41">
        <f>AVERAGE(J6:J12)</f>
        <v>206.28571428571428</v>
      </c>
      <c r="K34" s="41">
        <f t="shared" ref="K34:O34" si="67">AVERAGE(K6:K12)</f>
        <v>187.71428571428572</v>
      </c>
      <c r="L34" s="41"/>
      <c r="M34" s="41">
        <f t="shared" si="67"/>
        <v>194.85714285714286</v>
      </c>
      <c r="N34" s="41">
        <f t="shared" si="67"/>
        <v>175.71428571428572</v>
      </c>
      <c r="O34" s="41">
        <f t="shared" si="67"/>
        <v>183.71428571428572</v>
      </c>
      <c r="P34" s="5"/>
      <c r="Q34" s="5"/>
      <c r="R34" s="5"/>
      <c r="S34" s="41">
        <f>AVERAGE(S13:S19)</f>
        <v>206.04761904761907</v>
      </c>
      <c r="T34" s="41"/>
      <c r="U34" s="41">
        <f>AVERAGE(U6:U12)</f>
        <v>189.65714285714284</v>
      </c>
      <c r="X34" s="5">
        <f>AVERAGE(C34:O34)</f>
        <v>198.59740259740258</v>
      </c>
      <c r="Y34" s="5">
        <f t="shared" si="60"/>
        <v>18.505258559843799</v>
      </c>
      <c r="Z34" s="5">
        <f t="shared" si="61"/>
        <v>4.3017738852528966</v>
      </c>
      <c r="AA34" s="5">
        <v>12</v>
      </c>
      <c r="AG34" s="5"/>
      <c r="AH34" s="37" t="s">
        <v>133</v>
      </c>
      <c r="AI34" s="5">
        <f t="shared" ref="AI34:AN34" si="68">AVERAGE(AI13:AI20)</f>
        <v>15.908571428571429</v>
      </c>
      <c r="AJ34" s="5">
        <f t="shared" si="68"/>
        <v>13.771428571428572</v>
      </c>
      <c r="AK34" s="5">
        <f t="shared" si="68"/>
        <v>16.525714285714287</v>
      </c>
      <c r="AL34" s="5">
        <f t="shared" si="68"/>
        <v>16.594285714285714</v>
      </c>
      <c r="AM34" s="5">
        <f t="shared" si="68"/>
        <v>16.754285714285714</v>
      </c>
      <c r="AN34" s="5">
        <f t="shared" si="68"/>
        <v>19.348571428571429</v>
      </c>
      <c r="AO34" s="5"/>
      <c r="AP34" s="5">
        <f>AVERAGE(AP6:AP12)</f>
        <v>16.502857142857145</v>
      </c>
      <c r="AQ34" s="5">
        <f t="shared" ref="AQ34:AU34" si="69">AVERAGE(AQ6:AQ12)</f>
        <v>15.017142857142858</v>
      </c>
      <c r="AR34" s="5"/>
      <c r="AS34" s="5">
        <f t="shared" si="69"/>
        <v>15.588571428571429</v>
      </c>
      <c r="AT34" s="5">
        <f t="shared" si="69"/>
        <v>14.057142857142859</v>
      </c>
      <c r="AU34" s="5">
        <f t="shared" si="69"/>
        <v>14.697142857142859</v>
      </c>
      <c r="AX34" s="5">
        <f>AVERAGE(AX13:AX19)</f>
        <v>16.483809523809523</v>
      </c>
      <c r="AY34" s="5"/>
      <c r="AZ34" s="5">
        <f>AVERAGE(AZ6:AZ12)</f>
        <v>15.172571428571429</v>
      </c>
      <c r="BC34" s="5">
        <f>AVERAGE(AH34:AT34)</f>
        <v>16.006857142857143</v>
      </c>
      <c r="BD34" s="5">
        <f t="shared" si="64"/>
        <v>1.5016220889288967</v>
      </c>
      <c r="BE34" s="5">
        <f t="shared" si="65"/>
        <v>1.2254069074919143</v>
      </c>
      <c r="BF34" s="5">
        <v>12</v>
      </c>
    </row>
    <row r="35" spans="1:58" x14ac:dyDescent="0.25">
      <c r="A35" s="5"/>
      <c r="B35" s="5"/>
      <c r="C35" s="5"/>
      <c r="D35" s="5"/>
      <c r="E35" s="5"/>
      <c r="F35" s="5"/>
      <c r="G35" s="5"/>
      <c r="H35" s="5"/>
      <c r="I35" s="5"/>
      <c r="J35" s="5"/>
      <c r="K35" s="5"/>
      <c r="L35" s="5"/>
      <c r="M35" s="5"/>
      <c r="N35" s="5"/>
      <c r="O35" s="5"/>
      <c r="P35" s="5"/>
      <c r="Q35" s="5"/>
      <c r="R35" s="5"/>
      <c r="S35" s="5"/>
      <c r="T35" s="5"/>
      <c r="U35" s="5"/>
    </row>
    <row r="36" spans="1:58" x14ac:dyDescent="0.25">
      <c r="A36" s="5"/>
      <c r="B36" s="5"/>
      <c r="C36" s="5"/>
      <c r="D36" s="5"/>
      <c r="E36" s="5"/>
      <c r="F36" s="5"/>
      <c r="G36" s="5"/>
      <c r="H36" s="5"/>
      <c r="I36" s="5"/>
      <c r="J36" s="5"/>
      <c r="K36" s="5"/>
      <c r="L36" s="5"/>
      <c r="M36" s="5"/>
      <c r="N36" s="5"/>
      <c r="O36" s="5"/>
      <c r="P36" s="5"/>
      <c r="Q36" s="5"/>
      <c r="R36" s="5"/>
      <c r="S36" s="5"/>
      <c r="T36" s="5"/>
      <c r="U36" s="5"/>
    </row>
    <row r="37" spans="1:58" x14ac:dyDescent="0.25">
      <c r="X37" t="s">
        <v>134</v>
      </c>
      <c r="Z37" t="s">
        <v>135</v>
      </c>
      <c r="BC37" t="s">
        <v>134</v>
      </c>
      <c r="BE37" t="s">
        <v>135</v>
      </c>
    </row>
    <row r="38" spans="1:58" x14ac:dyDescent="0.25">
      <c r="X38">
        <f>_xlfn.T.TEST(C33:H33,C34:H34,2,2)</f>
        <v>0.19170505417461622</v>
      </c>
      <c r="Z38">
        <f>_xlfn.T.TEST(J33:O33,J34:O34,2,2)</f>
        <v>0.54758157083196912</v>
      </c>
      <c r="BC38">
        <f>_xlfn.T.TEST(AH33:AM33,AH34:AM34,2,2)</f>
        <v>0.48528295999814697</v>
      </c>
      <c r="BE38">
        <f>_xlfn.T.TEST(AO33:AT33,AO34:AT34,2,2)</f>
        <v>0.62348356988490972</v>
      </c>
    </row>
    <row r="39" spans="1:58" x14ac:dyDescent="0.25">
      <c r="X39">
        <f>_xlfn.T.TEST(C33:H33,J34:O34,2,2)</f>
        <v>0.73727051729063353</v>
      </c>
      <c r="Z39">
        <f>_xlfn.T.TEST(C34:H34,J33:O33,2,2)</f>
        <v>0.65148408420350346</v>
      </c>
      <c r="BC39">
        <f>_xlfn.T.TEST(AH33:AM33,AO34:AT34,2,2)</f>
        <v>0.86524005803981119</v>
      </c>
      <c r="BE39">
        <f>_xlfn.T.TEST(AH34:AM34,AO33:AT33,2,2)</f>
        <v>0.92207330301997237</v>
      </c>
    </row>
    <row r="41" spans="1:58" x14ac:dyDescent="0.25">
      <c r="X41">
        <f>_xlfn.T.TEST(S6:S12,S13:S19,2,2)</f>
        <v>0.39730325243860176</v>
      </c>
      <c r="Z41">
        <f>_xlfn.T.TEST(U6:U12,U13:U19,2,2)</f>
        <v>0.26154319934606846</v>
      </c>
      <c r="BC41">
        <f>_xlfn.T.TEST(AX6:AX12,AX13:AX19,2,2)</f>
        <v>0.39730325243860276</v>
      </c>
      <c r="BE41">
        <f>_xlfn.T.TEST(AZ6:AZ12,AZ13:AZ19,2,2)</f>
        <v>0.26154319934606751</v>
      </c>
    </row>
    <row r="42" spans="1:58" x14ac:dyDescent="0.25">
      <c r="X42">
        <f>_xlfn.T.TEST(S6:S12,U13:U19,2,2)</f>
        <v>0.64077740183919074</v>
      </c>
      <c r="Z42">
        <f>_xlfn.T.TEST(S13:S19,U6:U12,2,2)</f>
        <v>0.1583415270165571</v>
      </c>
      <c r="BC42">
        <f>_xlfn.T.TEST(AX6:AX12,AZ13:AZ19,2,2)</f>
        <v>0.64077740183918985</v>
      </c>
      <c r="BE42">
        <f>_xlfn.T.TEST(AX13:AX19,AZ6:AZ12,2,2)</f>
        <v>0.15834152701655821</v>
      </c>
    </row>
    <row r="43" spans="1:58" x14ac:dyDescent="0.25">
      <c r="A43" s="5"/>
      <c r="B43" s="59" t="s">
        <v>136</v>
      </c>
      <c r="C43" s="59"/>
      <c r="D43" s="59"/>
      <c r="E43" s="59"/>
      <c r="F43" s="59"/>
      <c r="G43" s="59"/>
      <c r="H43" s="59"/>
      <c r="I43" s="59" t="s">
        <v>137</v>
      </c>
      <c r="J43" s="59"/>
      <c r="K43" s="59"/>
      <c r="L43" s="59"/>
      <c r="M43" s="59"/>
      <c r="N43" s="59"/>
      <c r="O43" s="59"/>
      <c r="X43">
        <f>_xlfn.T.TEST(S6:S12,U6:U12,2,2)</f>
        <v>0.86065156504015072</v>
      </c>
      <c r="Z43">
        <f>_xlfn.T.TEST(S13:S19,U13:U19,2,2)</f>
        <v>0.56254604167882793</v>
      </c>
      <c r="BC43">
        <f>_xlfn.T.TEST(AX6:AX12,AZ6:AZ12,2,2)</f>
        <v>0.86065156504015072</v>
      </c>
      <c r="BE43">
        <f>_xlfn.T.TEST(AX13:AX19,AZ13:AZ19,2,2)</f>
        <v>0.56254604167883093</v>
      </c>
    </row>
    <row r="44" spans="1:58" x14ac:dyDescent="0.25">
      <c r="A44" s="5" t="s">
        <v>124</v>
      </c>
      <c r="B44" s="5"/>
      <c r="C44" s="5" t="s">
        <v>63</v>
      </c>
      <c r="D44" s="5" t="s">
        <v>81</v>
      </c>
      <c r="E44" s="5" t="s">
        <v>84</v>
      </c>
      <c r="F44" s="5" t="s">
        <v>88</v>
      </c>
      <c r="G44" s="5" t="s">
        <v>92</v>
      </c>
      <c r="H44" s="5" t="s">
        <v>96</v>
      </c>
      <c r="I44" s="5"/>
      <c r="J44" s="5" t="s">
        <v>100</v>
      </c>
      <c r="K44" s="5" t="s">
        <v>104</v>
      </c>
      <c r="L44" s="5" t="s">
        <v>106</v>
      </c>
      <c r="M44" s="5" t="s">
        <v>109</v>
      </c>
      <c r="N44" s="5" t="s">
        <v>111</v>
      </c>
      <c r="O44" s="5" t="s">
        <v>115</v>
      </c>
    </row>
    <row r="45" spans="1:58" x14ac:dyDescent="0.25">
      <c r="A45" s="5">
        <v>1</v>
      </c>
      <c r="C45" s="9" cm="1">
        <f t="array" ref="C45:C61">FEDXB01!E4:E20</f>
        <v>21.8</v>
      </c>
      <c r="D45" s="9" cm="1">
        <f t="array" ref="D45:D61">FEDXB02!E4:E20</f>
        <v>19.399999999999999</v>
      </c>
      <c r="E45" s="9" cm="1">
        <f t="array" ref="E45:E61">FEDXB03!E4:E20</f>
        <v>20.9</v>
      </c>
      <c r="F45" s="9" cm="1">
        <f t="array" ref="F45:F61">FEDXB04!E4:E20</f>
        <v>17.3</v>
      </c>
      <c r="G45" s="9" cm="1">
        <f t="array" ref="G45:G61">FEDXB05!E4:E20</f>
        <v>22.1</v>
      </c>
      <c r="H45" s="9" cm="1">
        <f t="array" ref="H45:H61">FEDXB06!E4:E20</f>
        <v>22.2</v>
      </c>
      <c r="J45" s="9" cm="1">
        <f t="array" ref="J45:J61">FEDXB07!E4:E20</f>
        <v>20.9</v>
      </c>
      <c r="K45" s="9" cm="1">
        <f t="array" ref="K45:K61">FEDXB08!E4:E20</f>
        <v>23</v>
      </c>
      <c r="L45" s="9"/>
      <c r="M45" s="9" cm="1">
        <f t="array" ref="M45:M61">FEDXB10!E4:E20</f>
        <v>22.6</v>
      </c>
      <c r="N45" s="9" cm="1">
        <f t="array" ref="N45:N61">FEDXB11!E4:E20</f>
        <v>19.399999999999999</v>
      </c>
      <c r="O45" s="9" cm="1">
        <f t="array" ref="O45:O61">FEDXB12!E4:E20</f>
        <v>22.1</v>
      </c>
    </row>
    <row r="46" spans="1:58" x14ac:dyDescent="0.25">
      <c r="A46" s="5">
        <v>2</v>
      </c>
      <c r="C46" s="9">
        <v>21.9</v>
      </c>
      <c r="D46" s="9">
        <v>19.2</v>
      </c>
      <c r="E46" s="9">
        <v>20.3</v>
      </c>
      <c r="F46" s="9">
        <v>16.899999999999999</v>
      </c>
      <c r="G46" s="9">
        <v>21.9</v>
      </c>
      <c r="H46" s="9">
        <v>22</v>
      </c>
      <c r="J46" s="9">
        <v>20.399999999999999</v>
      </c>
      <c r="K46" s="9">
        <v>22.3</v>
      </c>
      <c r="L46" s="9"/>
      <c r="M46" s="9">
        <v>22.7</v>
      </c>
      <c r="N46" s="9">
        <v>19.8</v>
      </c>
      <c r="O46" s="9">
        <v>21.7</v>
      </c>
    </row>
    <row r="47" spans="1:58" x14ac:dyDescent="0.25">
      <c r="A47" s="5">
        <v>3</v>
      </c>
      <c r="C47" s="9">
        <v>22</v>
      </c>
      <c r="D47" s="9">
        <v>19.2</v>
      </c>
      <c r="E47" s="9">
        <v>20.3</v>
      </c>
      <c r="F47" s="9">
        <v>17.899999999999999</v>
      </c>
      <c r="G47" s="9">
        <v>21.4</v>
      </c>
      <c r="H47" s="9">
        <v>22.7</v>
      </c>
      <c r="J47" s="9">
        <v>20.8</v>
      </c>
      <c r="K47" s="9">
        <v>22.2</v>
      </c>
      <c r="L47" s="9"/>
      <c r="M47" s="9">
        <v>22.9</v>
      </c>
      <c r="N47" s="9">
        <v>19.899999999999999</v>
      </c>
      <c r="O47" s="9">
        <v>21.6</v>
      </c>
    </row>
    <row r="48" spans="1:58" x14ac:dyDescent="0.25">
      <c r="A48" s="5">
        <v>4</v>
      </c>
      <c r="C48" s="38">
        <v>20.7</v>
      </c>
      <c r="D48" s="38">
        <v>18</v>
      </c>
      <c r="E48" s="38">
        <v>19.600000000000001</v>
      </c>
      <c r="F48" s="38">
        <v>16.3</v>
      </c>
      <c r="G48" s="38">
        <v>20.8</v>
      </c>
      <c r="H48" s="38">
        <v>20.8</v>
      </c>
      <c r="J48" s="40">
        <v>20.5</v>
      </c>
      <c r="K48" s="40">
        <v>22.1</v>
      </c>
      <c r="L48" s="40"/>
      <c r="M48" s="40">
        <v>21.8</v>
      </c>
      <c r="N48" s="40">
        <v>19.399999999999999</v>
      </c>
      <c r="O48" s="40">
        <v>21</v>
      </c>
    </row>
    <row r="49" spans="1:21" x14ac:dyDescent="0.25">
      <c r="A49" s="5">
        <v>5</v>
      </c>
      <c r="C49" s="38">
        <v>20.5</v>
      </c>
      <c r="D49" s="38">
        <v>17.899999999999999</v>
      </c>
      <c r="E49" s="38">
        <v>19.7</v>
      </c>
      <c r="F49" s="38">
        <v>16.7</v>
      </c>
      <c r="G49" s="38">
        <v>20.8</v>
      </c>
      <c r="H49" s="38">
        <v>20.399999999999999</v>
      </c>
      <c r="J49" s="40">
        <v>20.399999999999999</v>
      </c>
      <c r="K49" s="40">
        <v>21.9</v>
      </c>
      <c r="L49" s="40"/>
      <c r="M49" s="40">
        <v>21.8</v>
      </c>
      <c r="N49" s="40">
        <v>19.2</v>
      </c>
      <c r="O49" s="40">
        <v>21.7</v>
      </c>
    </row>
    <row r="50" spans="1:21" x14ac:dyDescent="0.25">
      <c r="A50" s="5">
        <v>6</v>
      </c>
      <c r="C50" s="38">
        <v>20.5</v>
      </c>
      <c r="D50" s="38">
        <v>18.3</v>
      </c>
      <c r="E50" s="38">
        <v>19.2</v>
      </c>
      <c r="F50" s="38">
        <v>16.7</v>
      </c>
      <c r="G50" s="38">
        <v>21.4</v>
      </c>
      <c r="H50" s="38">
        <v>21.2</v>
      </c>
      <c r="J50" s="40">
        <v>20.5</v>
      </c>
      <c r="K50" s="40">
        <v>22.1</v>
      </c>
      <c r="L50" s="40"/>
      <c r="M50" s="40">
        <v>22.2</v>
      </c>
      <c r="N50" s="40">
        <v>19.399999999999999</v>
      </c>
      <c r="O50" s="40">
        <v>20.9</v>
      </c>
    </row>
    <row r="51" spans="1:21" x14ac:dyDescent="0.25">
      <c r="A51" s="5">
        <v>7</v>
      </c>
      <c r="C51" s="38">
        <v>20.9</v>
      </c>
      <c r="D51" s="38">
        <v>18.600000000000001</v>
      </c>
      <c r="E51" s="38">
        <v>19.600000000000001</v>
      </c>
      <c r="F51" s="38">
        <v>16.5</v>
      </c>
      <c r="G51" s="38">
        <v>21.1</v>
      </c>
      <c r="H51" s="38">
        <v>21.7</v>
      </c>
      <c r="J51" s="40">
        <v>20.8</v>
      </c>
      <c r="K51" s="40">
        <v>22.3</v>
      </c>
      <c r="L51" s="40"/>
      <c r="M51" s="40">
        <v>19.600000000000001</v>
      </c>
      <c r="N51" s="40">
        <v>21</v>
      </c>
      <c r="O51" s="40">
        <v>21</v>
      </c>
    </row>
    <row r="52" spans="1:21" x14ac:dyDescent="0.25">
      <c r="A52" s="5">
        <v>8</v>
      </c>
      <c r="C52" s="38">
        <v>21.3</v>
      </c>
      <c r="D52" s="38">
        <v>18.7</v>
      </c>
      <c r="E52" s="38">
        <v>20.3</v>
      </c>
      <c r="F52" s="38">
        <v>16.5</v>
      </c>
      <c r="G52" s="38">
        <v>21.1</v>
      </c>
      <c r="H52" s="38">
        <v>21.7</v>
      </c>
      <c r="J52" s="40">
        <v>21.6</v>
      </c>
      <c r="K52" s="40">
        <v>22.6</v>
      </c>
      <c r="L52" s="40"/>
      <c r="M52" s="40">
        <v>19.8</v>
      </c>
      <c r="N52" s="40">
        <v>21.3</v>
      </c>
      <c r="O52" s="40">
        <v>21.3</v>
      </c>
    </row>
    <row r="53" spans="1:21" x14ac:dyDescent="0.25">
      <c r="A53" s="5">
        <v>9</v>
      </c>
      <c r="C53" s="38">
        <v>21.1</v>
      </c>
      <c r="D53" s="38">
        <v>18.899999999999999</v>
      </c>
      <c r="E53" s="38">
        <v>20.9</v>
      </c>
      <c r="F53" s="38">
        <v>16.899999999999999</v>
      </c>
      <c r="G53" s="38">
        <v>22.1</v>
      </c>
      <c r="H53" s="38">
        <v>21.8</v>
      </c>
      <c r="J53" s="40">
        <v>21</v>
      </c>
      <c r="K53" s="40">
        <v>22.4</v>
      </c>
      <c r="L53" s="40"/>
      <c r="M53" s="40">
        <v>19.899999999999999</v>
      </c>
      <c r="N53" s="40">
        <v>21.2</v>
      </c>
      <c r="O53" s="40">
        <v>21.2</v>
      </c>
    </row>
    <row r="54" spans="1:21" x14ac:dyDescent="0.25">
      <c r="A54" s="5">
        <v>10</v>
      </c>
      <c r="C54" s="38">
        <v>21.3</v>
      </c>
      <c r="D54" s="38">
        <v>18.7</v>
      </c>
      <c r="E54" s="38">
        <v>21.2</v>
      </c>
      <c r="F54" s="38">
        <v>17.3</v>
      </c>
      <c r="G54" s="38">
        <v>22.1</v>
      </c>
      <c r="H54" s="38">
        <v>20.3</v>
      </c>
      <c r="J54" s="40">
        <v>21.2</v>
      </c>
      <c r="K54" s="40">
        <v>22.9</v>
      </c>
      <c r="L54" s="40"/>
      <c r="M54" s="40">
        <v>22.9</v>
      </c>
      <c r="N54" s="40">
        <v>20.2</v>
      </c>
      <c r="O54" s="40">
        <v>21.2</v>
      </c>
    </row>
    <row r="55" spans="1:21" x14ac:dyDescent="0.25">
      <c r="A55" s="5">
        <v>11</v>
      </c>
      <c r="C55" s="40">
        <v>21.4</v>
      </c>
      <c r="D55" s="40">
        <v>19.100000000000001</v>
      </c>
      <c r="E55" s="40">
        <v>21.2</v>
      </c>
      <c r="F55" s="40">
        <v>17.600000000000001</v>
      </c>
      <c r="G55" s="40">
        <v>22.6</v>
      </c>
      <c r="H55" s="40">
        <v>20.6</v>
      </c>
      <c r="J55" s="38">
        <v>20.6</v>
      </c>
      <c r="K55" s="38">
        <v>22.5</v>
      </c>
      <c r="L55" s="38"/>
      <c r="M55" s="38">
        <v>22.9</v>
      </c>
      <c r="N55" s="38">
        <v>20</v>
      </c>
      <c r="O55" s="38">
        <v>21.1</v>
      </c>
    </row>
    <row r="56" spans="1:21" x14ac:dyDescent="0.25">
      <c r="A56" s="5">
        <v>12</v>
      </c>
      <c r="C56" s="40">
        <v>21.2</v>
      </c>
      <c r="D56" s="40">
        <v>19.3</v>
      </c>
      <c r="E56" s="40">
        <v>21.6</v>
      </c>
      <c r="F56" s="40">
        <v>17.7</v>
      </c>
      <c r="G56" s="40">
        <v>22.7</v>
      </c>
      <c r="H56" s="40">
        <v>21.5</v>
      </c>
      <c r="J56" s="38">
        <v>21</v>
      </c>
      <c r="K56" s="38">
        <v>22.3</v>
      </c>
      <c r="L56" s="38"/>
      <c r="M56" s="38">
        <v>22.9</v>
      </c>
      <c r="N56" s="38">
        <v>20</v>
      </c>
      <c r="O56" s="38">
        <v>20.8</v>
      </c>
    </row>
    <row r="57" spans="1:21" x14ac:dyDescent="0.25">
      <c r="A57" s="5">
        <v>13</v>
      </c>
      <c r="C57" s="40">
        <v>21.1</v>
      </c>
      <c r="D57" s="40">
        <v>19.5</v>
      </c>
      <c r="E57" s="40">
        <v>21.9</v>
      </c>
      <c r="F57" s="40">
        <v>18.100000000000001</v>
      </c>
      <c r="G57" s="40">
        <v>22.6</v>
      </c>
      <c r="H57" s="40">
        <v>22.3</v>
      </c>
      <c r="J57" s="38">
        <v>21.6</v>
      </c>
      <c r="K57" s="38">
        <v>22.3</v>
      </c>
      <c r="L57" s="38"/>
      <c r="M57" s="38">
        <v>23.3</v>
      </c>
      <c r="N57" s="38">
        <v>19.7</v>
      </c>
      <c r="O57" s="38">
        <v>21</v>
      </c>
    </row>
    <row r="58" spans="1:21" x14ac:dyDescent="0.25">
      <c r="A58" s="5">
        <v>14</v>
      </c>
      <c r="C58" s="40">
        <v>20.9</v>
      </c>
      <c r="D58" s="40">
        <v>18.899999999999999</v>
      </c>
      <c r="E58" s="40">
        <v>21.8</v>
      </c>
      <c r="F58" s="40">
        <v>18.100000000000001</v>
      </c>
      <c r="G58" s="40">
        <v>22.7</v>
      </c>
      <c r="H58" s="40">
        <v>22.7</v>
      </c>
      <c r="J58" s="38">
        <v>21.5</v>
      </c>
      <c r="K58" s="38">
        <v>22.9</v>
      </c>
      <c r="L58" s="38"/>
      <c r="M58" s="38">
        <v>23.1</v>
      </c>
      <c r="N58" s="38">
        <v>21.3</v>
      </c>
      <c r="O58" s="38">
        <v>20.8</v>
      </c>
    </row>
    <row r="59" spans="1:21" x14ac:dyDescent="0.25">
      <c r="A59" s="5">
        <v>15</v>
      </c>
      <c r="C59" s="40">
        <v>20.8</v>
      </c>
      <c r="D59" s="40">
        <v>18.8</v>
      </c>
      <c r="E59" s="40">
        <v>22</v>
      </c>
      <c r="F59" s="40">
        <v>17.8</v>
      </c>
      <c r="G59" s="40">
        <v>22.2</v>
      </c>
      <c r="H59" s="40">
        <v>22.5</v>
      </c>
      <c r="J59" s="38">
        <v>21.6</v>
      </c>
      <c r="K59" s="38">
        <v>22.7</v>
      </c>
      <c r="L59" s="38"/>
      <c r="M59" s="38">
        <v>23.3</v>
      </c>
      <c r="N59" s="38">
        <v>19.5</v>
      </c>
      <c r="O59" s="38">
        <v>21</v>
      </c>
    </row>
    <row r="60" spans="1:21" x14ac:dyDescent="0.25">
      <c r="A60" s="5">
        <v>16</v>
      </c>
      <c r="C60" s="40">
        <v>20.9</v>
      </c>
      <c r="D60" s="40">
        <v>19.5</v>
      </c>
      <c r="E60" s="40">
        <v>21.2</v>
      </c>
      <c r="F60" s="40">
        <v>18</v>
      </c>
      <c r="G60" s="40">
        <v>23.1</v>
      </c>
      <c r="H60" s="40">
        <v>22.5</v>
      </c>
      <c r="J60" s="38">
        <v>22</v>
      </c>
      <c r="K60" s="38">
        <v>22.5</v>
      </c>
      <c r="L60" s="38"/>
      <c r="M60" s="38">
        <v>23.8</v>
      </c>
      <c r="N60" s="38">
        <v>19.8</v>
      </c>
      <c r="O60" s="38">
        <v>20.9</v>
      </c>
    </row>
    <row r="61" spans="1:21" x14ac:dyDescent="0.25">
      <c r="A61" s="5">
        <v>17</v>
      </c>
      <c r="C61" s="40">
        <v>20.9</v>
      </c>
      <c r="D61" s="40">
        <v>19.3</v>
      </c>
      <c r="E61" s="40">
        <v>21.4</v>
      </c>
      <c r="F61" s="40">
        <v>18</v>
      </c>
      <c r="G61" s="40">
        <v>23</v>
      </c>
      <c r="H61" s="40">
        <v>22.4</v>
      </c>
      <c r="J61" s="38">
        <v>22.1</v>
      </c>
      <c r="K61" s="38">
        <v>22.3</v>
      </c>
      <c r="L61" s="38"/>
      <c r="M61" s="38">
        <v>23.8</v>
      </c>
      <c r="N61" s="38">
        <v>19.8</v>
      </c>
      <c r="O61" s="38">
        <v>21.2</v>
      </c>
    </row>
    <row r="62" spans="1:21" x14ac:dyDescent="0.25">
      <c r="A62" s="5"/>
    </row>
    <row r="64" spans="1:21" x14ac:dyDescent="0.25">
      <c r="A64" t="s">
        <v>138</v>
      </c>
      <c r="C64" s="39">
        <f>AVERAGE(_xlfn.ANCHORARRAY(C45))</f>
        <v>21.129411764705882</v>
      </c>
      <c r="D64" s="39">
        <f t="shared" ref="D64:O64" si="70">AVERAGE(_xlfn.ANCHORARRAY(D45))</f>
        <v>18.900000000000002</v>
      </c>
      <c r="E64" s="39">
        <f t="shared" si="70"/>
        <v>20.770588235294117</v>
      </c>
      <c r="F64" s="39">
        <f t="shared" si="70"/>
        <v>17.311764705882354</v>
      </c>
      <c r="G64" s="39">
        <f t="shared" si="70"/>
        <v>21.982352941176469</v>
      </c>
      <c r="H64" s="39">
        <f t="shared" si="70"/>
        <v>21.723529411764702</v>
      </c>
      <c r="I64" s="39"/>
      <c r="J64" s="39">
        <f t="shared" si="70"/>
        <v>21.088235294117652</v>
      </c>
      <c r="K64" s="39">
        <f t="shared" si="70"/>
        <v>22.429411764705883</v>
      </c>
      <c r="L64" s="39"/>
      <c r="M64" s="39">
        <f t="shared" si="70"/>
        <v>22.311764705882357</v>
      </c>
      <c r="N64" s="39">
        <f t="shared" si="70"/>
        <v>20.05294117647059</v>
      </c>
      <c r="O64" s="39">
        <f t="shared" si="70"/>
        <v>21.205882352941178</v>
      </c>
      <c r="T64">
        <f>AVERAGE(C64:H64)</f>
        <v>20.302941176470586</v>
      </c>
      <c r="U64" s="39">
        <f>AVERAGE(J64:O64)</f>
        <v>21.417647058823533</v>
      </c>
    </row>
    <row r="73" spans="1:15" x14ac:dyDescent="0.25">
      <c r="A73" s="5"/>
      <c r="B73" s="59" t="s">
        <v>139</v>
      </c>
      <c r="C73" s="59"/>
      <c r="D73" s="59"/>
      <c r="E73" s="59"/>
      <c r="F73" s="59"/>
      <c r="G73" s="59"/>
      <c r="H73" s="59"/>
      <c r="I73" s="59" t="s">
        <v>139</v>
      </c>
      <c r="J73" s="59"/>
      <c r="K73" s="59"/>
      <c r="L73" s="59"/>
      <c r="M73" s="59"/>
      <c r="N73" s="59"/>
      <c r="O73" s="59"/>
    </row>
    <row r="74" spans="1:15" x14ac:dyDescent="0.25">
      <c r="A74" s="5" t="s">
        <v>124</v>
      </c>
      <c r="B74" s="5"/>
      <c r="C74" s="5" t="s">
        <v>63</v>
      </c>
      <c r="D74" s="5" t="s">
        <v>81</v>
      </c>
      <c r="E74" s="5" t="s">
        <v>84</v>
      </c>
      <c r="F74" s="5" t="s">
        <v>88</v>
      </c>
      <c r="G74" s="5" t="s">
        <v>92</v>
      </c>
      <c r="H74" s="5" t="s">
        <v>96</v>
      </c>
      <c r="I74" s="5"/>
      <c r="J74" s="5" t="s">
        <v>100</v>
      </c>
      <c r="K74" s="5" t="s">
        <v>104</v>
      </c>
      <c r="L74" s="5" t="s">
        <v>106</v>
      </c>
      <c r="M74" s="5" t="s">
        <v>109</v>
      </c>
      <c r="N74" s="5" t="s">
        <v>111</v>
      </c>
      <c r="O74" s="5" t="s">
        <v>115</v>
      </c>
    </row>
    <row r="75" spans="1:15" x14ac:dyDescent="0.25">
      <c r="A75" s="5">
        <v>1</v>
      </c>
      <c r="B75" s="5"/>
      <c r="C75" s="36" cm="1">
        <f t="array" ref="C75:C91">FEDXB01!K4:K20</f>
        <v>0</v>
      </c>
      <c r="D75" s="36" cm="1">
        <f t="array" ref="D75:D91">FEDXB02!K4:K20</f>
        <v>0</v>
      </c>
      <c r="E75" s="36" cm="1">
        <f t="array" ref="E75:E91">FEDXB03!K4:K20</f>
        <v>0</v>
      </c>
      <c r="F75" s="36" cm="1">
        <f t="array" ref="F75:F91">FEDXB04!K4:K20</f>
        <v>0</v>
      </c>
      <c r="G75" s="36" cm="1">
        <f t="array" ref="G75:G91">FEDXB05!K4:K20</f>
        <v>0</v>
      </c>
      <c r="H75" s="36" cm="1">
        <f t="array" ref="H75:H91">FEDXB06!K4:K20</f>
        <v>0</v>
      </c>
      <c r="I75" s="5"/>
      <c r="J75" s="36" cm="1">
        <f t="array" ref="J75:J91">FEDXB07!K4:K20</f>
        <v>0</v>
      </c>
      <c r="K75" s="36" cm="1">
        <f t="array" ref="K75:K91">FEDXB08!K4:K20</f>
        <v>0</v>
      </c>
      <c r="L75" s="36"/>
      <c r="M75" s="36" cm="1">
        <f t="array" ref="M75:M91">FEDXB10!K4:K20</f>
        <v>0</v>
      </c>
      <c r="N75" s="36" cm="1">
        <f t="array" ref="N75:N91">FEDXB11!K4:K20</f>
        <v>0</v>
      </c>
      <c r="O75" s="36" cm="1">
        <f t="array" ref="O75:O91">FEDXB12!K4:K20</f>
        <v>0</v>
      </c>
    </row>
    <row r="76" spans="1:15" x14ac:dyDescent="0.25">
      <c r="A76" s="5">
        <v>2</v>
      </c>
      <c r="B76" s="5"/>
      <c r="C76" s="36">
        <v>0</v>
      </c>
      <c r="D76" s="36">
        <v>0</v>
      </c>
      <c r="E76" s="36">
        <v>0</v>
      </c>
      <c r="F76" s="36">
        <v>0</v>
      </c>
      <c r="G76" s="36">
        <v>0</v>
      </c>
      <c r="H76" s="36">
        <v>0</v>
      </c>
      <c r="I76" s="5"/>
      <c r="J76" s="36">
        <v>0</v>
      </c>
      <c r="K76" s="36">
        <v>0</v>
      </c>
      <c r="L76" s="36"/>
      <c r="M76" s="36">
        <v>0</v>
      </c>
      <c r="N76" s="36">
        <v>0</v>
      </c>
      <c r="O76" s="36">
        <v>0</v>
      </c>
    </row>
    <row r="77" spans="1:15" x14ac:dyDescent="0.25">
      <c r="A77" s="5">
        <v>3</v>
      </c>
      <c r="B77" s="5"/>
      <c r="C77" s="36">
        <v>0</v>
      </c>
      <c r="D77" s="36">
        <v>0</v>
      </c>
      <c r="E77" s="36">
        <v>0</v>
      </c>
      <c r="F77" s="36">
        <v>0</v>
      </c>
      <c r="G77" s="36">
        <v>0</v>
      </c>
      <c r="H77" s="36">
        <v>0</v>
      </c>
      <c r="I77" s="5"/>
      <c r="J77" s="36">
        <v>0</v>
      </c>
      <c r="K77" s="36">
        <v>0</v>
      </c>
      <c r="L77" s="36"/>
      <c r="M77" s="36">
        <v>0</v>
      </c>
      <c r="N77" s="36">
        <v>0</v>
      </c>
      <c r="O77" s="36">
        <v>0</v>
      </c>
    </row>
    <row r="78" spans="1:15" x14ac:dyDescent="0.25">
      <c r="A78" s="5">
        <v>4</v>
      </c>
      <c r="B78" s="5"/>
      <c r="C78" s="6">
        <v>0</v>
      </c>
      <c r="D78" s="6">
        <v>68</v>
      </c>
      <c r="E78" s="6">
        <v>0</v>
      </c>
      <c r="F78" s="6">
        <v>0</v>
      </c>
      <c r="G78" s="6">
        <v>0</v>
      </c>
      <c r="H78" s="6">
        <v>0</v>
      </c>
      <c r="I78" s="5"/>
      <c r="J78" s="37">
        <v>0</v>
      </c>
      <c r="K78" s="37">
        <v>0</v>
      </c>
      <c r="L78" s="37"/>
      <c r="M78" s="37">
        <v>0</v>
      </c>
      <c r="N78" s="37">
        <v>13</v>
      </c>
      <c r="O78" s="37">
        <v>0</v>
      </c>
    </row>
    <row r="79" spans="1:15" x14ac:dyDescent="0.25">
      <c r="A79" s="5">
        <v>5</v>
      </c>
      <c r="B79" s="5"/>
      <c r="C79" s="6">
        <v>2</v>
      </c>
      <c r="D79" s="6">
        <v>60</v>
      </c>
      <c r="E79" s="6">
        <v>0</v>
      </c>
      <c r="F79" s="6">
        <v>0</v>
      </c>
      <c r="G79" s="6">
        <v>0</v>
      </c>
      <c r="H79" s="6">
        <v>0</v>
      </c>
      <c r="I79" s="5"/>
      <c r="J79" s="37">
        <v>0</v>
      </c>
      <c r="K79" s="37">
        <v>0</v>
      </c>
      <c r="L79" s="37"/>
      <c r="M79" s="37">
        <v>0</v>
      </c>
      <c r="N79" s="37">
        <v>3</v>
      </c>
      <c r="O79" s="37">
        <v>0</v>
      </c>
    </row>
    <row r="80" spans="1:15" x14ac:dyDescent="0.25">
      <c r="A80" s="5">
        <v>6</v>
      </c>
      <c r="B80" s="5"/>
      <c r="C80" s="6">
        <v>2</v>
      </c>
      <c r="D80" s="6">
        <v>58</v>
      </c>
      <c r="E80" s="6">
        <v>11</v>
      </c>
      <c r="F80" s="6">
        <v>0</v>
      </c>
      <c r="G80" s="6">
        <v>0</v>
      </c>
      <c r="H80" s="6">
        <v>0</v>
      </c>
      <c r="I80" s="5"/>
      <c r="J80" s="37">
        <v>0</v>
      </c>
      <c r="K80" s="37">
        <v>0</v>
      </c>
      <c r="L80" s="37"/>
      <c r="M80" s="37">
        <v>5</v>
      </c>
      <c r="N80" s="37">
        <v>0</v>
      </c>
      <c r="O80" s="37">
        <v>0</v>
      </c>
    </row>
    <row r="81" spans="1:15" x14ac:dyDescent="0.25">
      <c r="A81" s="5">
        <v>7</v>
      </c>
      <c r="B81" s="5"/>
      <c r="C81" s="6">
        <v>0</v>
      </c>
      <c r="D81" s="6">
        <v>0</v>
      </c>
      <c r="E81" s="6">
        <v>4</v>
      </c>
      <c r="F81" s="6">
        <v>0</v>
      </c>
      <c r="G81" s="6">
        <v>0</v>
      </c>
      <c r="H81" s="6">
        <v>0</v>
      </c>
      <c r="I81" s="5"/>
      <c r="J81" s="37">
        <v>0</v>
      </c>
      <c r="K81" s="37">
        <v>0</v>
      </c>
      <c r="L81" s="37"/>
      <c r="M81" s="37">
        <v>0</v>
      </c>
      <c r="N81" s="37">
        <v>0</v>
      </c>
      <c r="O81" s="37">
        <v>0</v>
      </c>
    </row>
    <row r="82" spans="1:15" x14ac:dyDescent="0.25">
      <c r="A82" s="5">
        <v>8</v>
      </c>
      <c r="B82" s="5"/>
      <c r="C82" s="6">
        <v>0</v>
      </c>
      <c r="D82" s="6">
        <v>0</v>
      </c>
      <c r="E82" s="6">
        <v>10</v>
      </c>
      <c r="F82" s="6">
        <v>0</v>
      </c>
      <c r="G82" s="6">
        <v>0</v>
      </c>
      <c r="H82" s="6">
        <v>0</v>
      </c>
      <c r="I82" s="5"/>
      <c r="J82" s="37">
        <v>0</v>
      </c>
      <c r="K82" s="37">
        <v>0</v>
      </c>
      <c r="L82" s="37"/>
      <c r="M82" s="37">
        <v>0</v>
      </c>
      <c r="N82" s="37">
        <v>0</v>
      </c>
      <c r="O82" s="37">
        <v>0</v>
      </c>
    </row>
    <row r="83" spans="1:15" x14ac:dyDescent="0.25">
      <c r="A83" s="5">
        <v>9</v>
      </c>
      <c r="B83" s="5"/>
      <c r="C83" s="6">
        <v>0</v>
      </c>
      <c r="D83" s="6">
        <v>0</v>
      </c>
      <c r="E83" s="6">
        <v>25</v>
      </c>
      <c r="F83" s="6">
        <v>0</v>
      </c>
      <c r="G83" s="6">
        <v>0</v>
      </c>
      <c r="H83" s="6">
        <v>0</v>
      </c>
      <c r="I83" s="5"/>
      <c r="J83" s="37">
        <v>0</v>
      </c>
      <c r="K83" s="37">
        <v>0</v>
      </c>
      <c r="L83" s="37"/>
      <c r="M83" s="37">
        <v>0</v>
      </c>
      <c r="N83" s="37">
        <v>0</v>
      </c>
      <c r="O83" s="37">
        <v>0</v>
      </c>
    </row>
    <row r="84" spans="1:15" x14ac:dyDescent="0.25">
      <c r="A84" s="5">
        <v>10</v>
      </c>
      <c r="B84" s="5"/>
      <c r="C84" s="6">
        <v>0</v>
      </c>
      <c r="D84" s="6">
        <v>0</v>
      </c>
      <c r="E84" s="6">
        <v>5</v>
      </c>
      <c r="F84" s="6">
        <v>0</v>
      </c>
      <c r="G84" s="6">
        <v>0</v>
      </c>
      <c r="H84" s="6">
        <v>0</v>
      </c>
      <c r="I84" s="5"/>
      <c r="J84" s="37">
        <v>0</v>
      </c>
      <c r="K84" s="37">
        <v>0</v>
      </c>
      <c r="L84" s="37"/>
      <c r="M84" s="37">
        <v>12</v>
      </c>
      <c r="N84" s="37">
        <v>0</v>
      </c>
      <c r="O84" s="37">
        <v>0</v>
      </c>
    </row>
    <row r="85" spans="1:15" x14ac:dyDescent="0.25">
      <c r="A85" s="5">
        <v>11</v>
      </c>
      <c r="B85" s="5"/>
      <c r="C85" s="37">
        <v>0</v>
      </c>
      <c r="D85" s="37">
        <v>0</v>
      </c>
      <c r="E85" s="37">
        <v>0</v>
      </c>
      <c r="F85" s="37">
        <v>6</v>
      </c>
      <c r="G85" s="37">
        <v>0</v>
      </c>
      <c r="H85" s="37">
        <v>6</v>
      </c>
      <c r="I85" s="5"/>
      <c r="J85" s="6">
        <v>0</v>
      </c>
      <c r="K85" s="6">
        <v>0</v>
      </c>
      <c r="L85" s="6"/>
      <c r="M85" s="6">
        <v>20</v>
      </c>
      <c r="N85" s="6">
        <v>0</v>
      </c>
      <c r="O85" s="6">
        <v>0</v>
      </c>
    </row>
    <row r="86" spans="1:15" x14ac:dyDescent="0.25">
      <c r="A86" s="5">
        <v>12</v>
      </c>
      <c r="B86" s="5"/>
      <c r="C86" s="37">
        <v>0</v>
      </c>
      <c r="D86" s="37">
        <v>0</v>
      </c>
      <c r="E86" s="37">
        <v>0</v>
      </c>
      <c r="F86" s="37">
        <v>0</v>
      </c>
      <c r="G86" s="37">
        <v>0</v>
      </c>
      <c r="H86" s="37">
        <v>12</v>
      </c>
      <c r="I86" s="5"/>
      <c r="J86" s="6">
        <v>0</v>
      </c>
      <c r="K86" s="6">
        <v>0</v>
      </c>
      <c r="L86" s="6"/>
      <c r="M86" s="6">
        <v>25</v>
      </c>
      <c r="N86" s="6">
        <v>0</v>
      </c>
      <c r="O86" s="6">
        <v>0</v>
      </c>
    </row>
    <row r="87" spans="1:15" x14ac:dyDescent="0.25">
      <c r="A87" s="5">
        <v>13</v>
      </c>
      <c r="B87" s="5"/>
      <c r="C87" s="37">
        <v>0</v>
      </c>
      <c r="D87" s="37">
        <v>0</v>
      </c>
      <c r="E87" s="37">
        <v>0</v>
      </c>
      <c r="F87" s="37">
        <v>0</v>
      </c>
      <c r="G87" s="37">
        <v>0</v>
      </c>
      <c r="H87" s="37">
        <v>17</v>
      </c>
      <c r="I87" s="5"/>
      <c r="J87" s="6">
        <v>0</v>
      </c>
      <c r="K87" s="6">
        <v>0</v>
      </c>
      <c r="L87" s="6"/>
      <c r="M87" s="6">
        <v>40</v>
      </c>
      <c r="N87" s="6">
        <v>3</v>
      </c>
      <c r="O87" s="6">
        <v>0</v>
      </c>
    </row>
    <row r="88" spans="1:15" x14ac:dyDescent="0.25">
      <c r="A88" s="5">
        <v>14</v>
      </c>
      <c r="B88" s="5"/>
      <c r="C88" s="37">
        <v>0</v>
      </c>
      <c r="D88" s="37">
        <v>0</v>
      </c>
      <c r="E88" s="37">
        <v>0</v>
      </c>
      <c r="F88" s="37">
        <v>0</v>
      </c>
      <c r="G88" s="37">
        <v>0</v>
      </c>
      <c r="H88" s="37">
        <v>20</v>
      </c>
      <c r="I88" s="5"/>
      <c r="J88" s="6">
        <v>14</v>
      </c>
      <c r="K88" s="6">
        <v>0</v>
      </c>
      <c r="L88" s="6"/>
      <c r="M88" s="6">
        <v>6</v>
      </c>
      <c r="N88" s="6">
        <v>0</v>
      </c>
      <c r="O88" s="6">
        <v>0</v>
      </c>
    </row>
    <row r="89" spans="1:15" x14ac:dyDescent="0.25">
      <c r="A89" s="5">
        <v>15</v>
      </c>
      <c r="B89" s="5"/>
      <c r="C89" s="37">
        <v>0</v>
      </c>
      <c r="D89" s="37">
        <v>0</v>
      </c>
      <c r="E89" s="37">
        <v>0</v>
      </c>
      <c r="F89" s="37">
        <v>0</v>
      </c>
      <c r="G89" s="37">
        <v>0</v>
      </c>
      <c r="H89" s="37">
        <v>23</v>
      </c>
      <c r="I89" s="5"/>
      <c r="J89" s="6">
        <v>38</v>
      </c>
      <c r="K89" s="6">
        <v>0</v>
      </c>
      <c r="L89" s="6"/>
      <c r="M89" s="6">
        <v>0</v>
      </c>
      <c r="N89" s="6">
        <v>0</v>
      </c>
      <c r="O89" s="6">
        <v>0</v>
      </c>
    </row>
    <row r="90" spans="1:15" x14ac:dyDescent="0.25">
      <c r="A90" s="5">
        <v>16</v>
      </c>
      <c r="B90" s="5"/>
      <c r="C90" s="37">
        <v>0</v>
      </c>
      <c r="D90" s="37">
        <v>0</v>
      </c>
      <c r="E90" s="37">
        <v>0</v>
      </c>
      <c r="F90" s="37">
        <v>1</v>
      </c>
      <c r="G90" s="37">
        <v>0</v>
      </c>
      <c r="H90" s="37">
        <v>40</v>
      </c>
      <c r="I90" s="5"/>
      <c r="J90" s="6">
        <v>15</v>
      </c>
      <c r="K90" s="6">
        <v>0</v>
      </c>
      <c r="L90" s="6"/>
      <c r="M90" s="6">
        <v>0</v>
      </c>
      <c r="N90" s="6">
        <v>0</v>
      </c>
      <c r="O90" s="6">
        <v>0</v>
      </c>
    </row>
    <row r="91" spans="1:15" x14ac:dyDescent="0.25">
      <c r="A91" s="5">
        <v>17</v>
      </c>
      <c r="B91" s="5"/>
      <c r="C91" s="37">
        <v>0</v>
      </c>
      <c r="D91" s="37">
        <v>0</v>
      </c>
      <c r="E91" s="37">
        <v>0</v>
      </c>
      <c r="F91" s="37">
        <v>0</v>
      </c>
      <c r="G91" s="37">
        <v>0</v>
      </c>
      <c r="H91" s="37">
        <v>27</v>
      </c>
      <c r="I91" s="5"/>
      <c r="J91" s="6">
        <v>25</v>
      </c>
      <c r="K91" s="6">
        <v>0</v>
      </c>
      <c r="L91" s="6"/>
      <c r="M91" s="6">
        <v>4</v>
      </c>
      <c r="N91" s="6">
        <v>2</v>
      </c>
      <c r="O91" s="6">
        <v>0</v>
      </c>
    </row>
    <row r="92" spans="1:15" x14ac:dyDescent="0.25">
      <c r="A92" s="5"/>
      <c r="B92" s="5"/>
      <c r="C92" s="5"/>
      <c r="D92" s="5"/>
      <c r="E92" s="5"/>
      <c r="F92" s="5"/>
      <c r="G92" s="5"/>
      <c r="H92" s="5"/>
      <c r="I92" s="5"/>
      <c r="J92" s="5"/>
      <c r="K92" s="5"/>
      <c r="L92" s="5"/>
      <c r="M92" s="5"/>
      <c r="N92" s="5"/>
      <c r="O92" s="5"/>
    </row>
    <row r="93" spans="1:15" x14ac:dyDescent="0.25">
      <c r="A93" s="5"/>
      <c r="B93" s="5"/>
      <c r="C93" s="5"/>
      <c r="D93" s="5"/>
      <c r="E93" s="5"/>
      <c r="F93" s="5"/>
      <c r="G93" s="5"/>
      <c r="H93" s="5"/>
      <c r="I93" s="5"/>
      <c r="J93" s="5"/>
      <c r="K93" s="5"/>
      <c r="L93" s="5"/>
      <c r="M93" s="5"/>
      <c r="N93" s="5"/>
      <c r="O93" s="5"/>
    </row>
    <row r="94" spans="1:15" x14ac:dyDescent="0.25">
      <c r="A94" s="5"/>
      <c r="B94" s="5"/>
      <c r="C94" s="5"/>
      <c r="D94" s="5"/>
      <c r="E94" s="5"/>
      <c r="F94" s="5"/>
      <c r="G94" s="5"/>
      <c r="H94" s="5"/>
      <c r="I94" s="5"/>
      <c r="J94" s="5"/>
      <c r="K94" s="5"/>
      <c r="L94" s="5"/>
      <c r="M94" s="5"/>
      <c r="N94" s="5"/>
      <c r="O94" s="5"/>
    </row>
    <row r="95" spans="1:15" x14ac:dyDescent="0.25">
      <c r="A95" s="5" t="s">
        <v>138</v>
      </c>
      <c r="B95" s="5"/>
      <c r="C95" s="41">
        <f>AVERAGE(_xlfn.ANCHORARRAY(C75))</f>
        <v>0.23529411764705882</v>
      </c>
      <c r="D95" s="41">
        <f t="shared" ref="D95:O95" si="71">AVERAGE(_xlfn.ANCHORARRAY(D75))</f>
        <v>10.941176470588236</v>
      </c>
      <c r="E95" s="41">
        <f t="shared" si="71"/>
        <v>3.2352941176470589</v>
      </c>
      <c r="F95" s="41">
        <f t="shared" si="71"/>
        <v>0.41176470588235292</v>
      </c>
      <c r="G95" s="41">
        <f t="shared" si="71"/>
        <v>0</v>
      </c>
      <c r="H95" s="41">
        <f t="shared" si="71"/>
        <v>8.5294117647058822</v>
      </c>
      <c r="I95" s="41"/>
      <c r="J95" s="41">
        <f t="shared" si="71"/>
        <v>5.4117647058823533</v>
      </c>
      <c r="K95" s="41">
        <f t="shared" si="71"/>
        <v>0</v>
      </c>
      <c r="L95" s="41"/>
      <c r="M95" s="41">
        <f t="shared" si="71"/>
        <v>6.5882352941176467</v>
      </c>
      <c r="N95" s="41">
        <f t="shared" si="71"/>
        <v>1.2352941176470589</v>
      </c>
      <c r="O95" s="41">
        <f t="shared" si="71"/>
        <v>0</v>
      </c>
    </row>
  </sheetData>
  <mergeCells count="8">
    <mergeCell ref="B73:H73"/>
    <mergeCell ref="I73:O73"/>
    <mergeCell ref="AH1:AN1"/>
    <mergeCell ref="AO1:AU1"/>
    <mergeCell ref="B43:H43"/>
    <mergeCell ref="I43:O43"/>
    <mergeCell ref="B1:H1"/>
    <mergeCell ref="I1:O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405A37C4175C479A3F644649DB0607" ma:contentTypeVersion="17" ma:contentTypeDescription="Create a new document." ma:contentTypeScope="" ma:versionID="2799f828fc51c59745fcfb54adb700d6">
  <xsd:schema xmlns:xsd="http://www.w3.org/2001/XMLSchema" xmlns:xs="http://www.w3.org/2001/XMLSchema" xmlns:p="http://schemas.microsoft.com/office/2006/metadata/properties" xmlns:ns2="00853702-0edb-428b-b670-bdc009093857" xmlns:ns3="1aff17e5-78a8-44a2-976d-c6cb29aeffe7" targetNamespace="http://schemas.microsoft.com/office/2006/metadata/properties" ma:root="true" ma:fieldsID="4621c2afd9e60fcdcc1d20f7681c19ac" ns2:_="" ns3:_="">
    <xsd:import namespace="00853702-0edb-428b-b670-bdc009093857"/>
    <xsd:import namespace="1aff17e5-78a8-44a2-976d-c6cb29aeff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3702-0edb-428b-b670-bdc0090938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a916d09-11b3-44b5-b5f4-9aae0c20137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f17e5-78a8-44a2-976d-c6cb29aeffe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4eab5b-c6d8-4254-840e-a144900885a0}" ma:internalName="TaxCatchAll" ma:showField="CatchAllData" ma:web="1aff17e5-78a8-44a2-976d-c6cb29aeff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3702-0edb-428b-b670-bdc009093857">
      <Terms xmlns="http://schemas.microsoft.com/office/infopath/2007/PartnerControls"/>
    </lcf76f155ced4ddcb4097134ff3c332f>
    <TaxCatchAll xmlns="1aff17e5-78a8-44a2-976d-c6cb29aeffe7" xsi:nil="true"/>
  </documentManagement>
</p:properties>
</file>

<file path=customXml/itemProps1.xml><?xml version="1.0" encoding="utf-8"?>
<ds:datastoreItem xmlns:ds="http://schemas.openxmlformats.org/officeDocument/2006/customXml" ds:itemID="{166DA0BB-6C58-4E2E-BA68-878878113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3702-0edb-428b-b670-bdc009093857"/>
    <ds:schemaRef ds:uri="1aff17e5-78a8-44a2-976d-c6cb29aef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BD40DB-B3D2-4933-B9FC-79227531E67E}">
  <ds:schemaRefs>
    <ds:schemaRef ds:uri="http://schemas.microsoft.com/sharepoint/v3/contenttype/forms"/>
  </ds:schemaRefs>
</ds:datastoreItem>
</file>

<file path=customXml/itemProps3.xml><?xml version="1.0" encoding="utf-8"?>
<ds:datastoreItem xmlns:ds="http://schemas.openxmlformats.org/officeDocument/2006/customXml" ds:itemID="{20FBC239-FD4A-41E6-8E8B-260AF24E977B}">
  <ds:schemaRefs>
    <ds:schemaRef ds:uri="http://schemas.microsoft.com/office/2006/metadata/properties"/>
    <ds:schemaRef ds:uri="http://schemas.microsoft.com/office/infopath/2007/PartnerControls"/>
    <ds:schemaRef ds:uri="00853702-0edb-428b-b670-bdc009093857"/>
    <ds:schemaRef ds:uri="1aff17e5-78a8-44a2-976d-c6cb29aeff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FEDXA Overal Scheme</vt:lpstr>
      <vt:lpstr>FEDXB01</vt:lpstr>
      <vt:lpstr>FEDXB02</vt:lpstr>
      <vt:lpstr>FEDXB03</vt:lpstr>
      <vt:lpstr>FEDXB04</vt:lpstr>
      <vt:lpstr>FEDXB05</vt:lpstr>
      <vt:lpstr>FEDXB06</vt:lpstr>
      <vt:lpstr>FEDXB07</vt:lpstr>
      <vt:lpstr>FEDXB08</vt:lpstr>
      <vt:lpstr>FEDXB09</vt:lpstr>
      <vt:lpstr>FEDXB10</vt:lpstr>
      <vt:lpstr>FEDXB11</vt:lpstr>
      <vt:lpstr>FEDXB12</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Hamid Taghipourbibalan</dc:creator>
  <cp:keywords/>
  <dc:description/>
  <cp:lastModifiedBy>Hamid Taghipourbibalan</cp:lastModifiedBy>
  <cp:revision/>
  <dcterms:created xsi:type="dcterms:W3CDTF">2015-06-05T18:17:20Z</dcterms:created>
  <dcterms:modified xsi:type="dcterms:W3CDTF">2023-12-28T12:19:32Z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0x01010054405A37C4175C479A3F644649DB0607</vt:lpwstr>
  </property>
  <property fmtid="{D5CDD505-2E9C-101B-9397-08002B2CF9AE}" pid="3" name="MediaServiceImageTags">
    <vt:lpwstr/>
  </property>
</Properties>
</file>