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threadedComments/threadedComment1.xml" ContentType="application/vnd.ms-excel.threadedcomments+xml"/>
  <Override PartName="/xl/comments3.xml" ContentType="application/vnd.openxmlformats-officedocument.spreadsheetml.comments+xml"/>
  <Override PartName="/xl/threadedComments/threadedComment2.xml" ContentType="application/vnd.ms-excel.threadedcomments+xml"/>
  <Override PartName="/xl/comments4.xml" ContentType="application/vnd.openxmlformats-officedocument.spreadsheetml.comments+xml"/>
  <Override PartName="/xl/threadedComments/threadedComment3.xml" ContentType="application/vnd.ms-excel.threadedcomments+xml"/>
  <Override PartName="/xl/comments5.xml" ContentType="application/vnd.openxmlformats-officedocument.spreadsheetml.comments+xml"/>
  <Override PartName="/xl/threadedComments/threadedComment4.xml" ContentType="application/vnd.ms-excel.threaded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Users\hta031\Github\FEDProtein\data\"/>
    </mc:Choice>
  </mc:AlternateContent>
  <xr:revisionPtr revIDLastSave="0" documentId="13_ncr:1_{06737529-C370-479C-8F6B-14D04C8DE4C3}" xr6:coauthVersionLast="47" xr6:coauthVersionMax="47" xr10:uidLastSave="{00000000-0000-0000-0000-000000000000}"/>
  <bookViews>
    <workbookView xWindow="59400" yWindow="480" windowWidth="16440" windowHeight="28440" tabRatio="669" firstSheet="11" activeTab="16" xr2:uid="{00000000-000D-0000-FFFF-FFFF00000000}"/>
  </bookViews>
  <sheets>
    <sheet name="FEDXA Overal Scheme" sheetId="1" r:id="rId1"/>
    <sheet name="FEDXA01" sheetId="2" r:id="rId2"/>
    <sheet name="FEDXA02" sheetId="3" r:id="rId3"/>
    <sheet name="FEDXA03" sheetId="4" r:id="rId4"/>
    <sheet name="FEDXA04" sheetId="5" r:id="rId5"/>
    <sheet name="FEDXA05" sheetId="6" r:id="rId6"/>
    <sheet name="FEDXA06" sheetId="7" r:id="rId7"/>
    <sheet name="FEDXA07" sheetId="8" r:id="rId8"/>
    <sheet name="FEDXA08" sheetId="9" r:id="rId9"/>
    <sheet name="FEDXA09" sheetId="10" r:id="rId10"/>
    <sheet name="FEDXA10" sheetId="11" r:id="rId11"/>
    <sheet name="FEDXA11" sheetId="12" r:id="rId12"/>
    <sheet name="FEDXA12" sheetId="13" r:id="rId13"/>
    <sheet name="Analysis" sheetId="14" r:id="rId14"/>
    <sheet name="METAFILE" sheetId="15" r:id="rId15"/>
    <sheet name="METAFILE_BW" sheetId="16" r:id="rId16"/>
    <sheet name="METAFILE_HO" sheetId="17" r:id="rId1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28" i="7" l="1"/>
  <c r="G27" i="7"/>
  <c r="H28" i="6"/>
  <c r="H27" i="6"/>
  <c r="G28" i="6"/>
  <c r="G27" i="6"/>
  <c r="H28" i="5"/>
  <c r="G28" i="5"/>
  <c r="H27" i="5"/>
  <c r="G27" i="5"/>
  <c r="G28" i="4"/>
  <c r="G27" i="4"/>
  <c r="H28" i="3"/>
  <c r="J28" i="3"/>
  <c r="I28" i="3"/>
  <c r="G28" i="3"/>
  <c r="G27" i="3"/>
  <c r="J28" i="2"/>
  <c r="G28" i="2"/>
  <c r="H27" i="2"/>
  <c r="G27" i="2"/>
  <c r="I28" i="2"/>
  <c r="J28" i="4"/>
  <c r="J28" i="5"/>
  <c r="J28" i="6"/>
  <c r="J28" i="7"/>
  <c r="H25" i="8"/>
  <c r="G25" i="8"/>
  <c r="H24" i="8"/>
  <c r="G24" i="8"/>
  <c r="H25" i="9"/>
  <c r="G25" i="9"/>
  <c r="H24" i="9"/>
  <c r="G24" i="9"/>
  <c r="H25" i="10"/>
  <c r="G25" i="10"/>
  <c r="G24" i="10"/>
  <c r="H25" i="11"/>
  <c r="G25" i="11"/>
  <c r="H24" i="11"/>
  <c r="G24" i="11"/>
  <c r="H25" i="12"/>
  <c r="G25" i="12"/>
  <c r="H24" i="12"/>
  <c r="G24" i="12"/>
  <c r="H25" i="13"/>
  <c r="G25" i="13"/>
  <c r="H24" i="13"/>
  <c r="G24" i="13"/>
  <c r="J27" i="2"/>
  <c r="I27" i="2"/>
  <c r="J26" i="2"/>
  <c r="I26" i="2"/>
  <c r="J25" i="2"/>
  <c r="I25" i="2"/>
  <c r="J24" i="2"/>
  <c r="I24" i="2"/>
  <c r="J23" i="2"/>
  <c r="I23" i="2"/>
  <c r="J27" i="3"/>
  <c r="I27" i="3"/>
  <c r="J26" i="3"/>
  <c r="I26" i="3"/>
  <c r="J25" i="3"/>
  <c r="I25" i="3"/>
  <c r="J24" i="3"/>
  <c r="I24" i="3"/>
  <c r="J23" i="3"/>
  <c r="I23" i="3"/>
  <c r="J27" i="4"/>
  <c r="I27" i="4"/>
  <c r="J26" i="4"/>
  <c r="I26" i="4"/>
  <c r="J25" i="4"/>
  <c r="I25" i="4"/>
  <c r="J24" i="4"/>
  <c r="I24" i="4"/>
  <c r="J23" i="4"/>
  <c r="I23" i="4"/>
  <c r="J27" i="5"/>
  <c r="I27" i="5"/>
  <c r="J26" i="5"/>
  <c r="I26" i="5"/>
  <c r="J25" i="5"/>
  <c r="I25" i="5"/>
  <c r="J24" i="5"/>
  <c r="I24" i="5"/>
  <c r="J23" i="5"/>
  <c r="I23" i="5"/>
  <c r="J27" i="6"/>
  <c r="I27" i="6"/>
  <c r="J26" i="6"/>
  <c r="I26" i="6"/>
  <c r="J25" i="6"/>
  <c r="I25" i="6"/>
  <c r="J24" i="6"/>
  <c r="I24" i="6"/>
  <c r="J23" i="6"/>
  <c r="I23" i="6"/>
  <c r="J27" i="7"/>
  <c r="I27" i="7"/>
  <c r="J26" i="7"/>
  <c r="I26" i="7"/>
  <c r="J25" i="7"/>
  <c r="I25" i="7"/>
  <c r="J24" i="7"/>
  <c r="I24" i="7"/>
  <c r="J23" i="7"/>
  <c r="I23" i="7"/>
  <c r="J27" i="8"/>
  <c r="I27" i="8"/>
  <c r="J26" i="8"/>
  <c r="I26" i="8"/>
  <c r="J25" i="8"/>
  <c r="I25" i="8"/>
  <c r="J24" i="8"/>
  <c r="I24" i="8"/>
  <c r="J23" i="8"/>
  <c r="I23" i="8"/>
  <c r="J27" i="9"/>
  <c r="I27" i="9"/>
  <c r="J26" i="9"/>
  <c r="I26" i="9"/>
  <c r="J25" i="9"/>
  <c r="I25" i="9"/>
  <c r="J24" i="9"/>
  <c r="I24" i="9"/>
  <c r="J23" i="9"/>
  <c r="I23" i="9"/>
  <c r="I28" i="10"/>
  <c r="J27" i="10"/>
  <c r="I27" i="10"/>
  <c r="J26" i="10"/>
  <c r="I26" i="10"/>
  <c r="J25" i="10"/>
  <c r="I25" i="10"/>
  <c r="J24" i="10"/>
  <c r="I24" i="10"/>
  <c r="J23" i="10"/>
  <c r="I23" i="10"/>
  <c r="J27" i="11"/>
  <c r="I27" i="11"/>
  <c r="J26" i="11"/>
  <c r="I26" i="11"/>
  <c r="J25" i="11"/>
  <c r="I25" i="11"/>
  <c r="J24" i="11"/>
  <c r="I24" i="11"/>
  <c r="J23" i="11"/>
  <c r="I23" i="11"/>
  <c r="J27" i="12"/>
  <c r="I27" i="12"/>
  <c r="J26" i="12"/>
  <c r="I26" i="12"/>
  <c r="J25" i="12"/>
  <c r="I25" i="12"/>
  <c r="J24" i="12"/>
  <c r="I24" i="12"/>
  <c r="J23" i="12"/>
  <c r="I23" i="12"/>
  <c r="J24" i="13"/>
  <c r="J25" i="13"/>
  <c r="J26" i="13"/>
  <c r="J27" i="13"/>
  <c r="J23" i="13"/>
  <c r="I23" i="13"/>
  <c r="I24" i="13"/>
  <c r="I25" i="13"/>
  <c r="I26" i="13"/>
  <c r="I27" i="13"/>
  <c r="I28" i="13"/>
  <c r="AG1" i="14"/>
  <c r="AH1" i="14"/>
  <c r="AO1" i="14"/>
  <c r="AG2" i="14"/>
  <c r="AI2" i="14"/>
  <c r="AJ2" i="14"/>
  <c r="AK2" i="14"/>
  <c r="AL2" i="14"/>
  <c r="AM2" i="14"/>
  <c r="AN2" i="14"/>
  <c r="AP2" i="14"/>
  <c r="AQ2" i="14"/>
  <c r="AR2" i="14"/>
  <c r="AS2" i="14"/>
  <c r="AT2" i="14"/>
  <c r="AU2" i="14"/>
  <c r="AG3" i="14"/>
  <c r="AG4" i="14"/>
  <c r="AG5" i="14"/>
  <c r="AG6" i="14"/>
  <c r="AG7" i="14"/>
  <c r="AG8" i="14"/>
  <c r="AG9" i="14"/>
  <c r="AG10" i="14"/>
  <c r="AG11" i="14"/>
  <c r="AG12" i="14"/>
  <c r="AG13" i="14"/>
  <c r="AG14" i="14"/>
  <c r="AG15" i="14"/>
  <c r="AG16" i="14"/>
  <c r="AG17" i="14"/>
  <c r="AG18" i="14"/>
  <c r="AG19" i="14"/>
  <c r="O75" i="14" a="1"/>
  <c r="O75" i="14" s="1"/>
  <c r="O95" i="14" s="1"/>
  <c r="N75" i="14" a="1"/>
  <c r="N75" i="14" s="1"/>
  <c r="N95" i="14" s="1"/>
  <c r="M75" i="14" a="1"/>
  <c r="M75" i="14" s="1"/>
  <c r="M95" i="14" s="1"/>
  <c r="L75" i="14" a="1"/>
  <c r="L75" i="14" s="1"/>
  <c r="L95" i="14" s="1"/>
  <c r="K75" i="14" a="1"/>
  <c r="K75" i="14" s="1"/>
  <c r="K95" i="14" s="1"/>
  <c r="J75" i="14" a="1"/>
  <c r="J75" i="14" s="1"/>
  <c r="J95" i="14" s="1"/>
  <c r="H75" i="14" a="1"/>
  <c r="H75" i="14"/>
  <c r="H95" i="14" s="1"/>
  <c r="G75" i="14" a="1"/>
  <c r="G75" i="14" s="1"/>
  <c r="G95" i="14" s="1"/>
  <c r="F75" i="14" a="1"/>
  <c r="F75" i="14" s="1"/>
  <c r="F95" i="14" s="1"/>
  <c r="E75" i="14" a="1"/>
  <c r="E75" i="14" s="1"/>
  <c r="E95" i="14" s="1"/>
  <c r="C75" i="14" a="1"/>
  <c r="C75" i="14" s="1"/>
  <c r="C95" i="14" s="1"/>
  <c r="D75" i="14" a="1"/>
  <c r="D75" i="14" s="1"/>
  <c r="D95" i="14" s="1"/>
  <c r="O45" i="14" a="1"/>
  <c r="O45" i="14" s="1"/>
  <c r="O64" i="14" s="1"/>
  <c r="N45" i="14" a="1"/>
  <c r="N45" i="14" s="1"/>
  <c r="N64" i="14" s="1"/>
  <c r="M45" i="14" a="1"/>
  <c r="M45" i="14" s="1"/>
  <c r="M64" i="14" s="1"/>
  <c r="L45" i="14" a="1"/>
  <c r="L45" i="14" s="1"/>
  <c r="L64" i="14" s="1"/>
  <c r="K45" i="14" a="1"/>
  <c r="K45" i="14" s="1"/>
  <c r="K64" i="14" s="1"/>
  <c r="J45" i="14" a="1"/>
  <c r="J45" i="14" s="1"/>
  <c r="J64" i="14" s="1"/>
  <c r="H45" i="14" a="1"/>
  <c r="H45" i="14" s="1"/>
  <c r="H64" i="14" s="1"/>
  <c r="G45" i="14" a="1"/>
  <c r="G45" i="14" s="1"/>
  <c r="G64" i="14" s="1"/>
  <c r="F45" i="14" a="1"/>
  <c r="F45" i="14" s="1"/>
  <c r="F64" i="14" s="1"/>
  <c r="E45" i="14" a="1"/>
  <c r="E45" i="14" s="1"/>
  <c r="E64" i="14" s="1"/>
  <c r="D45" i="14" a="1"/>
  <c r="D45" i="14" s="1"/>
  <c r="D64" i="14" s="1"/>
  <c r="C45" i="14" a="1"/>
  <c r="C45" i="14" s="1"/>
  <c r="C64" i="14" s="1"/>
  <c r="H20" i="13"/>
  <c r="H20" i="12"/>
  <c r="H20" i="11"/>
  <c r="H20" i="10"/>
  <c r="H20" i="9"/>
  <c r="H20" i="8"/>
  <c r="H20" i="7"/>
  <c r="H20" i="6"/>
  <c r="H20" i="5"/>
  <c r="H20" i="4"/>
  <c r="H20" i="3"/>
  <c r="H20" i="2"/>
  <c r="I20" i="2" s="1"/>
  <c r="H19" i="13"/>
  <c r="I19" i="13" s="1"/>
  <c r="H18" i="13"/>
  <c r="I18" i="13" s="1"/>
  <c r="H17" i="13"/>
  <c r="I17" i="13" s="1"/>
  <c r="H16" i="13"/>
  <c r="I16" i="13" s="1"/>
  <c r="H15" i="13"/>
  <c r="H13" i="13"/>
  <c r="H12" i="13"/>
  <c r="H19" i="12"/>
  <c r="H18" i="12"/>
  <c r="I18" i="12" s="1"/>
  <c r="H18" i="11"/>
  <c r="H19" i="11"/>
  <c r="H19" i="10"/>
  <c r="I19" i="10" s="1"/>
  <c r="H18" i="10"/>
  <c r="H17" i="10"/>
  <c r="I17" i="10" s="1"/>
  <c r="H16" i="10"/>
  <c r="H18" i="9"/>
  <c r="H19" i="9"/>
  <c r="H19" i="8"/>
  <c r="H18" i="8"/>
  <c r="H18" i="7"/>
  <c r="H11" i="7"/>
  <c r="H19" i="6"/>
  <c r="H18" i="6"/>
  <c r="H17" i="6"/>
  <c r="H16" i="6"/>
  <c r="H15" i="6"/>
  <c r="H13" i="6"/>
  <c r="H12" i="6"/>
  <c r="H11" i="6"/>
  <c r="H10" i="6"/>
  <c r="H19" i="5"/>
  <c r="H18" i="5"/>
  <c r="H17" i="5"/>
  <c r="H16" i="5"/>
  <c r="H15" i="5"/>
  <c r="H13" i="5"/>
  <c r="H12" i="5"/>
  <c r="H11" i="5"/>
  <c r="H19" i="4"/>
  <c r="H18" i="4"/>
  <c r="H17" i="4"/>
  <c r="H16" i="4"/>
  <c r="H15" i="4"/>
  <c r="H13" i="4"/>
  <c r="H12" i="4"/>
  <c r="H10" i="4"/>
  <c r="H11" i="4"/>
  <c r="H19" i="3"/>
  <c r="H18" i="3"/>
  <c r="H19" i="2"/>
  <c r="H18" i="2"/>
  <c r="I18" i="2" s="1"/>
  <c r="H17" i="2"/>
  <c r="I17" i="2" s="1"/>
  <c r="H16" i="2"/>
  <c r="I16" i="2" s="1"/>
  <c r="H15" i="2"/>
  <c r="I15" i="2" s="1"/>
  <c r="H13" i="2"/>
  <c r="I13" i="2" s="1"/>
  <c r="H12" i="2"/>
  <c r="I12" i="2" s="1"/>
  <c r="H17" i="12"/>
  <c r="I17" i="12" s="1"/>
  <c r="H17" i="11"/>
  <c r="H17" i="9"/>
  <c r="H17" i="8"/>
  <c r="H17" i="7"/>
  <c r="H17" i="3"/>
  <c r="H16" i="11"/>
  <c r="H16" i="9"/>
  <c r="H16" i="8"/>
  <c r="H16" i="7"/>
  <c r="H16" i="3"/>
  <c r="H15" i="11"/>
  <c r="H15" i="10"/>
  <c r="H15" i="9"/>
  <c r="H15" i="8"/>
  <c r="H15" i="7"/>
  <c r="H15" i="3"/>
  <c r="H13" i="12"/>
  <c r="I13" i="12" s="1"/>
  <c r="H13" i="11"/>
  <c r="H13" i="10"/>
  <c r="I13" i="10" s="1"/>
  <c r="H13" i="9"/>
  <c r="H13" i="8"/>
  <c r="H13" i="7"/>
  <c r="H6" i="4"/>
  <c r="H13" i="3"/>
  <c r="H12" i="12"/>
  <c r="H12" i="11"/>
  <c r="H12" i="10"/>
  <c r="I12" i="10" s="1"/>
  <c r="H12" i="9"/>
  <c r="H12" i="8"/>
  <c r="H12" i="7"/>
  <c r="I12" i="4"/>
  <c r="H12" i="3"/>
  <c r="H11" i="13"/>
  <c r="I11" i="13" s="1"/>
  <c r="H11" i="12"/>
  <c r="H11" i="11"/>
  <c r="H11" i="10"/>
  <c r="H11" i="9"/>
  <c r="H11" i="8"/>
  <c r="H11" i="3"/>
  <c r="H11" i="2"/>
  <c r="H10" i="13"/>
  <c r="I10" i="13" s="1"/>
  <c r="H9" i="13"/>
  <c r="I9" i="13" s="1"/>
  <c r="H8" i="13"/>
  <c r="I8" i="13" s="1"/>
  <c r="H10" i="12"/>
  <c r="I10" i="12" s="1"/>
  <c r="H9" i="12"/>
  <c r="H8" i="12"/>
  <c r="H10" i="11"/>
  <c r="I10" i="11" s="1"/>
  <c r="H9" i="11"/>
  <c r="I9" i="11" s="1"/>
  <c r="H8" i="11"/>
  <c r="H10" i="10"/>
  <c r="H9" i="10"/>
  <c r="I9" i="10" s="1"/>
  <c r="H8" i="10"/>
  <c r="H10" i="9"/>
  <c r="H9" i="9"/>
  <c r="H8" i="9"/>
  <c r="H10" i="8"/>
  <c r="H9" i="8"/>
  <c r="H8" i="8"/>
  <c r="H10" i="7"/>
  <c r="H9" i="7"/>
  <c r="H8" i="7"/>
  <c r="H9" i="6"/>
  <c r="H8" i="6"/>
  <c r="H10" i="5"/>
  <c r="H9" i="5"/>
  <c r="H8" i="5"/>
  <c r="H9" i="4"/>
  <c r="H8" i="4"/>
  <c r="H9" i="3"/>
  <c r="H10" i="3"/>
  <c r="H8" i="3"/>
  <c r="H10" i="2"/>
  <c r="I10" i="2" s="1"/>
  <c r="H9" i="2"/>
  <c r="I9" i="2" s="1"/>
  <c r="H8" i="2"/>
  <c r="I8" i="2" s="1"/>
  <c r="H6" i="13"/>
  <c r="I6" i="13" s="1"/>
  <c r="H6" i="12"/>
  <c r="H6" i="11"/>
  <c r="H6" i="10"/>
  <c r="H6" i="9"/>
  <c r="H6" i="8"/>
  <c r="H6" i="7"/>
  <c r="H3" i="14" s="1" a="1"/>
  <c r="H3" i="14" s="1"/>
  <c r="H32" i="14" s="1"/>
  <c r="H6" i="6"/>
  <c r="H6" i="5"/>
  <c r="H6" i="3"/>
  <c r="H6" i="2"/>
  <c r="H5" i="13"/>
  <c r="H5" i="12"/>
  <c r="N3" i="14" s="1" a="1"/>
  <c r="H5" i="11"/>
  <c r="M3" i="14" s="1" a="1"/>
  <c r="H5" i="10"/>
  <c r="L3" i="14" s="1" a="1"/>
  <c r="H5" i="9"/>
  <c r="K3" i="14" s="1" a="1"/>
  <c r="H5" i="8"/>
  <c r="J3" i="14" s="1" a="1"/>
  <c r="H5" i="6"/>
  <c r="G3" i="14" s="1" a="1"/>
  <c r="H5" i="5"/>
  <c r="F3" i="14" s="1" a="1"/>
  <c r="H5" i="4"/>
  <c r="E3" i="14" s="1" a="1"/>
  <c r="H5" i="3"/>
  <c r="D3" i="14" s="1" a="1"/>
  <c r="H5" i="2"/>
  <c r="F7" i="2"/>
  <c r="F7" i="13"/>
  <c r="F7" i="12"/>
  <c r="F7" i="11"/>
  <c r="F7" i="10"/>
  <c r="F7" i="9"/>
  <c r="F7" i="8"/>
  <c r="F7" i="7"/>
  <c r="F7" i="6"/>
  <c r="F7" i="5"/>
  <c r="F7" i="4"/>
  <c r="F7" i="3"/>
  <c r="F25" i="13"/>
  <c r="F24" i="13"/>
  <c r="F23" i="13"/>
  <c r="I22" i="13"/>
  <c r="F22" i="13"/>
  <c r="I21" i="13"/>
  <c r="F21" i="13"/>
  <c r="I20" i="13"/>
  <c r="F20" i="13"/>
  <c r="F19" i="13"/>
  <c r="F18" i="13"/>
  <c r="F17" i="13"/>
  <c r="F16" i="13"/>
  <c r="I15" i="13"/>
  <c r="F15" i="13"/>
  <c r="I14" i="13"/>
  <c r="F14" i="13"/>
  <c r="I13" i="13"/>
  <c r="F13" i="13"/>
  <c r="I12" i="13"/>
  <c r="F12" i="13"/>
  <c r="F11" i="13"/>
  <c r="F10" i="13"/>
  <c r="F9" i="13"/>
  <c r="F8" i="13"/>
  <c r="I7" i="13"/>
  <c r="F6" i="13"/>
  <c r="I5" i="13"/>
  <c r="F5" i="13"/>
  <c r="I4" i="13"/>
  <c r="F4" i="13"/>
  <c r="I28" i="12"/>
  <c r="F25" i="12"/>
  <c r="F24" i="12"/>
  <c r="F23" i="12"/>
  <c r="I22" i="12"/>
  <c r="F22" i="12"/>
  <c r="I21" i="12"/>
  <c r="F21" i="12"/>
  <c r="I20" i="12"/>
  <c r="F20" i="12"/>
  <c r="I19" i="12"/>
  <c r="F19" i="12"/>
  <c r="F18" i="12"/>
  <c r="F17" i="12"/>
  <c r="I16" i="12"/>
  <c r="F16" i="12"/>
  <c r="I15" i="12"/>
  <c r="F15" i="12"/>
  <c r="I14" i="12"/>
  <c r="F14" i="12"/>
  <c r="F13" i="12"/>
  <c r="I12" i="12"/>
  <c r="F12" i="12"/>
  <c r="I11" i="12"/>
  <c r="F11" i="12"/>
  <c r="F10" i="12"/>
  <c r="I9" i="12"/>
  <c r="F9" i="12"/>
  <c r="I8" i="12"/>
  <c r="F8" i="12"/>
  <c r="I7" i="12"/>
  <c r="I6" i="12"/>
  <c r="F6" i="12"/>
  <c r="I5" i="12"/>
  <c r="F5" i="12"/>
  <c r="I4" i="12"/>
  <c r="F4" i="12"/>
  <c r="I28" i="11"/>
  <c r="F25" i="11"/>
  <c r="F24" i="11"/>
  <c r="F23" i="11"/>
  <c r="I22" i="11"/>
  <c r="F22" i="11"/>
  <c r="I21" i="11"/>
  <c r="F21" i="11"/>
  <c r="I20" i="11"/>
  <c r="F20" i="11"/>
  <c r="I19" i="11"/>
  <c r="F19" i="11"/>
  <c r="I18" i="11"/>
  <c r="F18" i="11"/>
  <c r="I17" i="11"/>
  <c r="F17" i="11"/>
  <c r="I16" i="11"/>
  <c r="F16" i="11"/>
  <c r="I15" i="11"/>
  <c r="F15" i="11"/>
  <c r="I14" i="11"/>
  <c r="F14" i="11"/>
  <c r="I13" i="11"/>
  <c r="F13" i="11"/>
  <c r="I12" i="11"/>
  <c r="F12" i="11"/>
  <c r="I11" i="11"/>
  <c r="F11" i="11"/>
  <c r="F10" i="11"/>
  <c r="F9" i="11"/>
  <c r="I8" i="11"/>
  <c r="F8" i="11"/>
  <c r="I7" i="11"/>
  <c r="I6" i="11"/>
  <c r="F6" i="11"/>
  <c r="F5" i="11"/>
  <c r="I4" i="11"/>
  <c r="F4" i="11"/>
  <c r="F25" i="10"/>
  <c r="F24" i="10"/>
  <c r="F23" i="10"/>
  <c r="I22" i="10"/>
  <c r="F22" i="10"/>
  <c r="I21" i="10"/>
  <c r="F21" i="10"/>
  <c r="I20" i="10"/>
  <c r="F20" i="10"/>
  <c r="F19" i="10"/>
  <c r="I18" i="10"/>
  <c r="F18" i="10"/>
  <c r="F17" i="10"/>
  <c r="I16" i="10"/>
  <c r="F16" i="10"/>
  <c r="I15" i="10"/>
  <c r="F15" i="10"/>
  <c r="I14" i="10"/>
  <c r="F14" i="10"/>
  <c r="F13" i="10"/>
  <c r="F12" i="10"/>
  <c r="I11" i="10"/>
  <c r="F11" i="10"/>
  <c r="I10" i="10"/>
  <c r="F10" i="10"/>
  <c r="F9" i="10"/>
  <c r="I8" i="10"/>
  <c r="F8" i="10"/>
  <c r="I7" i="10"/>
  <c r="I6" i="10"/>
  <c r="F6" i="10"/>
  <c r="I5" i="10"/>
  <c r="F5" i="10"/>
  <c r="I4" i="10"/>
  <c r="F4" i="10"/>
  <c r="I28" i="9"/>
  <c r="F25" i="9"/>
  <c r="F24" i="9"/>
  <c r="F23" i="9"/>
  <c r="I22" i="9"/>
  <c r="F22" i="9"/>
  <c r="I21" i="9"/>
  <c r="F21" i="9"/>
  <c r="I20" i="9"/>
  <c r="F20" i="9"/>
  <c r="I19" i="9"/>
  <c r="F19" i="9"/>
  <c r="I18" i="9"/>
  <c r="F18" i="9"/>
  <c r="I17" i="9"/>
  <c r="F17" i="9"/>
  <c r="I16" i="9"/>
  <c r="F16" i="9"/>
  <c r="I15" i="9"/>
  <c r="F15" i="9"/>
  <c r="I14" i="9"/>
  <c r="F14" i="9"/>
  <c r="I13" i="9"/>
  <c r="F13" i="9"/>
  <c r="I12" i="9"/>
  <c r="F12" i="9"/>
  <c r="I11" i="9"/>
  <c r="F11" i="9"/>
  <c r="I10" i="9"/>
  <c r="F10" i="9"/>
  <c r="I9" i="9"/>
  <c r="F9" i="9"/>
  <c r="I8" i="9"/>
  <c r="F8" i="9"/>
  <c r="I7" i="9"/>
  <c r="I6" i="9"/>
  <c r="F6" i="9"/>
  <c r="I5" i="9"/>
  <c r="F5" i="9"/>
  <c r="I4" i="9"/>
  <c r="F4" i="9"/>
  <c r="I28" i="8"/>
  <c r="F25" i="8"/>
  <c r="F24" i="8"/>
  <c r="F23" i="8"/>
  <c r="I22" i="8"/>
  <c r="F22" i="8"/>
  <c r="I21" i="8"/>
  <c r="F21" i="8"/>
  <c r="I20" i="8"/>
  <c r="F20" i="8"/>
  <c r="I19" i="8"/>
  <c r="F19" i="8"/>
  <c r="I18" i="8"/>
  <c r="F18" i="8"/>
  <c r="I17" i="8"/>
  <c r="F17" i="8"/>
  <c r="I16" i="8"/>
  <c r="F16" i="8"/>
  <c r="I15" i="8"/>
  <c r="F15" i="8"/>
  <c r="I14" i="8"/>
  <c r="F14" i="8"/>
  <c r="I13" i="8"/>
  <c r="F13" i="8"/>
  <c r="I12" i="8"/>
  <c r="F12" i="8"/>
  <c r="I11" i="8"/>
  <c r="F11" i="8"/>
  <c r="I10" i="8"/>
  <c r="F10" i="8"/>
  <c r="I9" i="8"/>
  <c r="F9" i="8"/>
  <c r="I8" i="8"/>
  <c r="F8" i="8"/>
  <c r="I7" i="8"/>
  <c r="I6" i="8"/>
  <c r="F6" i="8"/>
  <c r="I5" i="8"/>
  <c r="F5" i="8"/>
  <c r="I4" i="8"/>
  <c r="F4" i="8"/>
  <c r="I28" i="7"/>
  <c r="F28" i="7"/>
  <c r="F27" i="7"/>
  <c r="F26" i="7"/>
  <c r="F25" i="7"/>
  <c r="F24" i="7"/>
  <c r="F23" i="7"/>
  <c r="I22" i="7"/>
  <c r="F22" i="7"/>
  <c r="I21" i="7"/>
  <c r="F21" i="7"/>
  <c r="I20" i="7"/>
  <c r="F20" i="7"/>
  <c r="I19" i="7"/>
  <c r="F19" i="7"/>
  <c r="I18" i="7"/>
  <c r="F18" i="7"/>
  <c r="I17" i="7"/>
  <c r="F17" i="7"/>
  <c r="I16" i="7"/>
  <c r="F16" i="7"/>
  <c r="I15" i="7"/>
  <c r="F15" i="7"/>
  <c r="I14" i="7"/>
  <c r="F14" i="7"/>
  <c r="I13" i="7"/>
  <c r="F13" i="7"/>
  <c r="I12" i="7"/>
  <c r="F12" i="7"/>
  <c r="I11" i="7"/>
  <c r="F11" i="7"/>
  <c r="I10" i="7"/>
  <c r="F10" i="7"/>
  <c r="I9" i="7"/>
  <c r="F9" i="7"/>
  <c r="I8" i="7"/>
  <c r="F8" i="7"/>
  <c r="I7" i="7"/>
  <c r="I6" i="7"/>
  <c r="F6" i="7"/>
  <c r="I5" i="7"/>
  <c r="F5" i="7"/>
  <c r="I4" i="7"/>
  <c r="F4" i="7"/>
  <c r="I28" i="6"/>
  <c r="F28" i="6"/>
  <c r="F27" i="6"/>
  <c r="F26" i="6"/>
  <c r="F25" i="6"/>
  <c r="F24" i="6"/>
  <c r="F23" i="6"/>
  <c r="I22" i="6"/>
  <c r="F22" i="6"/>
  <c r="I21" i="6"/>
  <c r="F21" i="6"/>
  <c r="I20" i="6"/>
  <c r="F20" i="6"/>
  <c r="I19" i="6"/>
  <c r="F19" i="6"/>
  <c r="I18" i="6"/>
  <c r="F18" i="6"/>
  <c r="I17" i="6"/>
  <c r="F17" i="6"/>
  <c r="I16" i="6"/>
  <c r="F16" i="6"/>
  <c r="I15" i="6"/>
  <c r="F15" i="6"/>
  <c r="I14" i="6"/>
  <c r="F14" i="6"/>
  <c r="I13" i="6"/>
  <c r="F13" i="6"/>
  <c r="I12" i="6"/>
  <c r="F12" i="6"/>
  <c r="I11" i="6"/>
  <c r="F11" i="6"/>
  <c r="I10" i="6"/>
  <c r="F10" i="6"/>
  <c r="I9" i="6"/>
  <c r="F9" i="6"/>
  <c r="I8" i="6"/>
  <c r="F8" i="6"/>
  <c r="I7" i="6"/>
  <c r="I6" i="6"/>
  <c r="F6" i="6"/>
  <c r="I5" i="6"/>
  <c r="F5" i="6"/>
  <c r="I4" i="6"/>
  <c r="F4" i="6"/>
  <c r="I28" i="5"/>
  <c r="F28" i="5"/>
  <c r="F27" i="5"/>
  <c r="F26" i="5"/>
  <c r="F25" i="5"/>
  <c r="F24" i="5"/>
  <c r="F23" i="5"/>
  <c r="I22" i="5"/>
  <c r="F22" i="5"/>
  <c r="I21" i="5"/>
  <c r="F21" i="5"/>
  <c r="I20" i="5"/>
  <c r="F20" i="5"/>
  <c r="I19" i="5"/>
  <c r="F19" i="5"/>
  <c r="I18" i="5"/>
  <c r="F18" i="5"/>
  <c r="I17" i="5"/>
  <c r="F17" i="5"/>
  <c r="I16" i="5"/>
  <c r="F16" i="5"/>
  <c r="I15" i="5"/>
  <c r="F15" i="5"/>
  <c r="I14" i="5"/>
  <c r="F14" i="5"/>
  <c r="I13" i="5"/>
  <c r="F13" i="5"/>
  <c r="I12" i="5"/>
  <c r="F12" i="5"/>
  <c r="I11" i="5"/>
  <c r="F11" i="5"/>
  <c r="I10" i="5"/>
  <c r="F10" i="5"/>
  <c r="I9" i="5"/>
  <c r="F9" i="5"/>
  <c r="I8" i="5"/>
  <c r="F8" i="5"/>
  <c r="I7" i="5"/>
  <c r="I6" i="5"/>
  <c r="F6" i="5"/>
  <c r="I5" i="5"/>
  <c r="F5" i="5"/>
  <c r="I4" i="5"/>
  <c r="F4" i="5"/>
  <c r="I28" i="4"/>
  <c r="F28" i="4"/>
  <c r="F27" i="4"/>
  <c r="F26" i="4"/>
  <c r="F25" i="4"/>
  <c r="F24" i="4"/>
  <c r="F23" i="4"/>
  <c r="I22" i="4"/>
  <c r="F22" i="4"/>
  <c r="I21" i="4"/>
  <c r="F21" i="4"/>
  <c r="I20" i="4"/>
  <c r="F20" i="4"/>
  <c r="I19" i="4"/>
  <c r="F19" i="4"/>
  <c r="I18" i="4"/>
  <c r="F18" i="4"/>
  <c r="I17" i="4"/>
  <c r="F17" i="4"/>
  <c r="I16" i="4"/>
  <c r="F16" i="4"/>
  <c r="I15" i="4"/>
  <c r="F15" i="4"/>
  <c r="I14" i="4"/>
  <c r="F14" i="4"/>
  <c r="I13" i="4"/>
  <c r="F13" i="4"/>
  <c r="F12" i="4"/>
  <c r="I11" i="4"/>
  <c r="F11" i="4"/>
  <c r="I10" i="4"/>
  <c r="F10" i="4"/>
  <c r="I9" i="4"/>
  <c r="F9" i="4"/>
  <c r="I8" i="4"/>
  <c r="F8" i="4"/>
  <c r="I7" i="4"/>
  <c r="I6" i="4"/>
  <c r="F6" i="4"/>
  <c r="I5" i="4"/>
  <c r="F5" i="4"/>
  <c r="I4" i="4"/>
  <c r="F4" i="4"/>
  <c r="F28" i="3"/>
  <c r="F27" i="3"/>
  <c r="F26" i="3"/>
  <c r="F25" i="3"/>
  <c r="F24" i="3"/>
  <c r="F23" i="3"/>
  <c r="I22" i="3"/>
  <c r="F22" i="3"/>
  <c r="I21" i="3"/>
  <c r="F21" i="3"/>
  <c r="I20" i="3"/>
  <c r="F20" i="3"/>
  <c r="I19" i="3"/>
  <c r="F19" i="3"/>
  <c r="I18" i="3"/>
  <c r="F18" i="3"/>
  <c r="I17" i="3"/>
  <c r="F17" i="3"/>
  <c r="I16" i="3"/>
  <c r="F16" i="3"/>
  <c r="I15" i="3"/>
  <c r="F15" i="3"/>
  <c r="I14" i="3"/>
  <c r="F14" i="3"/>
  <c r="I13" i="3"/>
  <c r="F13" i="3"/>
  <c r="I12" i="3"/>
  <c r="F12" i="3"/>
  <c r="I11" i="3"/>
  <c r="F11" i="3"/>
  <c r="I10" i="3"/>
  <c r="F10" i="3"/>
  <c r="I9" i="3"/>
  <c r="F9" i="3"/>
  <c r="I8" i="3"/>
  <c r="F8" i="3"/>
  <c r="I7" i="3"/>
  <c r="I6" i="3"/>
  <c r="F6" i="3"/>
  <c r="I5" i="3"/>
  <c r="F5" i="3"/>
  <c r="I4" i="3"/>
  <c r="F4" i="3"/>
  <c r="I6" i="2"/>
  <c r="I7" i="2"/>
  <c r="I11" i="2"/>
  <c r="I14" i="2"/>
  <c r="I19" i="2"/>
  <c r="I21" i="2"/>
  <c r="I22" i="2"/>
  <c r="I5" i="2"/>
  <c r="I4" i="2"/>
  <c r="F28" i="2"/>
  <c r="F27" i="2"/>
  <c r="F26" i="2"/>
  <c r="F25" i="2"/>
  <c r="F24" i="2"/>
  <c r="F23" i="2"/>
  <c r="F22" i="2"/>
  <c r="F21" i="2"/>
  <c r="F20" i="2"/>
  <c r="F19" i="2"/>
  <c r="F18" i="2"/>
  <c r="F17" i="2"/>
  <c r="F16" i="2"/>
  <c r="F15" i="2"/>
  <c r="F14" i="2"/>
  <c r="F13" i="2"/>
  <c r="F12" i="2"/>
  <c r="F11" i="2"/>
  <c r="F10" i="2"/>
  <c r="F9" i="2"/>
  <c r="F8" i="2"/>
  <c r="F5" i="2"/>
  <c r="F6" i="2"/>
  <c r="F4" i="2"/>
  <c r="D3" i="14" l="1"/>
  <c r="D32" i="14" s="1"/>
  <c r="AJ12" i="14"/>
  <c r="E3" i="14"/>
  <c r="E32" i="14" s="1"/>
  <c r="AK7" i="14"/>
  <c r="AK15" i="14"/>
  <c r="AK6" i="14"/>
  <c r="F3" i="14"/>
  <c r="AL10" i="14"/>
  <c r="AL18" i="14"/>
  <c r="G3" i="14"/>
  <c r="G32" i="14" s="1"/>
  <c r="AM13" i="14"/>
  <c r="AM4" i="14"/>
  <c r="J3" i="14"/>
  <c r="AP3" i="14" s="1"/>
  <c r="AP9" i="14"/>
  <c r="AP17" i="14"/>
  <c r="K3" i="14"/>
  <c r="K32" i="14" s="1"/>
  <c r="AQ10" i="14"/>
  <c r="AQ18" i="14"/>
  <c r="L3" i="14"/>
  <c r="L32" i="14" s="1"/>
  <c r="AR11" i="14"/>
  <c r="AR19" i="14"/>
  <c r="M3" i="14"/>
  <c r="M32" i="14" s="1"/>
  <c r="M34" i="14"/>
  <c r="AS12" i="14"/>
  <c r="I5" i="11"/>
  <c r="N3" i="14"/>
  <c r="N32" i="14" s="1"/>
  <c r="AT13" i="14"/>
  <c r="AT6" i="14"/>
  <c r="O3" i="14" a="1"/>
  <c r="AU5" i="14" s="1"/>
  <c r="C3" i="14" a="1"/>
  <c r="C3" i="14" s="1"/>
  <c r="U64" i="14"/>
  <c r="T64" i="14"/>
  <c r="AN8" i="14"/>
  <c r="N33" i="14"/>
  <c r="L34" i="14"/>
  <c r="AK3" i="14"/>
  <c r="AL4" i="14"/>
  <c r="AJ6" i="14"/>
  <c r="AK18" i="14"/>
  <c r="AM16" i="14"/>
  <c r="AJ15" i="14"/>
  <c r="AL13" i="14"/>
  <c r="AK10" i="14"/>
  <c r="AM8" i="14"/>
  <c r="AJ7" i="14"/>
  <c r="AT4" i="14"/>
  <c r="AS6" i="14"/>
  <c r="AQ19" i="14"/>
  <c r="AP18" i="14"/>
  <c r="AN17" i="14"/>
  <c r="AU15" i="14"/>
  <c r="AT14" i="14"/>
  <c r="AS13" i="14"/>
  <c r="AR12" i="14"/>
  <c r="AQ11" i="14"/>
  <c r="AP10" i="14"/>
  <c r="AN9" i="14"/>
  <c r="AU7" i="14"/>
  <c r="M33" i="14"/>
  <c r="K34" i="14"/>
  <c r="AJ3" i="14"/>
  <c r="AK4" i="14"/>
  <c r="AM19" i="14"/>
  <c r="AJ18" i="14"/>
  <c r="AL16" i="14"/>
  <c r="AK13" i="14"/>
  <c r="AM11" i="14"/>
  <c r="AJ10" i="14"/>
  <c r="AL8" i="14"/>
  <c r="AT5" i="14"/>
  <c r="AS4" i="14"/>
  <c r="AR6" i="14"/>
  <c r="AP19" i="14"/>
  <c r="AN18" i="14"/>
  <c r="AU16" i="14"/>
  <c r="AT15" i="14"/>
  <c r="AS14" i="14"/>
  <c r="AR13" i="14"/>
  <c r="AQ12" i="14"/>
  <c r="AP11" i="14"/>
  <c r="AN10" i="14"/>
  <c r="AU8" i="14"/>
  <c r="AT7" i="14"/>
  <c r="L33" i="14"/>
  <c r="S19" i="14"/>
  <c r="AM5" i="14"/>
  <c r="AJ4" i="14"/>
  <c r="AL19" i="14"/>
  <c r="AI18" i="14"/>
  <c r="AK16" i="14"/>
  <c r="AM14" i="14"/>
  <c r="AJ13" i="14"/>
  <c r="AL11" i="14"/>
  <c r="AI10" i="14"/>
  <c r="AK8" i="14"/>
  <c r="AS5" i="14"/>
  <c r="AR4" i="14"/>
  <c r="AQ6" i="14"/>
  <c r="AN19" i="14"/>
  <c r="AT16" i="14"/>
  <c r="AS15" i="14"/>
  <c r="AR14" i="14"/>
  <c r="AQ13" i="14"/>
  <c r="AP12" i="14"/>
  <c r="AN11" i="14"/>
  <c r="AU9" i="14"/>
  <c r="AT8" i="14"/>
  <c r="AS7" i="14"/>
  <c r="AN16" i="14"/>
  <c r="K33" i="14"/>
  <c r="S18" i="14"/>
  <c r="AL5" i="14"/>
  <c r="AK19" i="14"/>
  <c r="AM17" i="14"/>
  <c r="AJ16" i="14"/>
  <c r="AL14" i="14"/>
  <c r="AI13" i="14"/>
  <c r="AK11" i="14"/>
  <c r="AM9" i="14"/>
  <c r="AJ8" i="14"/>
  <c r="AT3" i="14"/>
  <c r="AT32" i="14" s="1"/>
  <c r="AR5" i="14"/>
  <c r="AQ4" i="14"/>
  <c r="AP6" i="14"/>
  <c r="AU18" i="14"/>
  <c r="AT17" i="14"/>
  <c r="AS16" i="14"/>
  <c r="AR15" i="14"/>
  <c r="AQ14" i="14"/>
  <c r="AP13" i="14"/>
  <c r="AN12" i="14"/>
  <c r="AU10" i="14"/>
  <c r="AT9" i="14"/>
  <c r="AS8" i="14"/>
  <c r="AR7" i="14"/>
  <c r="J34" i="14"/>
  <c r="S17" i="14"/>
  <c r="C34" i="14"/>
  <c r="AI6" i="14"/>
  <c r="AK5" i="14"/>
  <c r="AN6" i="14"/>
  <c r="AJ19" i="14"/>
  <c r="AL17" i="14"/>
  <c r="AK14" i="14"/>
  <c r="AM12" i="14"/>
  <c r="AJ11" i="14"/>
  <c r="AL9" i="14"/>
  <c r="AI8" i="14"/>
  <c r="AQ5" i="14"/>
  <c r="AP4" i="14"/>
  <c r="AU19" i="14"/>
  <c r="AT18" i="14"/>
  <c r="AS17" i="14"/>
  <c r="AR16" i="14"/>
  <c r="AQ15" i="14"/>
  <c r="AP14" i="14"/>
  <c r="AN13" i="14"/>
  <c r="AU11" i="14"/>
  <c r="AT10" i="14"/>
  <c r="AS9" i="14"/>
  <c r="AR8" i="14"/>
  <c r="AQ7" i="14"/>
  <c r="O34" i="14"/>
  <c r="S16" i="14"/>
  <c r="AN3" i="14"/>
  <c r="AJ5" i="14"/>
  <c r="AM6" i="14"/>
  <c r="AI19" i="14"/>
  <c r="AK17" i="14"/>
  <c r="AM15" i="14"/>
  <c r="AJ14" i="14"/>
  <c r="AL12" i="14"/>
  <c r="AI11" i="14"/>
  <c r="AX11" i="14" s="1"/>
  <c r="AK9" i="14"/>
  <c r="AM7" i="14"/>
  <c r="AR3" i="14"/>
  <c r="AP5" i="14"/>
  <c r="AN4" i="14"/>
  <c r="AT19" i="14"/>
  <c r="AS18" i="14"/>
  <c r="AR17" i="14"/>
  <c r="AQ16" i="14"/>
  <c r="AP15" i="14"/>
  <c r="AN14" i="14"/>
  <c r="AU12" i="14"/>
  <c r="AT11" i="14"/>
  <c r="AS10" i="14"/>
  <c r="AR9" i="14"/>
  <c r="AQ8" i="14"/>
  <c r="AP7" i="14"/>
  <c r="S14" i="14"/>
  <c r="J33" i="14"/>
  <c r="N34" i="14"/>
  <c r="S15" i="14"/>
  <c r="AM3" i="14"/>
  <c r="AM32" i="14" s="1"/>
  <c r="AI5" i="14"/>
  <c r="AL6" i="14"/>
  <c r="AM18" i="14"/>
  <c r="AJ17" i="14"/>
  <c r="AL15" i="14"/>
  <c r="AI14" i="14"/>
  <c r="AK12" i="14"/>
  <c r="AM10" i="14"/>
  <c r="AJ9" i="14"/>
  <c r="AL7" i="14"/>
  <c r="AQ3" i="14"/>
  <c r="AN5" i="14"/>
  <c r="AU6" i="14"/>
  <c r="AS19" i="14"/>
  <c r="AR18" i="14"/>
  <c r="AQ17" i="14"/>
  <c r="AP16" i="14"/>
  <c r="AN15" i="14"/>
  <c r="AU13" i="14"/>
  <c r="AT12" i="14"/>
  <c r="AS11" i="14"/>
  <c r="AR10" i="14"/>
  <c r="AQ9" i="14"/>
  <c r="AP8" i="14"/>
  <c r="AN7" i="14"/>
  <c r="C33" i="14"/>
  <c r="E34" i="14"/>
  <c r="S11" i="14"/>
  <c r="U19" i="14"/>
  <c r="U11" i="14"/>
  <c r="H33" i="14"/>
  <c r="D34" i="14"/>
  <c r="S10" i="14"/>
  <c r="U18" i="14"/>
  <c r="U10" i="14"/>
  <c r="G33" i="14"/>
  <c r="S9" i="14"/>
  <c r="U17" i="14"/>
  <c r="U9" i="14"/>
  <c r="F33" i="14"/>
  <c r="S8" i="14"/>
  <c r="U16" i="14"/>
  <c r="U8" i="14"/>
  <c r="E33" i="14"/>
  <c r="S7" i="14"/>
  <c r="U15" i="14"/>
  <c r="U7" i="14"/>
  <c r="D33" i="14"/>
  <c r="H34" i="14"/>
  <c r="S6" i="14"/>
  <c r="U14" i="14"/>
  <c r="U6" i="14"/>
  <c r="G34" i="14"/>
  <c r="S5" i="14"/>
  <c r="U13" i="14"/>
  <c r="U5" i="14"/>
  <c r="F34" i="14"/>
  <c r="S12" i="14"/>
  <c r="U12" i="14"/>
  <c r="U4" i="14"/>
  <c r="J32" i="14"/>
  <c r="AK33" i="14" l="1"/>
  <c r="F32" i="14"/>
  <c r="AL3" i="14"/>
  <c r="AL32" i="14" s="1"/>
  <c r="AM34" i="14"/>
  <c r="AN32" i="14"/>
  <c r="AZ15" i="14"/>
  <c r="AS3" i="14"/>
  <c r="AS32" i="14" s="1"/>
  <c r="AZ9" i="14"/>
  <c r="AT33" i="14"/>
  <c r="AT34" i="14"/>
  <c r="AZ12" i="14"/>
  <c r="AU17" i="14"/>
  <c r="AZ17" i="14" s="1"/>
  <c r="O3" i="14"/>
  <c r="AU14" i="14"/>
  <c r="AU33" i="14" s="1"/>
  <c r="O33" i="14"/>
  <c r="AU4" i="14"/>
  <c r="AZ4" i="14" s="1"/>
  <c r="AI7" i="14"/>
  <c r="S4" i="14"/>
  <c r="AI16" i="14"/>
  <c r="AI4" i="14"/>
  <c r="AI9" i="14"/>
  <c r="AI3" i="14"/>
  <c r="AI32" i="14" s="1"/>
  <c r="C32" i="14"/>
  <c r="S3" i="14"/>
  <c r="AI15" i="14"/>
  <c r="AI17" i="14"/>
  <c r="AX17" i="14" s="1"/>
  <c r="AI12" i="14"/>
  <c r="AX12" i="14" s="1"/>
  <c r="S13" i="14"/>
  <c r="X41" i="14" s="1"/>
  <c r="Z41" i="14"/>
  <c r="U34" i="14"/>
  <c r="AM33" i="14"/>
  <c r="AJ34" i="14"/>
  <c r="AS34" i="14"/>
  <c r="AQ32" i="14"/>
  <c r="AZ7" i="14"/>
  <c r="AX16" i="14"/>
  <c r="AX4" i="14"/>
  <c r="AQ34" i="14"/>
  <c r="AJ32" i="14"/>
  <c r="X43" i="14"/>
  <c r="X42" i="14"/>
  <c r="S33" i="14"/>
  <c r="X38" i="14"/>
  <c r="X39" i="14"/>
  <c r="Y33" i="14"/>
  <c r="Z33" i="14" s="1"/>
  <c r="X33" i="14"/>
  <c r="AL33" i="14"/>
  <c r="AN34" i="14"/>
  <c r="AS33" i="14"/>
  <c r="AZ16" i="14"/>
  <c r="AX5" i="14"/>
  <c r="AZ14" i="14"/>
  <c r="AQ33" i="14"/>
  <c r="AX18" i="14"/>
  <c r="AZ19" i="14"/>
  <c r="AK34" i="14"/>
  <c r="AJ33" i="14"/>
  <c r="AP32" i="14"/>
  <c r="S32" i="14"/>
  <c r="AZ8" i="14"/>
  <c r="AX8" i="14"/>
  <c r="AN33" i="14"/>
  <c r="AX13" i="14"/>
  <c r="AZ11" i="14"/>
  <c r="AR34" i="14"/>
  <c r="AX15" i="14"/>
  <c r="U33" i="14"/>
  <c r="AP34" i="14"/>
  <c r="AZ6" i="14"/>
  <c r="AK32" i="14"/>
  <c r="AX14" i="14"/>
  <c r="AZ5" i="14"/>
  <c r="AX6" i="14"/>
  <c r="AX10" i="14"/>
  <c r="AR33" i="14"/>
  <c r="AZ18" i="14"/>
  <c r="AU34" i="14"/>
  <c r="Z38" i="14"/>
  <c r="AR32" i="14"/>
  <c r="AX19" i="14"/>
  <c r="Y34" i="14"/>
  <c r="Z34" i="14" s="1"/>
  <c r="Z39" i="14"/>
  <c r="X34" i="14"/>
  <c r="AP33" i="14"/>
  <c r="AZ13" i="14"/>
  <c r="AX7" i="14"/>
  <c r="AZ10" i="14"/>
  <c r="AL34" i="14"/>
  <c r="AI33" i="14" l="1"/>
  <c r="BE38" i="14"/>
  <c r="BE41" i="14"/>
  <c r="Y32" i="14"/>
  <c r="Z32" i="14" s="1"/>
  <c r="O32" i="14"/>
  <c r="AU3" i="14"/>
  <c r="U3" i="14"/>
  <c r="U32" i="14" s="1"/>
  <c r="Z43" i="14"/>
  <c r="Z42" i="14"/>
  <c r="AX3" i="14"/>
  <c r="AX32" i="14"/>
  <c r="X32" i="14"/>
  <c r="AI34" i="14"/>
  <c r="BD34" i="14" s="1"/>
  <c r="BE34" i="14" s="1"/>
  <c r="AX9" i="14"/>
  <c r="BC43" i="14" s="1"/>
  <c r="S34" i="14"/>
  <c r="BE43" i="14"/>
  <c r="BE42" i="14"/>
  <c r="BD32" i="14"/>
  <c r="BE32" i="14" s="1"/>
  <c r="BC32" i="14"/>
  <c r="BD33" i="14"/>
  <c r="BE33" i="14" s="1"/>
  <c r="BC33" i="14"/>
  <c r="BC39" i="14"/>
  <c r="AZ34" i="14"/>
  <c r="AZ33" i="14"/>
  <c r="AX34" i="14"/>
  <c r="AZ3" i="14" l="1"/>
  <c r="AZ32" i="14" s="1"/>
  <c r="AU32" i="14"/>
  <c r="BC38" i="14"/>
  <c r="BE39" i="14"/>
  <c r="AX33" i="14"/>
  <c r="BC41" i="14"/>
  <c r="BC34" i="14"/>
  <c r="BC42" i="1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Hamid Taghipourbibalan</author>
  </authors>
  <commentList>
    <comment ref="A44" authorId="0" shapeId="0" xr:uid="{BD4DAECF-3FF7-4CB3-9943-C4FD0721F81D}">
      <text>
        <r>
          <rPr>
            <b/>
            <sz val="9"/>
            <color indexed="81"/>
            <rFont val="Tahoma"/>
            <charset val="1"/>
          </rPr>
          <t>Hamid Taghipourbibalan:</t>
        </r>
        <r>
          <rPr>
            <sz val="9"/>
            <color indexed="81"/>
            <rFont val="Tahoma"/>
            <charset val="1"/>
          </rPr>
          <t xml:space="preserve">
Order 12 Female Mice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tc={5DF2B59E-2042-4659-8F3F-0D8AFDBD8BBC}</author>
  </authors>
  <commentList>
    <comment ref="B25" authorId="0" shapeId="0" xr:uid="{5DF2B59E-2042-4659-8F3F-0D8AFDBD8BBC}">
      <text>
        <t xml:space="preserve">[Threaded comment]
Your version of Excel allows you to read this threaded comment; however, any edits to it will get removed if the file is opened in a newer version of Excel. Learn more: https://go.microsoft.com/fwlink/?linkid=870924
Comment:
    Unit FED006 JAM, disc failure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tc={0BB88F64-9F99-4184-8010-37550EF887D5}</author>
  </authors>
  <commentList>
    <comment ref="H18" authorId="0" shapeId="0" xr:uid="{0BB88F64-9F99-4184-8010-37550EF887D5}">
      <text>
        <t>[Threaded comment]
Your version of Excel allows you to read this threaded comment; however, any edits to it will get removed if the file is opened in a newer version of Excel. Learn more: https://go.microsoft.com/fwlink/?linkid=870924
Comment:
    Device reset!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tc={FFFA21F0-FC1E-4A39-9CEE-40827361F3D8}</author>
  </authors>
  <commentList>
    <comment ref="H15" authorId="0" shapeId="0" xr:uid="{FFFA21F0-FC1E-4A39-9CEE-40827361F3D8}">
      <text>
        <t xml:space="preserve">[Threaded comment]
Your version of Excel allows you to read this threaded comment; however, any edits to it will get removed if the file is opened in a newer version of Excel. Learn more: https://go.microsoft.com/fwlink/?linkid=870924
Comment:
    JAM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tc={419D62A2-207A-4F5A-950F-EDF067560A7E}</author>
  </authors>
  <commentList>
    <comment ref="H19" authorId="0" shapeId="0" xr:uid="{419D62A2-207A-4F5A-950F-EDF067560A7E}">
      <text>
        <t>[Threaded comment]
Your version of Excel allows you to read this threaded comment; however, any edits to it will get removed if the file is opened in a newer version of Excel. Learn more: https://go.microsoft.com/fwlink/?linkid=870924
Comment:
    JAM</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<sst xmlns="http://schemas.openxmlformats.org/spreadsheetml/2006/main" count="1543" uniqueCount="258">
  <si>
    <t>Date</t>
  </si>
  <si>
    <t>Day</t>
  </si>
  <si>
    <t>Event</t>
  </si>
  <si>
    <t>Note</t>
  </si>
  <si>
    <t>Monday</t>
  </si>
  <si>
    <t>Place Mice Order (12 Male)</t>
  </si>
  <si>
    <t>COURSE 8003</t>
  </si>
  <si>
    <t>Tuesday</t>
  </si>
  <si>
    <t>Wednesday</t>
  </si>
  <si>
    <t>Thursday</t>
  </si>
  <si>
    <t>Friday</t>
  </si>
  <si>
    <t>Saturday</t>
  </si>
  <si>
    <t>Sunday</t>
  </si>
  <si>
    <t>COURSE 8040</t>
  </si>
  <si>
    <t>The Mice Arrives</t>
  </si>
  <si>
    <t>Send email to ragnhild.osnes@uit.no for ear tagging, COURSE 8040</t>
  </si>
  <si>
    <t>FED Boards Arrive?</t>
  </si>
  <si>
    <t>Disinfect the stuff</t>
  </si>
  <si>
    <t>The Mice (cohort 1) are ready!</t>
  </si>
  <si>
    <t>FED Boards Arrive?!?</t>
  </si>
  <si>
    <t>Program the boards and test new FEDs</t>
  </si>
  <si>
    <t>Disinfect the stuff, move'em to the AKM</t>
  </si>
  <si>
    <t>Measure the weights/Prepare the diets</t>
  </si>
  <si>
    <t>Regular Chow + grain 20mg FF</t>
  </si>
  <si>
    <t>Day 0 Habituation to FEDs</t>
  </si>
  <si>
    <t>grain 20 mg FF</t>
  </si>
  <si>
    <t>Day 1</t>
  </si>
  <si>
    <t>Day 2</t>
  </si>
  <si>
    <t>5% &amp; 20 % 20 mg Casein FF</t>
  </si>
  <si>
    <t>Day 0 PR-NR FF and NR-PR FF Starts</t>
  </si>
  <si>
    <t>Day1 COURSE 8040</t>
  </si>
  <si>
    <t>Day2  COURSE 8040</t>
  </si>
  <si>
    <t>Day3 COURSE 8040</t>
  </si>
  <si>
    <t>Day4</t>
  </si>
  <si>
    <t>Day5</t>
  </si>
  <si>
    <t>Day6</t>
  </si>
  <si>
    <t>Switch Diet! Day 0</t>
  </si>
  <si>
    <t>Day1</t>
  </si>
  <si>
    <t xml:space="preserve">Day2 </t>
  </si>
  <si>
    <t xml:space="preserve">Day3 </t>
  </si>
  <si>
    <t xml:space="preserve">Day4 </t>
  </si>
  <si>
    <t xml:space="preserve">Day5  </t>
  </si>
  <si>
    <t>5%  Casein FR1 NR-PR and 20% Casein PR-NR</t>
  </si>
  <si>
    <t>Day 0   FF Over switch to FR1</t>
  </si>
  <si>
    <t>5% Casein FR1R NR-PR and 20% Casein FR1R PR-NR</t>
  </si>
  <si>
    <t>Day1  FR1R</t>
  </si>
  <si>
    <t>Choice for NR-PR Mice Close Economy 35% vs 5%</t>
  </si>
  <si>
    <t>Cage Change! NR-PR mice go into fresh cohice box, PR-NR mice goes to fresh standard cages with NR large pellets diet</t>
  </si>
  <si>
    <t>Choice for NR- PR Mice Close Economy 35% vs 5%</t>
  </si>
  <si>
    <t>Choice for PR-NR Mice 35% vs 5%</t>
  </si>
  <si>
    <t>NR-PR (Sacrifice?)</t>
  </si>
  <si>
    <t>PR-NR (Sacrifice?)</t>
  </si>
  <si>
    <t>Cohort 2 Arrives</t>
  </si>
  <si>
    <t>Cohort 2 ready!</t>
  </si>
  <si>
    <t>Day2</t>
  </si>
  <si>
    <t>Day3</t>
  </si>
  <si>
    <t>Mouse ID</t>
  </si>
  <si>
    <t>FEDXA01</t>
  </si>
  <si>
    <t>FED#</t>
  </si>
  <si>
    <t>BW gr</t>
  </si>
  <si>
    <t>Delta W %</t>
  </si>
  <si>
    <t># of Pellets</t>
  </si>
  <si>
    <t>W of Pellets Consumed gr</t>
  </si>
  <si>
    <t>Hoarding</t>
  </si>
  <si>
    <t>Regular Chow, Grain 20mg FF</t>
  </si>
  <si>
    <t>FED001</t>
  </si>
  <si>
    <t>Grain 20mg FF</t>
  </si>
  <si>
    <t>5% 20mg Casein FF</t>
  </si>
  <si>
    <t>20% 20mg Casein FF</t>
  </si>
  <si>
    <t>20% 20mg Casein FR1</t>
  </si>
  <si>
    <t>20% 20mg Casein FR1R</t>
  </si>
  <si>
    <t>NR large pellets</t>
  </si>
  <si>
    <t>Standard Cage</t>
  </si>
  <si>
    <t>5% &amp; 35% 20 mg Casein CE</t>
  </si>
  <si>
    <t>FED001/002</t>
  </si>
  <si>
    <t>FEDXA02</t>
  </si>
  <si>
    <t>FED002</t>
  </si>
  <si>
    <t>FED003/004</t>
  </si>
  <si>
    <t>FEDXA03</t>
  </si>
  <si>
    <t>FED003</t>
  </si>
  <si>
    <t>FED005/006</t>
  </si>
  <si>
    <t>Note: April 30, Hoarding 35 pellets, already deduced from the pellet numbers// May 01 Hoarding 10 pellets already deduced from the pellet number//</t>
  </si>
  <si>
    <t>FEDXA04</t>
  </si>
  <si>
    <t>FED004</t>
  </si>
  <si>
    <t>FED007/008</t>
  </si>
  <si>
    <t xml:space="preserve">Notes: May 1, Hoarding 25 pellets, already deduced from the pellet number// </t>
  </si>
  <si>
    <t>FEDXA05</t>
  </si>
  <si>
    <t>FED005</t>
  </si>
  <si>
    <t>FED009/10</t>
  </si>
  <si>
    <t>Note: April 30, Hoarding 25 pellets, already deduced from the pellet number// May 1, Hoarding 30 pellets, already deduced from the pellet numnbr</t>
  </si>
  <si>
    <t>FEDXA06</t>
  </si>
  <si>
    <t>FED006</t>
  </si>
  <si>
    <t>FED011/12</t>
  </si>
  <si>
    <t xml:space="preserve">Notes_ April 24,No pellets taken from the FED, only 3.3 gr  out of 10 gr of regular chow was consumed, so the remaining regular pellets were kept in the common dispenser. \\ April 25 1.1 gr chow consumed and in total -5.6 gr chow out of 10 gram removed from the common dispenser. // May 1 Hoarding 5 pellets, already deduced from pellet number/ April 8 The FED unit was restarted spontaneously and pellet count was reseted to 0 after I wrote down the number of the day//  </t>
  </si>
  <si>
    <t>FEDXA07</t>
  </si>
  <si>
    <t>FED007</t>
  </si>
  <si>
    <t>5% 20mg Casein FR1</t>
  </si>
  <si>
    <t>5% 20mg Casein FR1R</t>
  </si>
  <si>
    <t>FEDXA08</t>
  </si>
  <si>
    <t>FED008</t>
  </si>
  <si>
    <t>FEDXA09</t>
  </si>
  <si>
    <t>FED009</t>
  </si>
  <si>
    <t>FEDXA10</t>
  </si>
  <si>
    <t>FED010</t>
  </si>
  <si>
    <t>FEDXA11</t>
  </si>
  <si>
    <t>FED011</t>
  </si>
  <si>
    <t>FED009/010</t>
  </si>
  <si>
    <t>Notes _ April 24 Hoarding Behaviour , 15 Pellet in the bedding. , May 5: Jamming detected and fixed, device restarted. look for a new file on the SD card.</t>
  </si>
  <si>
    <t>FEDXA12</t>
  </si>
  <si>
    <t>FED012</t>
  </si>
  <si>
    <t>FED011/012</t>
  </si>
  <si>
    <t>PR-NR Pellets Taken</t>
  </si>
  <si>
    <t>NR-PR Pellets Taken</t>
  </si>
  <si>
    <t>Daily AV PR-NR</t>
  </si>
  <si>
    <t>Daily AV NR-PR</t>
  </si>
  <si>
    <t>AV Cal PR-NR</t>
  </si>
  <si>
    <t>AV Cal NR-PR</t>
  </si>
  <si>
    <t>DAY</t>
  </si>
  <si>
    <t>AV AV PR-NR</t>
  </si>
  <si>
    <t>AV AV NR-PR</t>
  </si>
  <si>
    <t>MEAN</t>
  </si>
  <si>
    <t>STD</t>
  </si>
  <si>
    <t>SEM</t>
  </si>
  <si>
    <t>COUNT</t>
  </si>
  <si>
    <t>GRAIN</t>
  </si>
  <si>
    <t>PR Phase</t>
  </si>
  <si>
    <t>NR Phase</t>
  </si>
  <si>
    <t>T.TEST PR/NR</t>
  </si>
  <si>
    <t>T.TEST NR/PR</t>
  </si>
  <si>
    <t>Daily Weight PR-NR</t>
  </si>
  <si>
    <t>Daily Weight NR-PR</t>
  </si>
  <si>
    <t>AV</t>
  </si>
  <si>
    <t>Daily Hoarding</t>
  </si>
  <si>
    <t>fedfile</t>
  </si>
  <si>
    <t>mouse</t>
  </si>
  <si>
    <t>diet</t>
  </si>
  <si>
    <t>mode</t>
  </si>
  <si>
    <t xml:space="preserve">sex </t>
  </si>
  <si>
    <t>order</t>
  </si>
  <si>
    <t>FED001_042322_00.CSV</t>
  </si>
  <si>
    <t>FED001_042622_00.CSV</t>
  </si>
  <si>
    <t>FED001_050322_00.CSV</t>
  </si>
  <si>
    <t>FED001_051022_04.CSV</t>
  </si>
  <si>
    <t>FED001_051122_01.CSV</t>
  </si>
  <si>
    <t>FED001_051522_00.CSV</t>
  </si>
  <si>
    <t>FED002_051522_00.CSV</t>
  </si>
  <si>
    <t>FED002_042322_00.CSV</t>
  </si>
  <si>
    <t>FED002_042622_00.CSV</t>
  </si>
  <si>
    <t>FED002_050322_00.CSV</t>
  </si>
  <si>
    <t>FED002_051022_02.CSV</t>
  </si>
  <si>
    <t>FED002_051122_03.CSV</t>
  </si>
  <si>
    <t>FED003_051522_00.CSV</t>
  </si>
  <si>
    <t>FED004_051522_00.CSV</t>
  </si>
  <si>
    <t>FED003_042322_00.CSV</t>
  </si>
  <si>
    <t>FED003_042622_00.CSV</t>
  </si>
  <si>
    <t>FED003_050322_00.CSV</t>
  </si>
  <si>
    <t>FED003_051022_03.CSV</t>
  </si>
  <si>
    <t>FED003_051122_02.CSV</t>
  </si>
  <si>
    <t>FED005_051522_00.CSV</t>
  </si>
  <si>
    <t>FED006_051522_04.CSV</t>
  </si>
  <si>
    <t>FED004_042322_00.CSV</t>
  </si>
  <si>
    <t>FED004_042622_00.CSV</t>
  </si>
  <si>
    <t>FED004_050322_00.CSV</t>
  </si>
  <si>
    <t>FED004_051022_04.CSV</t>
  </si>
  <si>
    <t>FED004_051122_01.CSV</t>
  </si>
  <si>
    <t>FED007_051522_00.CSV</t>
  </si>
  <si>
    <t>FED008_051522_00.CSV</t>
  </si>
  <si>
    <t>FED005_042322_00.CSV</t>
  </si>
  <si>
    <t>FED005_042622_00.CSV</t>
  </si>
  <si>
    <t>FED005_050322_00.CSV</t>
  </si>
  <si>
    <t>FED005_051022_03.CSV</t>
  </si>
  <si>
    <t>FED005_051122_02.CSV</t>
  </si>
  <si>
    <t>FED009_051522_00.CSV</t>
  </si>
  <si>
    <t>FED010_051522_00.CSV</t>
  </si>
  <si>
    <t>FED006_042322_00.CSV</t>
  </si>
  <si>
    <t>FED006_042622_00.CSV</t>
  </si>
  <si>
    <t>FED006_050322_00 MERGED.CSV</t>
  </si>
  <si>
    <t>FED006_051022_02.CSV</t>
  </si>
  <si>
    <t>FED006_051122_03.CSV</t>
  </si>
  <si>
    <t>FED011_051522_00.CSV</t>
  </si>
  <si>
    <t>FED012_051522_00.CSV</t>
  </si>
  <si>
    <t>FED001_051222_02.CSV</t>
  </si>
  <si>
    <t>FED002_051222_02.CSV</t>
  </si>
  <si>
    <t>FED007_042322_00.CSV</t>
  </si>
  <si>
    <t>FED007_042622_00.CSV</t>
  </si>
  <si>
    <t>FED007_050322_00.CSV</t>
  </si>
  <si>
    <t>FED007_051022_01.CSV</t>
  </si>
  <si>
    <t>FED007_051122_02.CSV</t>
  </si>
  <si>
    <t>FED003_051222_02.CSV</t>
  </si>
  <si>
    <t>FED004_051222_02.CSV</t>
  </si>
  <si>
    <t>FED008_042322_00.CSV</t>
  </si>
  <si>
    <t>FED008_042622_00.CSV</t>
  </si>
  <si>
    <t>FED008_050322_00.CSV</t>
  </si>
  <si>
    <t>FED008_051022_01.CSV</t>
  </si>
  <si>
    <t>FED008_051122_02.CSV</t>
  </si>
  <si>
    <t>FED005_051222_02.CSV</t>
  </si>
  <si>
    <t>FED006_051222_03.CSV</t>
  </si>
  <si>
    <t>FED009_042322_00.CSV</t>
  </si>
  <si>
    <t>FED009_042622_00.CSV</t>
  </si>
  <si>
    <t>FED009_050322_00.CSV</t>
  </si>
  <si>
    <t>FED009_051022_02.CSV</t>
  </si>
  <si>
    <t>FED009_051122_02.CSV</t>
  </si>
  <si>
    <t>FED007_051222_02.CSV</t>
  </si>
  <si>
    <t>FED008_051222_02.CSV</t>
  </si>
  <si>
    <t>FED010_042322_00.CSV</t>
  </si>
  <si>
    <t>FED010_042622_00.CSV</t>
  </si>
  <si>
    <t>FED010_050322_00.CSV</t>
  </si>
  <si>
    <t>FED010_051022_02.CSV</t>
  </si>
  <si>
    <t>FED010_051122_03.CSV</t>
  </si>
  <si>
    <t>FED009_051222_02.CSV</t>
  </si>
  <si>
    <t>FED010_051222_02.CSV</t>
  </si>
  <si>
    <t>FED011_042322_00.CSV</t>
  </si>
  <si>
    <t>FED011_042622_00.CSV</t>
  </si>
  <si>
    <t>FED011_050322_00MERGED.CSV</t>
  </si>
  <si>
    <t>FED011_051022_01.CSV</t>
  </si>
  <si>
    <t>FED011_051122_02.CSV</t>
  </si>
  <si>
    <t>FED011_051222_02.CSV</t>
  </si>
  <si>
    <t>FED012_042322_00.CSV</t>
  </si>
  <si>
    <t>FED012_042622_00.CSV</t>
  </si>
  <si>
    <t>FED012_050322_00MERGED.CSV</t>
  </si>
  <si>
    <t>FED012_051022_01.CSV</t>
  </si>
  <si>
    <t>FED012_051122_01.CSV</t>
  </si>
  <si>
    <t>FED012_051222_02.CSV</t>
  </si>
  <si>
    <t>PR</t>
  </si>
  <si>
    <t>NR</t>
  </si>
  <si>
    <t>FR1</t>
  </si>
  <si>
    <t>FR1R</t>
  </si>
  <si>
    <t>FF</t>
  </si>
  <si>
    <t>ECO</t>
  </si>
  <si>
    <t>RICH</t>
  </si>
  <si>
    <t>M</t>
  </si>
  <si>
    <t>mouseid</t>
  </si>
  <si>
    <t>day0</t>
  </si>
  <si>
    <t>day1</t>
  </si>
  <si>
    <t>day2</t>
  </si>
  <si>
    <t>day3</t>
  </si>
  <si>
    <t>day4</t>
  </si>
  <si>
    <t>day5</t>
  </si>
  <si>
    <t>day6</t>
  </si>
  <si>
    <t>day7</t>
  </si>
  <si>
    <t>day8</t>
  </si>
  <si>
    <t>day9</t>
  </si>
  <si>
    <t>day10</t>
  </si>
  <si>
    <t>day11</t>
  </si>
  <si>
    <t>day12</t>
  </si>
  <si>
    <t>day13</t>
  </si>
  <si>
    <t>day14</t>
  </si>
  <si>
    <t>day15</t>
  </si>
  <si>
    <t>day16</t>
  </si>
  <si>
    <t>day17</t>
  </si>
  <si>
    <t>day18</t>
  </si>
  <si>
    <t>day19</t>
  </si>
  <si>
    <t>day20</t>
  </si>
  <si>
    <t>day21</t>
  </si>
  <si>
    <t>day22</t>
  </si>
  <si>
    <t>day23</t>
  </si>
  <si>
    <t>day24</t>
  </si>
  <si>
    <t>day25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</si>
</sst>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F800]dddd\,\ mmmm\ dd\,\ yyyy"/>
  </numFmts>
  <fonts count="13" x14ac:knownFonts="1">
    <font>
      <sz val="11"/>
      <color theme="1"/>
      <name val="Calibri"/>
      <family val="2"/>
      <scheme val="minor"/>
    </font>
    <font>
      <sz val="8"/>
      <name val="Calibri"/>
      <family val="2"/>
      <scheme val="minor"/>
    </font>
    <font>
      <sz val="9"/>
      <color indexed="81"/>
      <name val="Tahoma"/>
      <charset val="1"/>
    </font>
    <font>
      <b/>
      <sz val="9"/>
      <color indexed="81"/>
      <name val="Tahoma"/>
      <charset val="1"/>
    </font>
    <font>
      <sz val="11"/>
      <color theme="5" tint="-0.249977111117893"/>
      <name val="Calibri"/>
      <family val="2"/>
      <scheme val="minor"/>
    </font>
    <font>
      <b/>
      <sz val="11"/>
      <color rgb="FFFF0000"/>
      <name val="Calibri"/>
      <family val="2"/>
      <scheme val="minor"/>
    </font>
    <font>
      <b/>
      <sz val="11"/>
      <color theme="4" tint="-0.249977111117893"/>
      <name val="Calibri"/>
      <family val="2"/>
      <scheme val="minor"/>
    </font>
    <font>
      <sz val="11"/>
      <color rgb="FF000000"/>
      <name val="Calibri"/>
      <family val="2"/>
      <scheme val="minor"/>
    </font>
    <font>
      <sz val="7"/>
      <color rgb="FF000000"/>
      <name val="Calibri"/>
      <family val="2"/>
      <scheme val="minor"/>
    </font>
    <font>
      <sz val="7"/>
      <color rgb="FFFFFFFF"/>
      <name val="Calibri"/>
      <family val="2"/>
      <scheme val="minor"/>
    </font>
    <font>
      <sz val="8"/>
      <color rgb="FFFFFFFF"/>
      <name val="Calibri"/>
      <family val="2"/>
      <scheme val="minor"/>
    </font>
    <font>
      <sz val="9"/>
      <color rgb="FF000000"/>
      <name val="Calibri"/>
      <family val="2"/>
      <scheme val="minor"/>
    </font>
    <font>
      <b/>
      <sz val="11"/>
      <color rgb="FF4472C4"/>
      <name val="Calibri"/>
      <family val="2"/>
      <scheme val="minor"/>
    </font>
  </fonts>
  <fills count="14">
    <fill>
      <patternFill patternType="none"/>
    </fill>
    <fill>
      <patternFill patternType="gray125"/>
    </fill>
    <fill>
      <patternFill patternType="solid">
        <fgColor theme="4" tint="0.59999389629810485"/>
        <bgColor indexed="64"/>
      </patternFill>
    </fill>
    <fill>
      <patternFill patternType="solid">
        <fgColor rgb="FFFF0000"/>
        <bgColor indexed="64"/>
      </patternFill>
    </fill>
    <fill>
      <patternFill patternType="solid">
        <fgColor rgb="FFFFFF00"/>
        <bgColor indexed="64"/>
      </patternFill>
    </fill>
    <fill>
      <patternFill patternType="solid">
        <fgColor theme="9"/>
        <bgColor indexed="64"/>
      </patternFill>
    </fill>
    <fill>
      <patternFill patternType="solid">
        <fgColor rgb="FF00B050"/>
        <bgColor indexed="64"/>
      </patternFill>
    </fill>
    <fill>
      <patternFill patternType="solid">
        <fgColor rgb="FF7030A0"/>
        <bgColor indexed="64"/>
      </patternFill>
    </fill>
    <fill>
      <patternFill patternType="solid">
        <fgColor rgb="FFA5A5A5"/>
        <bgColor indexed="64"/>
      </patternFill>
    </fill>
    <fill>
      <patternFill patternType="solid">
        <fgColor rgb="FFBFBFBF"/>
        <bgColor indexed="64"/>
      </patternFill>
    </fill>
    <fill>
      <patternFill patternType="solid">
        <fgColor rgb="FFFFF2CC"/>
        <bgColor indexed="64"/>
      </patternFill>
    </fill>
    <fill>
      <patternFill patternType="solid">
        <fgColor rgb="FFFFFFFF"/>
        <bgColor indexed="64"/>
      </patternFill>
    </fill>
    <fill>
      <patternFill patternType="solid">
        <fgColor rgb="FFED7D31"/>
        <bgColor indexed="64"/>
      </patternFill>
    </fill>
    <fill>
      <patternFill patternType="solid">
        <fgColor rgb="FFFFE699"/>
        <bgColor indexed="64"/>
      </patternFill>
    </fill>
  </fills>
  <borders count="11">
    <border>
      <left/>
      <right/>
      <top/>
      <bottom/>
      <diagonal/>
    </border>
    <border>
      <left style="double">
        <color rgb="FFED7D31"/>
      </left>
      <right style="double">
        <color rgb="FFED7D31"/>
      </right>
      <top style="double">
        <color rgb="FFED7D31"/>
      </top>
      <bottom style="double">
        <color rgb="FFED7D31"/>
      </bottom>
      <diagonal/>
    </border>
    <border>
      <left style="double">
        <color rgb="FFED7D31"/>
      </left>
      <right style="double">
        <color rgb="FFED7D31"/>
      </right>
      <top/>
      <bottom style="double">
        <color rgb="FFED7D31"/>
      </bottom>
      <diagonal/>
    </border>
    <border>
      <left style="double">
        <color rgb="FFED7D31"/>
      </left>
      <right style="double">
        <color rgb="FFED7D31"/>
      </right>
      <top/>
      <bottom/>
      <diagonal/>
    </border>
    <border>
      <left style="thin">
        <color rgb="FFFF0000"/>
      </left>
      <right/>
      <top style="thin">
        <color rgb="FFFF0000"/>
      </top>
      <bottom style="thin">
        <color rgb="FFFF0000"/>
      </bottom>
      <diagonal/>
    </border>
    <border>
      <left style="thin">
        <color rgb="FFFF0000"/>
      </left>
      <right/>
      <top/>
      <bottom/>
      <diagonal/>
    </border>
    <border>
      <left style="thin">
        <color rgb="FFFF0000"/>
      </left>
      <right/>
      <top style="thin">
        <color rgb="FFFF0000"/>
      </top>
      <bottom/>
      <diagonal/>
    </border>
    <border>
      <left style="thin">
        <color rgb="FFFF0000"/>
      </left>
      <right/>
      <top/>
      <bottom style="thin">
        <color rgb="FFFF0000"/>
      </bottom>
      <diagonal/>
    </border>
    <border>
      <left style="thin">
        <color rgb="FF7030A0"/>
      </left>
      <right style="thin">
        <color rgb="FF7030A0"/>
      </right>
      <top style="thin">
        <color rgb="FF7030A0"/>
      </top>
      <bottom style="thin">
        <color rgb="FF7030A0"/>
      </bottom>
      <diagonal/>
    </border>
    <border>
      <left style="thin">
        <color rgb="FF7030A0"/>
      </left>
      <right style="thin">
        <color rgb="FF7030A0"/>
      </right>
      <top style="thin">
        <color rgb="FF7030A0"/>
      </top>
      <bottom/>
      <diagonal/>
    </border>
    <border>
      <left style="thin">
        <color rgb="FF7030A0"/>
      </left>
      <right style="thin">
        <color rgb="FF7030A0"/>
      </right>
      <top/>
      <bottom style="thin">
        <color rgb="FF7030A0"/>
      </bottom>
      <diagonal/>
    </border>
  </borders>
  <cellStyleXfs count="1">
    <xf numFmtId="0" fontId="0" fillId="0" borderId="0"/>
  </cellStyleXfs>
  <cellXfs count="62">
    <xf numFmtId="0" fontId="0" fillId="0" borderId="0" xfId="0"/>
    <xf numFmtId="0" fontId="0" fillId="2" borderId="0" xfId="0" applyFill="1" applyAlignment="1">
      <alignment horizontal="center" vertical="center"/>
    </xf>
    <xf numFmtId="164" fontId="0" fillId="2" borderId="0" xfId="0" applyNumberFormat="1" applyFill="1" applyAlignment="1">
      <alignment horizontal="center" vertical="center"/>
    </xf>
    <xf numFmtId="164" fontId="0" fillId="0" borderId="0" xfId="0" applyNumberFormat="1"/>
    <xf numFmtId="164" fontId="0" fillId="0" borderId="0" xfId="0" applyNumberFormat="1" applyAlignment="1">
      <alignment horizontal="center" vertical="center"/>
    </xf>
    <xf numFmtId="0" fontId="0" fillId="0" borderId="0" xfId="0" applyAlignment="1">
      <alignment horizontal="center" vertical="center"/>
    </xf>
    <xf numFmtId="0" fontId="0" fillId="3" borderId="0" xfId="0" applyFill="1" applyAlignment="1">
      <alignment horizontal="center" vertical="center"/>
    </xf>
    <xf numFmtId="164" fontId="0" fillId="4" borderId="0" xfId="0" applyNumberFormat="1" applyFill="1" applyAlignment="1">
      <alignment horizontal="center" vertical="center"/>
    </xf>
    <xf numFmtId="0" fontId="0" fillId="5" borderId="0" xfId="0" applyFill="1" applyAlignment="1">
      <alignment horizontal="center" vertical="center"/>
    </xf>
    <xf numFmtId="0" fontId="0" fillId="4" borderId="0" xfId="0" applyFill="1"/>
    <xf numFmtId="164" fontId="0" fillId="5" borderId="0" xfId="0" applyNumberFormat="1" applyFill="1" applyAlignment="1">
      <alignment horizontal="center" vertical="center"/>
    </xf>
    <xf numFmtId="0" fontId="0" fillId="5" borderId="0" xfId="0" applyFill="1"/>
    <xf numFmtId="0" fontId="4" fillId="0" borderId="0" xfId="0" applyFont="1" applyAlignment="1">
      <alignment horizontal="center" vertical="center"/>
    </xf>
    <xf numFmtId="0" fontId="5" fillId="0" borderId="0" xfId="0" applyFont="1" applyAlignment="1">
      <alignment horizontal="center" vertical="center"/>
    </xf>
    <xf numFmtId="0" fontId="6" fillId="0" borderId="0" xfId="0" applyFont="1" applyAlignment="1">
      <alignment horizontal="center" vertical="center"/>
    </xf>
    <xf numFmtId="0" fontId="0" fillId="0" borderId="0" xfId="0" applyAlignment="1">
      <alignment horizontal="center"/>
    </xf>
    <xf numFmtId="14" fontId="0" fillId="0" borderId="0" xfId="0" applyNumberFormat="1"/>
    <xf numFmtId="14" fontId="0" fillId="0" borderId="0" xfId="0" applyNumberFormat="1" applyAlignment="1">
      <alignment horizontal="center"/>
    </xf>
    <xf numFmtId="0" fontId="8" fillId="4" borderId="1" xfId="0" applyFont="1" applyFill="1" applyBorder="1" applyAlignment="1">
      <alignment horizontal="center" vertical="center"/>
    </xf>
    <xf numFmtId="0" fontId="8" fillId="4" borderId="2" xfId="0" applyFont="1" applyFill="1" applyBorder="1" applyAlignment="1">
      <alignment horizontal="center" vertical="center"/>
    </xf>
    <xf numFmtId="0" fontId="9" fillId="3" borderId="1" xfId="0" applyFont="1" applyFill="1" applyBorder="1" applyAlignment="1">
      <alignment horizontal="center" vertical="center"/>
    </xf>
    <xf numFmtId="0" fontId="9" fillId="3" borderId="2" xfId="0" applyFont="1" applyFill="1" applyBorder="1" applyAlignment="1">
      <alignment horizontal="center" vertical="center"/>
    </xf>
    <xf numFmtId="0" fontId="9" fillId="6" borderId="2" xfId="0" applyFont="1" applyFill="1" applyBorder="1" applyAlignment="1">
      <alignment horizontal="center" vertical="center"/>
    </xf>
    <xf numFmtId="0" fontId="10" fillId="7" borderId="2" xfId="0" applyFont="1" applyFill="1" applyBorder="1" applyAlignment="1">
      <alignment horizontal="center" vertical="center"/>
    </xf>
    <xf numFmtId="0" fontId="7" fillId="8" borderId="1" xfId="0" applyFont="1" applyFill="1" applyBorder="1" applyAlignment="1">
      <alignment horizontal="center" vertical="center"/>
    </xf>
    <xf numFmtId="0" fontId="7" fillId="0" borderId="2" xfId="0" applyFont="1" applyBorder="1" applyAlignment="1">
      <alignment horizontal="center" vertical="center"/>
    </xf>
    <xf numFmtId="0" fontId="7" fillId="8" borderId="2" xfId="0" applyFont="1" applyFill="1" applyBorder="1" applyAlignment="1">
      <alignment horizontal="center" vertical="center"/>
    </xf>
    <xf numFmtId="0" fontId="7" fillId="9" borderId="2" xfId="0" applyFont="1" applyFill="1" applyBorder="1" applyAlignment="1">
      <alignment horizontal="center" vertical="center"/>
    </xf>
    <xf numFmtId="0" fontId="11" fillId="10" borderId="2" xfId="0" applyFont="1" applyFill="1" applyBorder="1" applyAlignment="1">
      <alignment horizontal="center" vertical="center"/>
    </xf>
    <xf numFmtId="0" fontId="7" fillId="11" borderId="2" xfId="0" applyFont="1" applyFill="1" applyBorder="1" applyAlignment="1">
      <alignment horizontal="center" vertical="center"/>
    </xf>
    <xf numFmtId="0" fontId="7" fillId="8" borderId="3" xfId="0" applyFont="1" applyFill="1" applyBorder="1" applyAlignment="1">
      <alignment horizontal="center" vertical="center"/>
    </xf>
    <xf numFmtId="0" fontId="9" fillId="6" borderId="1" xfId="0" applyFont="1" applyFill="1" applyBorder="1" applyAlignment="1">
      <alignment horizontal="center" vertical="center"/>
    </xf>
    <xf numFmtId="0" fontId="10" fillId="0" borderId="0" xfId="0" applyFont="1" applyAlignment="1">
      <alignment horizontal="center" vertical="center"/>
    </xf>
    <xf numFmtId="0" fontId="7" fillId="0" borderId="0" xfId="0" applyFont="1" applyAlignment="1">
      <alignment horizontal="center" vertical="center"/>
    </xf>
    <xf numFmtId="0" fontId="0" fillId="12" borderId="0" xfId="0" applyFill="1" applyAlignment="1">
      <alignment horizontal="center"/>
    </xf>
    <xf numFmtId="0" fontId="12" fillId="0" borderId="0" xfId="0" applyFont="1"/>
    <xf numFmtId="0" fontId="0" fillId="10" borderId="0" xfId="0" applyFill="1" applyAlignment="1">
      <alignment horizontal="center"/>
    </xf>
    <xf numFmtId="0" fontId="0" fillId="0" borderId="0" xfId="0" quotePrefix="1" applyAlignment="1">
      <alignment horizontal="center"/>
    </xf>
    <xf numFmtId="0" fontId="0" fillId="4" borderId="0" xfId="0" applyFill="1" applyAlignment="1">
      <alignment horizontal="center" vertical="center"/>
    </xf>
    <xf numFmtId="0" fontId="0" fillId="6" borderId="0" xfId="0" applyFill="1" applyAlignment="1">
      <alignment horizontal="center" vertical="center"/>
    </xf>
    <xf numFmtId="0" fontId="0" fillId="3" borderId="0" xfId="0" applyFill="1"/>
    <xf numFmtId="2" fontId="0" fillId="0" borderId="0" xfId="0" applyNumberFormat="1"/>
    <xf numFmtId="0" fontId="0" fillId="6" borderId="0" xfId="0" applyFill="1"/>
    <xf numFmtId="2" fontId="0" fillId="0" borderId="0" xfId="0" applyNumberFormat="1" applyAlignment="1">
      <alignment horizontal="center" vertical="center"/>
    </xf>
    <xf numFmtId="2" fontId="0" fillId="4" borderId="0" xfId="0" applyNumberFormat="1" applyFill="1" applyAlignment="1">
      <alignment horizontal="center" vertical="center"/>
    </xf>
    <xf numFmtId="2" fontId="0" fillId="3" borderId="0" xfId="0" applyNumberFormat="1" applyFill="1" applyAlignment="1">
      <alignment horizontal="center" vertical="center"/>
    </xf>
    <xf numFmtId="2" fontId="0" fillId="6" borderId="0" xfId="0" applyNumberFormat="1" applyFill="1" applyAlignment="1">
      <alignment horizontal="center" vertic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12" borderId="9" xfId="0" applyFill="1" applyBorder="1" applyAlignment="1">
      <alignment horizontal="center"/>
    </xf>
    <xf numFmtId="0" fontId="7" fillId="13" borderId="2" xfId="0" applyFont="1" applyFill="1" applyBorder="1" applyAlignment="1">
      <alignment horizontal="center" vertical="center"/>
    </xf>
    <xf numFmtId="0" fontId="0" fillId="12" borderId="8" xfId="0" applyFill="1" applyBorder="1" applyAlignment="1">
      <alignment horizontal="center"/>
    </xf>
    <xf numFmtId="0" fontId="0" fillId="12" borderId="10" xfId="0" applyFill="1" applyBorder="1" applyAlignment="1">
      <alignment horizontal="center"/>
    </xf>
    <xf numFmtId="0" fontId="0" fillId="0" borderId="0" xfId="0" applyAlignment="1">
      <alignment horizontal="center" vertical="center"/>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xf>
  </cellXfs>
  <cellStyles count="1">
    <cellStyle name="Normal" xfId="0" builtinId="0"/>
  </cellStyles>
  <dxfs count="1">
    <dxf>
      <fill>
        <patternFill>
          <bgColor theme="0" tint="-0.499984740745262"/>
        </patternFill>
      </fill>
    </dxf>
  </dxfs>
  <tableStyles count="1" defaultTableStyle="TableStyleMedium2" defaultPivotStyle="PivotStyleLight16">
    <tableStyle name="Table Style 1" pivot="0" count="1" xr9:uid="{D589FE87-A3E5-45CF-A6D9-B018F001D8CB}">
      <tableStyleElement type="first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a:t>
            </a:r>
            <a:r>
              <a:rPr lang="en-GB" baseline="0"/>
              <a:t> Pellet Intake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rgbClr val="FF0000"/>
              </a:solidFill>
              <a:round/>
            </a:ln>
            <a:effectLst/>
          </c:spPr>
          <c:marker>
            <c:symbol val="none"/>
          </c:marker>
          <c:val>
            <c:numRef>
              <c:f>Analysis!$S$3:$S$19</c:f>
              <c:numCache>
                <c:formatCode>0.00</c:formatCode>
                <c:ptCount val="17"/>
                <c:pt idx="0">
                  <c:v>258.66666666666669</c:v>
                </c:pt>
                <c:pt idx="1">
                  <c:v>237.33333333333334</c:v>
                </c:pt>
                <c:pt idx="2">
                  <c:v>219.16666666666666</c:v>
                </c:pt>
                <c:pt idx="3">
                  <c:v>168.5</c:v>
                </c:pt>
                <c:pt idx="4">
                  <c:v>157.33333333333334</c:v>
                </c:pt>
                <c:pt idx="5">
                  <c:v>192.5</c:v>
                </c:pt>
                <c:pt idx="6">
                  <c:v>202.5</c:v>
                </c:pt>
                <c:pt idx="7">
                  <c:v>227.16666666666666</c:v>
                </c:pt>
                <c:pt idx="8">
                  <c:v>235</c:v>
                </c:pt>
                <c:pt idx="9">
                  <c:v>250.33333333333334</c:v>
                </c:pt>
                <c:pt idx="10">
                  <c:v>265.83333333333331</c:v>
                </c:pt>
                <c:pt idx="11">
                  <c:v>218</c:v>
                </c:pt>
                <c:pt idx="12">
                  <c:v>213.5</c:v>
                </c:pt>
                <c:pt idx="13">
                  <c:v>215.16666666666666</c:v>
                </c:pt>
                <c:pt idx="14">
                  <c:v>199.5</c:v>
                </c:pt>
                <c:pt idx="15">
                  <c:v>203.83333333333334</c:v>
                </c:pt>
                <c:pt idx="16">
                  <c:v>189.5</c:v>
                </c:pt>
              </c:numCache>
            </c:numRef>
          </c:val>
          <c:smooth val="0"/>
          <c:extLst>
            <c:ext xmlns:c16="http://schemas.microsoft.com/office/drawing/2014/chart" uri="{C3380CC4-5D6E-409C-BE32-E72D297353CC}">
              <c16:uniqueId val="{00000001-AD51-468D-B2CA-B4CCB8958801}"/>
            </c:ext>
          </c:extLst>
        </c:ser>
        <c:ser>
          <c:idx val="1"/>
          <c:order val="1"/>
          <c:spPr>
            <a:ln w="28575" cap="rnd">
              <a:solidFill>
                <a:schemeClr val="accent2"/>
              </a:solidFill>
              <a:round/>
            </a:ln>
            <a:effectLst/>
          </c:spPr>
          <c:marker>
            <c:symbol val="none"/>
          </c:marker>
          <c:val>
            <c:numRef>
              <c:f>Analysis!$T$6:$T$19</c:f>
              <c:numCache>
                <c:formatCode>0.00</c:formatCode>
                <c:ptCount val="14"/>
              </c:numCache>
            </c:numRef>
          </c:val>
          <c:smooth val="0"/>
          <c:extLst>
            <c:ext xmlns:c16="http://schemas.microsoft.com/office/drawing/2014/chart" uri="{C3380CC4-5D6E-409C-BE32-E72D297353CC}">
              <c16:uniqueId val="{00000003-AD51-468D-B2CA-B4CCB8958801}"/>
            </c:ext>
          </c:extLst>
        </c:ser>
        <c:ser>
          <c:idx val="2"/>
          <c:order val="2"/>
          <c:spPr>
            <a:ln w="28575" cap="rnd">
              <a:solidFill>
                <a:schemeClr val="accent6"/>
              </a:solidFill>
              <a:round/>
            </a:ln>
            <a:effectLst/>
          </c:spPr>
          <c:marker>
            <c:symbol val="none"/>
          </c:marker>
          <c:val>
            <c:numRef>
              <c:f>Analysis!$U$3:$U$19</c:f>
              <c:numCache>
                <c:formatCode>0.00</c:formatCode>
                <c:ptCount val="17"/>
                <c:pt idx="0">
                  <c:v>300.5</c:v>
                </c:pt>
                <c:pt idx="1">
                  <c:v>229.33333333333334</c:v>
                </c:pt>
                <c:pt idx="2">
                  <c:v>210.16666666666666</c:v>
                </c:pt>
                <c:pt idx="3">
                  <c:v>184</c:v>
                </c:pt>
                <c:pt idx="4">
                  <c:v>188.5</c:v>
                </c:pt>
                <c:pt idx="5">
                  <c:v>189.16666666666666</c:v>
                </c:pt>
                <c:pt idx="6">
                  <c:v>209.66666666666666</c:v>
                </c:pt>
                <c:pt idx="7">
                  <c:v>173</c:v>
                </c:pt>
                <c:pt idx="8">
                  <c:v>196.66666666666666</c:v>
                </c:pt>
                <c:pt idx="9">
                  <c:v>208.66666666666666</c:v>
                </c:pt>
                <c:pt idx="10">
                  <c:v>166.16666666666666</c:v>
                </c:pt>
                <c:pt idx="11">
                  <c:v>175.33333333333334</c:v>
                </c:pt>
                <c:pt idx="12">
                  <c:v>200.83333333333334</c:v>
                </c:pt>
                <c:pt idx="13">
                  <c:v>200.33333333333334</c:v>
                </c:pt>
                <c:pt idx="14">
                  <c:v>203.16666666666666</c:v>
                </c:pt>
                <c:pt idx="15">
                  <c:v>193.5</c:v>
                </c:pt>
                <c:pt idx="16">
                  <c:v>197.33333333333334</c:v>
                </c:pt>
              </c:numCache>
            </c:numRef>
          </c:val>
          <c:smooth val="0"/>
          <c:extLst>
            <c:ext xmlns:c16="http://schemas.microsoft.com/office/drawing/2014/chart" uri="{C3380CC4-5D6E-409C-BE32-E72D297353CC}">
              <c16:uniqueId val="{00000005-AD51-468D-B2CA-B4CCB8958801}"/>
            </c:ext>
          </c:extLst>
        </c:ser>
        <c:dLbls>
          <c:showLegendKey val="0"/>
          <c:showVal val="0"/>
          <c:showCatName val="0"/>
          <c:showSerName val="0"/>
          <c:showPercent val="0"/>
          <c:showBubbleSize val="0"/>
        </c:dLbls>
        <c:smooth val="0"/>
        <c:axId val="1829425000"/>
        <c:axId val="494949207"/>
      </c:lineChart>
      <c:catAx>
        <c:axId val="1829425000"/>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4949207"/>
        <c:crosses val="autoZero"/>
        <c:auto val="1"/>
        <c:lblAlgn val="ctr"/>
        <c:lblOffset val="100"/>
        <c:noMultiLvlLbl val="0"/>
      </c:catAx>
      <c:valAx>
        <c:axId val="494949207"/>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9425000"/>
        <c:crosses val="autoZero"/>
        <c:crossBetween val="between"/>
      </c:valAx>
      <c:spPr>
        <a:noFill/>
        <a:ln>
          <a:noFill/>
        </a:ln>
        <a:effectLst/>
      </c:spPr>
    </c:plotArea>
    <c:legend>
      <c:legendPos val="b"/>
      <c:legendEntry>
        <c:idx val="1"/>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a:t>
            </a:r>
            <a:r>
              <a:rPr lang="en-GB" baseline="0"/>
              <a:t> Cal Intake</a:t>
            </a:r>
          </a:p>
          <a:p>
            <a:pPr>
              <a:defRPr/>
            </a:pP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rgbClr val="FF0000"/>
              </a:solidFill>
              <a:round/>
            </a:ln>
            <a:effectLst/>
          </c:spPr>
          <c:marker>
            <c:symbol val="none"/>
          </c:marker>
          <c:val>
            <c:numRef>
              <c:f>Analysis!$AX$3:$AX$19</c:f>
              <c:numCache>
                <c:formatCode>0.00</c:formatCode>
                <c:ptCount val="17"/>
                <c:pt idx="0">
                  <c:v>17.330666666666669</c:v>
                </c:pt>
                <c:pt idx="1">
                  <c:v>15.901333333333334</c:v>
                </c:pt>
                <c:pt idx="2">
                  <c:v>14.684166666666664</c:v>
                </c:pt>
                <c:pt idx="3">
                  <c:v>13.480000000000002</c:v>
                </c:pt>
                <c:pt idx="4">
                  <c:v>12.586666666666668</c:v>
                </c:pt>
                <c:pt idx="5">
                  <c:v>15.4</c:v>
                </c:pt>
                <c:pt idx="6">
                  <c:v>16.2</c:v>
                </c:pt>
                <c:pt idx="7">
                  <c:v>18.173333333333336</c:v>
                </c:pt>
                <c:pt idx="8">
                  <c:v>18.8</c:v>
                </c:pt>
                <c:pt idx="9">
                  <c:v>20.026666666666667</c:v>
                </c:pt>
                <c:pt idx="10">
                  <c:v>21.266666666666669</c:v>
                </c:pt>
                <c:pt idx="11">
                  <c:v>17.440000000000001</c:v>
                </c:pt>
                <c:pt idx="12">
                  <c:v>17.080000000000002</c:v>
                </c:pt>
                <c:pt idx="13">
                  <c:v>17.213333333333331</c:v>
                </c:pt>
                <c:pt idx="14">
                  <c:v>15.96</c:v>
                </c:pt>
                <c:pt idx="15">
                  <c:v>16.306666666666665</c:v>
                </c:pt>
                <c:pt idx="16">
                  <c:v>15.160000000000002</c:v>
                </c:pt>
              </c:numCache>
            </c:numRef>
          </c:val>
          <c:smooth val="0"/>
          <c:extLst>
            <c:ext xmlns:c16="http://schemas.microsoft.com/office/drawing/2014/chart" uri="{C3380CC4-5D6E-409C-BE32-E72D297353CC}">
              <c16:uniqueId val="{00000000-A67B-493E-836C-4270E14CEB37}"/>
            </c:ext>
          </c:extLst>
        </c:ser>
        <c:ser>
          <c:idx val="1"/>
          <c:order val="1"/>
          <c:spPr>
            <a:ln w="28575" cap="rnd">
              <a:solidFill>
                <a:schemeClr val="accent2"/>
              </a:solidFill>
              <a:round/>
            </a:ln>
            <a:effectLst/>
          </c:spPr>
          <c:marker>
            <c:symbol val="none"/>
          </c:marker>
          <c:val>
            <c:numRef>
              <c:f>Analysis!$AY$3:$AY$19</c:f>
              <c:numCache>
                <c:formatCode>0.00</c:formatCode>
                <c:ptCount val="17"/>
              </c:numCache>
            </c:numRef>
          </c:val>
          <c:smooth val="0"/>
          <c:extLst>
            <c:ext xmlns:c16="http://schemas.microsoft.com/office/drawing/2014/chart" uri="{C3380CC4-5D6E-409C-BE32-E72D297353CC}">
              <c16:uniqueId val="{00000001-A67B-493E-836C-4270E14CEB37}"/>
            </c:ext>
          </c:extLst>
        </c:ser>
        <c:ser>
          <c:idx val="2"/>
          <c:order val="2"/>
          <c:spPr>
            <a:ln w="28575" cap="rnd">
              <a:solidFill>
                <a:schemeClr val="accent6"/>
              </a:solidFill>
              <a:round/>
            </a:ln>
            <a:effectLst/>
          </c:spPr>
          <c:marker>
            <c:symbol val="none"/>
          </c:marker>
          <c:val>
            <c:numRef>
              <c:f>Analysis!$AZ$3:$AZ$19</c:f>
              <c:numCache>
                <c:formatCode>0.00</c:formatCode>
                <c:ptCount val="17"/>
                <c:pt idx="0">
                  <c:v>20.133500000000002</c:v>
                </c:pt>
                <c:pt idx="1">
                  <c:v>15.365333333333334</c:v>
                </c:pt>
                <c:pt idx="2">
                  <c:v>14.081166666666668</c:v>
                </c:pt>
                <c:pt idx="3">
                  <c:v>14.719999999999999</c:v>
                </c:pt>
                <c:pt idx="4">
                  <c:v>15.08</c:v>
                </c:pt>
                <c:pt idx="5">
                  <c:v>15.133333333333333</c:v>
                </c:pt>
                <c:pt idx="6">
                  <c:v>16.773333333333333</c:v>
                </c:pt>
                <c:pt idx="7">
                  <c:v>13.840000000000002</c:v>
                </c:pt>
                <c:pt idx="8">
                  <c:v>15.733333333333333</c:v>
                </c:pt>
                <c:pt idx="9">
                  <c:v>16.693333333333335</c:v>
                </c:pt>
                <c:pt idx="10">
                  <c:v>13.293333333333335</c:v>
                </c:pt>
                <c:pt idx="11">
                  <c:v>14.026666666666666</c:v>
                </c:pt>
                <c:pt idx="12">
                  <c:v>16.066666666666666</c:v>
                </c:pt>
                <c:pt idx="13">
                  <c:v>16.026666666666667</c:v>
                </c:pt>
                <c:pt idx="14">
                  <c:v>16.253333333333337</c:v>
                </c:pt>
                <c:pt idx="15">
                  <c:v>15.480000000000002</c:v>
                </c:pt>
                <c:pt idx="16">
                  <c:v>15.786666666666667</c:v>
                </c:pt>
              </c:numCache>
            </c:numRef>
          </c:val>
          <c:smooth val="0"/>
          <c:extLst>
            <c:ext xmlns:c16="http://schemas.microsoft.com/office/drawing/2014/chart" uri="{C3380CC4-5D6E-409C-BE32-E72D297353CC}">
              <c16:uniqueId val="{00000002-A67B-493E-836C-4270E14CEB37}"/>
            </c:ext>
          </c:extLst>
        </c:ser>
        <c:dLbls>
          <c:showLegendKey val="0"/>
          <c:showVal val="0"/>
          <c:showCatName val="0"/>
          <c:showSerName val="0"/>
          <c:showPercent val="0"/>
          <c:showBubbleSize val="0"/>
        </c:dLbls>
        <c:smooth val="0"/>
        <c:axId val="1191403456"/>
        <c:axId val="1191404704"/>
      </c:lineChart>
      <c:catAx>
        <c:axId val="1191403456"/>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1404704"/>
        <c:crosses val="autoZero"/>
        <c:auto val="1"/>
        <c:lblAlgn val="ctr"/>
        <c:lblOffset val="100"/>
        <c:noMultiLvlLbl val="0"/>
      </c:catAx>
      <c:valAx>
        <c:axId val="119140470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1403456"/>
        <c:crosses val="autoZero"/>
        <c:crossBetween val="between"/>
      </c:valAx>
      <c:spPr>
        <a:noFill/>
        <a:ln>
          <a:noFill/>
        </a:ln>
        <a:effectLst/>
      </c:spPr>
    </c:plotArea>
    <c:legend>
      <c:legendPos val="b"/>
      <c:legendEntry>
        <c:idx val="1"/>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 Pellet</a:t>
            </a:r>
            <a:r>
              <a:rPr lang="en-GB" baseline="0"/>
              <a:t> intake animal/phase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Analysis!$B$32</c:f>
              <c:strCache>
                <c:ptCount val="1"/>
                <c:pt idx="0">
                  <c:v>GRAIN</c:v>
                </c:pt>
              </c:strCache>
            </c:strRef>
          </c:tx>
          <c:spPr>
            <a:solidFill>
              <a:srgbClr val="FFC000"/>
            </a:solidFill>
            <a:ln>
              <a:noFill/>
            </a:ln>
            <a:effectLst/>
          </c:spPr>
          <c:invertIfNegative val="0"/>
          <c:cat>
            <c:strRef>
              <c:f>Analysis!$C$31:$O$31</c:f>
              <c:strCache>
                <c:ptCount val="13"/>
                <c:pt idx="0">
                  <c:v>FEDXA01</c:v>
                </c:pt>
                <c:pt idx="1">
                  <c:v>FEDXA02</c:v>
                </c:pt>
                <c:pt idx="2">
                  <c:v>FEDXA03</c:v>
                </c:pt>
                <c:pt idx="3">
                  <c:v>FEDXA04</c:v>
                </c:pt>
                <c:pt idx="4">
                  <c:v>FEDXA05</c:v>
                </c:pt>
                <c:pt idx="5">
                  <c:v>FEDXA06</c:v>
                </c:pt>
                <c:pt idx="7">
                  <c:v>FEDXA07</c:v>
                </c:pt>
                <c:pt idx="8">
                  <c:v>FEDXA08</c:v>
                </c:pt>
                <c:pt idx="9">
                  <c:v>FEDXA09</c:v>
                </c:pt>
                <c:pt idx="10">
                  <c:v>FEDXA10</c:v>
                </c:pt>
                <c:pt idx="11">
                  <c:v>FEDXA11</c:v>
                </c:pt>
                <c:pt idx="12">
                  <c:v>FEDXA12</c:v>
                </c:pt>
              </c:strCache>
            </c:strRef>
          </c:cat>
          <c:val>
            <c:numRef>
              <c:f>Analysis!$C$32:$O$32</c:f>
              <c:numCache>
                <c:formatCode>0.00</c:formatCode>
                <c:ptCount val="13"/>
                <c:pt idx="0">
                  <c:v>274.66666666666669</c:v>
                </c:pt>
                <c:pt idx="1">
                  <c:v>240.66666666666666</c:v>
                </c:pt>
                <c:pt idx="2">
                  <c:v>237</c:v>
                </c:pt>
                <c:pt idx="3">
                  <c:v>251.66666666666666</c:v>
                </c:pt>
                <c:pt idx="4">
                  <c:v>238.33333333333334</c:v>
                </c:pt>
                <c:pt idx="5">
                  <c:v>188</c:v>
                </c:pt>
                <c:pt idx="7">
                  <c:v>258.66666666666669</c:v>
                </c:pt>
                <c:pt idx="8">
                  <c:v>258</c:v>
                </c:pt>
                <c:pt idx="9">
                  <c:v>235</c:v>
                </c:pt>
                <c:pt idx="10">
                  <c:v>231.66666666666666</c:v>
                </c:pt>
                <c:pt idx="11">
                  <c:v>267</c:v>
                </c:pt>
                <c:pt idx="12">
                  <c:v>229.66666666666666</c:v>
                </c:pt>
              </c:numCache>
            </c:numRef>
          </c:val>
          <c:extLst>
            <c:ext xmlns:c16="http://schemas.microsoft.com/office/drawing/2014/chart" uri="{C3380CC4-5D6E-409C-BE32-E72D297353CC}">
              <c16:uniqueId val="{00000000-A931-4C21-B5B3-EE2B637F0476}"/>
            </c:ext>
          </c:extLst>
        </c:ser>
        <c:ser>
          <c:idx val="1"/>
          <c:order val="1"/>
          <c:tx>
            <c:strRef>
              <c:f>Analysis!$B$33</c:f>
              <c:strCache>
                <c:ptCount val="1"/>
                <c:pt idx="0">
                  <c:v>PR Phase</c:v>
                </c:pt>
              </c:strCache>
            </c:strRef>
          </c:tx>
          <c:spPr>
            <a:solidFill>
              <a:srgbClr val="FF0000"/>
            </a:solidFill>
            <a:ln>
              <a:noFill/>
            </a:ln>
            <a:effectLst/>
          </c:spPr>
          <c:invertIfNegative val="0"/>
          <c:cat>
            <c:strRef>
              <c:f>Analysis!$C$31:$O$31</c:f>
              <c:strCache>
                <c:ptCount val="13"/>
                <c:pt idx="0">
                  <c:v>FEDXA01</c:v>
                </c:pt>
                <c:pt idx="1">
                  <c:v>FEDXA02</c:v>
                </c:pt>
                <c:pt idx="2">
                  <c:v>FEDXA03</c:v>
                </c:pt>
                <c:pt idx="3">
                  <c:v>FEDXA04</c:v>
                </c:pt>
                <c:pt idx="4">
                  <c:v>FEDXA05</c:v>
                </c:pt>
                <c:pt idx="5">
                  <c:v>FEDXA06</c:v>
                </c:pt>
                <c:pt idx="7">
                  <c:v>FEDXA07</c:v>
                </c:pt>
                <c:pt idx="8">
                  <c:v>FEDXA08</c:v>
                </c:pt>
                <c:pt idx="9">
                  <c:v>FEDXA09</c:v>
                </c:pt>
                <c:pt idx="10">
                  <c:v>FEDXA10</c:v>
                </c:pt>
                <c:pt idx="11">
                  <c:v>FEDXA11</c:v>
                </c:pt>
                <c:pt idx="12">
                  <c:v>FEDXA12</c:v>
                </c:pt>
              </c:strCache>
            </c:strRef>
          </c:cat>
          <c:val>
            <c:numRef>
              <c:f>Analysis!$C$33:$O$33</c:f>
              <c:numCache>
                <c:formatCode>0.00</c:formatCode>
                <c:ptCount val="13"/>
                <c:pt idx="0">
                  <c:v>194.57142857142858</c:v>
                </c:pt>
                <c:pt idx="1">
                  <c:v>198</c:v>
                </c:pt>
                <c:pt idx="2">
                  <c:v>217.14285714285714</c:v>
                </c:pt>
                <c:pt idx="3">
                  <c:v>196</c:v>
                </c:pt>
                <c:pt idx="4">
                  <c:v>206.14285714285714</c:v>
                </c:pt>
                <c:pt idx="5">
                  <c:v>216.71428571428572</c:v>
                </c:pt>
                <c:pt idx="7">
                  <c:v>182.57142857142858</c:v>
                </c:pt>
                <c:pt idx="8">
                  <c:v>156.85714285714286</c:v>
                </c:pt>
                <c:pt idx="9">
                  <c:v>198</c:v>
                </c:pt>
                <c:pt idx="10">
                  <c:v>184.71428571428572</c:v>
                </c:pt>
                <c:pt idx="11">
                  <c:v>223.85714285714286</c:v>
                </c:pt>
                <c:pt idx="12">
                  <c:v>199.71428571428572</c:v>
                </c:pt>
              </c:numCache>
            </c:numRef>
          </c:val>
          <c:extLst>
            <c:ext xmlns:c16="http://schemas.microsoft.com/office/drawing/2014/chart" uri="{C3380CC4-5D6E-409C-BE32-E72D297353CC}">
              <c16:uniqueId val="{00000001-A931-4C21-B5B3-EE2B637F0476}"/>
            </c:ext>
          </c:extLst>
        </c:ser>
        <c:ser>
          <c:idx val="2"/>
          <c:order val="2"/>
          <c:tx>
            <c:strRef>
              <c:f>Analysis!$B$34</c:f>
              <c:strCache>
                <c:ptCount val="1"/>
                <c:pt idx="0">
                  <c:v>NR Phase</c:v>
                </c:pt>
              </c:strCache>
            </c:strRef>
          </c:tx>
          <c:spPr>
            <a:solidFill>
              <a:srgbClr val="00B050"/>
            </a:solidFill>
            <a:ln>
              <a:noFill/>
            </a:ln>
            <a:effectLst/>
          </c:spPr>
          <c:invertIfNegative val="0"/>
          <c:cat>
            <c:strRef>
              <c:f>Analysis!$C$31:$O$31</c:f>
              <c:strCache>
                <c:ptCount val="13"/>
                <c:pt idx="0">
                  <c:v>FEDXA01</c:v>
                </c:pt>
                <c:pt idx="1">
                  <c:v>FEDXA02</c:v>
                </c:pt>
                <c:pt idx="2">
                  <c:v>FEDXA03</c:v>
                </c:pt>
                <c:pt idx="3">
                  <c:v>FEDXA04</c:v>
                </c:pt>
                <c:pt idx="4">
                  <c:v>FEDXA05</c:v>
                </c:pt>
                <c:pt idx="5">
                  <c:v>FEDXA06</c:v>
                </c:pt>
                <c:pt idx="7">
                  <c:v>FEDXA07</c:v>
                </c:pt>
                <c:pt idx="8">
                  <c:v>FEDXA08</c:v>
                </c:pt>
                <c:pt idx="9">
                  <c:v>FEDXA09</c:v>
                </c:pt>
                <c:pt idx="10">
                  <c:v>FEDXA10</c:v>
                </c:pt>
                <c:pt idx="11">
                  <c:v>FEDXA11</c:v>
                </c:pt>
                <c:pt idx="12">
                  <c:v>FEDXA12</c:v>
                </c:pt>
              </c:strCache>
            </c:strRef>
          </c:cat>
          <c:val>
            <c:numRef>
              <c:f>Analysis!$C$34:$O$34</c:f>
              <c:numCache>
                <c:formatCode>0.00</c:formatCode>
                <c:ptCount val="13"/>
                <c:pt idx="0">
                  <c:v>220.28571428571428</c:v>
                </c:pt>
                <c:pt idx="1">
                  <c:v>188.14285714285714</c:v>
                </c:pt>
                <c:pt idx="2">
                  <c:v>238</c:v>
                </c:pt>
                <c:pt idx="3">
                  <c:v>219.28571428571428</c:v>
                </c:pt>
                <c:pt idx="4">
                  <c:v>224.14285714285714</c:v>
                </c:pt>
                <c:pt idx="5">
                  <c:v>200.42857142857142</c:v>
                </c:pt>
                <c:pt idx="7">
                  <c:v>187.85714285714286</c:v>
                </c:pt>
                <c:pt idx="8">
                  <c:v>177.28571428571428</c:v>
                </c:pt>
                <c:pt idx="9">
                  <c:v>189.71428571428572</c:v>
                </c:pt>
                <c:pt idx="10">
                  <c:v>202.14285714285714</c:v>
                </c:pt>
                <c:pt idx="11">
                  <c:v>196.14285714285714</c:v>
                </c:pt>
                <c:pt idx="12">
                  <c:v>203.71428571428572</c:v>
                </c:pt>
              </c:numCache>
            </c:numRef>
          </c:val>
          <c:extLst>
            <c:ext xmlns:c16="http://schemas.microsoft.com/office/drawing/2014/chart" uri="{C3380CC4-5D6E-409C-BE32-E72D297353CC}">
              <c16:uniqueId val="{00000002-A931-4C21-B5B3-EE2B637F0476}"/>
            </c:ext>
          </c:extLst>
        </c:ser>
        <c:dLbls>
          <c:showLegendKey val="0"/>
          <c:showVal val="0"/>
          <c:showCatName val="0"/>
          <c:showSerName val="0"/>
          <c:showPercent val="0"/>
          <c:showBubbleSize val="0"/>
        </c:dLbls>
        <c:gapWidth val="219"/>
        <c:overlap val="-27"/>
        <c:axId val="784655456"/>
        <c:axId val="784655040"/>
      </c:barChart>
      <c:catAx>
        <c:axId val="784655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4655040"/>
        <c:crosses val="autoZero"/>
        <c:auto val="1"/>
        <c:lblAlgn val="ctr"/>
        <c:lblOffset val="100"/>
        <c:noMultiLvlLbl val="0"/>
      </c:catAx>
      <c:valAx>
        <c:axId val="78465504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46554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24</xdr:col>
      <xdr:colOff>47625</xdr:colOff>
      <xdr:row>3</xdr:row>
      <xdr:rowOff>19050</xdr:rowOff>
    </xdr:from>
    <xdr:to>
      <xdr:col>31</xdr:col>
      <xdr:colOff>142875</xdr:colOff>
      <xdr:row>18</xdr:row>
      <xdr:rowOff>47625</xdr:rowOff>
    </xdr:to>
    <xdr:graphicFrame macro="">
      <xdr:nvGraphicFramePr>
        <xdr:cNvPr id="2" name="Chart 1">
          <a:extLst>
            <a:ext uri="{FF2B5EF4-FFF2-40B4-BE49-F238E27FC236}">
              <a16:creationId xmlns:a16="http://schemas.microsoft.com/office/drawing/2014/main" id="{1E6E8852-82D0-60C5-2C7E-197CA04345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52</xdr:col>
      <xdr:colOff>560387</xdr:colOff>
      <xdr:row>2</xdr:row>
      <xdr:rowOff>95250</xdr:rowOff>
    </xdr:from>
    <xdr:to>
      <xdr:col>60</xdr:col>
      <xdr:colOff>255587</xdr:colOff>
      <xdr:row>17</xdr:row>
      <xdr:rowOff>120650</xdr:rowOff>
    </xdr:to>
    <xdr:graphicFrame macro="">
      <xdr:nvGraphicFramePr>
        <xdr:cNvPr id="3" name="Chart 2">
          <a:extLst>
            <a:ext uri="{FF2B5EF4-FFF2-40B4-BE49-F238E27FC236}">
              <a16:creationId xmlns:a16="http://schemas.microsoft.com/office/drawing/2014/main" id="{EF9CAA80-BC15-46CE-9D9B-0C0FF33037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544512</xdr:colOff>
      <xdr:row>36</xdr:row>
      <xdr:rowOff>95250</xdr:rowOff>
    </xdr:from>
    <xdr:to>
      <xdr:col>21</xdr:col>
      <xdr:colOff>592137</xdr:colOff>
      <xdr:row>51</xdr:row>
      <xdr:rowOff>123825</xdr:rowOff>
    </xdr:to>
    <xdr:graphicFrame macro="">
      <xdr:nvGraphicFramePr>
        <xdr:cNvPr id="4" name="Chart 3">
          <a:extLst>
            <a:ext uri="{FF2B5EF4-FFF2-40B4-BE49-F238E27FC236}">
              <a16:creationId xmlns:a16="http://schemas.microsoft.com/office/drawing/2014/main" id="{9A93170A-4697-4AB0-8515-B047394B4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Hamid Taghipourbibalan" id="{60360D0C-1802-44A5-A19E-F403A834A4E8}" userId="S::hta031@uit.no::29922949-cdb3-4375-8ce2-aa711aea7c5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5" dT="2022-05-16T06:48:13.15" personId="{60360D0C-1802-44A5-A19E-F403A834A4E8}" id="{5DF2B59E-2042-4659-8F3F-0D8AFDBD8BBC}">
    <text xml:space="preserve">Unit FED006 JAM, disc failure </text>
  </threadedComment>
</ThreadedComments>
</file>

<file path=xl/threadedComments/threadedComment2.xml><?xml version="1.0" encoding="utf-8"?>
<ThreadedComments xmlns="http://schemas.microsoft.com/office/spreadsheetml/2018/threadedcomments" xmlns:x="http://schemas.openxmlformats.org/spreadsheetml/2006/main">
  <threadedComment ref="H18" dT="2022-05-09T11:17:30.06" personId="{60360D0C-1802-44A5-A19E-F403A834A4E8}" id="{0BB88F64-9F99-4184-8010-37550EF887D5}">
    <text>Device reset!</text>
  </threadedComment>
</ThreadedComments>
</file>

<file path=xl/threadedComments/threadedComment3.xml><?xml version="1.0" encoding="utf-8"?>
<ThreadedComments xmlns="http://schemas.microsoft.com/office/spreadsheetml/2018/threadedcomments" xmlns:x="http://schemas.openxmlformats.org/spreadsheetml/2006/main">
  <threadedComment ref="H15" dT="2022-05-09T11:17:04.01" personId="{60360D0C-1802-44A5-A19E-F403A834A4E8}" id="{FFFA21F0-FC1E-4A39-9CEE-40827361F3D8}">
    <text xml:space="preserve">JAM
</text>
  </threadedComment>
</ThreadedComments>
</file>

<file path=xl/threadedComments/threadedComment4.xml><?xml version="1.0" encoding="utf-8"?>
<ThreadedComments xmlns="http://schemas.microsoft.com/office/spreadsheetml/2018/threadedcomments" xmlns:x="http://schemas.openxmlformats.org/spreadsheetml/2006/main">
  <threadedComment ref="H19" dT="2022-05-09T11:23:02.69" personId="{60360D0C-1802-44A5-A19E-F403A834A4E8}" id="{419D62A2-207A-4F5A-950F-EDF067560A7E}">
    <text>JAM</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 Id="rId4" Type="http://schemas.microsoft.com/office/2017/10/relationships/threadedComment" Target="../threadedComments/threadedComment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 Id="rId4" Type="http://schemas.microsoft.com/office/2017/10/relationships/threadedComment" Target="../threadedComments/threadedComment2.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2.bin"/><Relationship Id="rId4" Type="http://schemas.microsoft.com/office/2017/10/relationships/threadedComment" Target="../threadedComments/threadedComment3.xml"/></Relationships>
</file>

<file path=xl/worksheets/_rels/sheet13.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3.bin"/><Relationship Id="rId4" Type="http://schemas.microsoft.com/office/2017/10/relationships/threadedComment" Target="../threadedComments/threadedComment4.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1"/>
  <sheetViews>
    <sheetView view="pageBreakPreview" topLeftCell="A25" zoomScale="70" zoomScaleNormal="100" zoomScaleSheetLayoutView="70" workbookViewId="0">
      <selection activeCell="C61" sqref="C61"/>
    </sheetView>
  </sheetViews>
  <sheetFormatPr defaultRowHeight="25" customHeight="1" x14ac:dyDescent="0.35"/>
  <cols>
    <col min="1" max="1" width="24.453125" style="3" customWidth="1"/>
    <col min="2" max="2" width="21.81640625" customWidth="1"/>
    <col min="3" max="3" width="50.453125" style="5" customWidth="1"/>
    <col min="4" max="4" width="52.1796875" style="5" customWidth="1"/>
  </cols>
  <sheetData>
    <row r="1" spans="1:4" ht="25" customHeight="1" x14ac:dyDescent="0.35">
      <c r="A1" s="2" t="s">
        <v>0</v>
      </c>
      <c r="B1" s="1" t="s">
        <v>1</v>
      </c>
      <c r="C1" s="1" t="s">
        <v>2</v>
      </c>
      <c r="D1" s="1" t="s">
        <v>3</v>
      </c>
    </row>
    <row r="2" spans="1:4" ht="25" customHeight="1" x14ac:dyDescent="0.35">
      <c r="A2" s="7">
        <v>44648</v>
      </c>
      <c r="B2" s="5" t="s">
        <v>4</v>
      </c>
      <c r="C2" s="8" t="s">
        <v>5</v>
      </c>
      <c r="D2" s="5" t="s">
        <v>6</v>
      </c>
    </row>
    <row r="3" spans="1:4" ht="25" customHeight="1" x14ac:dyDescent="0.35">
      <c r="A3" s="7">
        <v>44649</v>
      </c>
      <c r="B3" s="5" t="s">
        <v>7</v>
      </c>
      <c r="D3" s="5" t="s">
        <v>6</v>
      </c>
    </row>
    <row r="4" spans="1:4" ht="25" customHeight="1" x14ac:dyDescent="0.35">
      <c r="A4" s="7">
        <v>44650</v>
      </c>
      <c r="B4" s="5" t="s">
        <v>8</v>
      </c>
      <c r="D4" s="5" t="s">
        <v>6</v>
      </c>
    </row>
    <row r="5" spans="1:4" ht="25" customHeight="1" x14ac:dyDescent="0.35">
      <c r="A5" s="7">
        <v>44651</v>
      </c>
      <c r="B5" s="5" t="s">
        <v>9</v>
      </c>
      <c r="D5" s="5" t="s">
        <v>6</v>
      </c>
    </row>
    <row r="6" spans="1:4" ht="25" customHeight="1" x14ac:dyDescent="0.35">
      <c r="A6" s="7">
        <v>44652</v>
      </c>
      <c r="B6" s="5" t="s">
        <v>10</v>
      </c>
      <c r="D6" s="5" t="s">
        <v>6</v>
      </c>
    </row>
    <row r="7" spans="1:4" ht="25" customHeight="1" x14ac:dyDescent="0.35">
      <c r="A7" s="4">
        <v>44653</v>
      </c>
      <c r="B7" s="5" t="s">
        <v>11</v>
      </c>
    </row>
    <row r="8" spans="1:4" ht="25" customHeight="1" x14ac:dyDescent="0.35">
      <c r="A8" s="4">
        <v>44654</v>
      </c>
      <c r="B8" s="5" t="s">
        <v>12</v>
      </c>
    </row>
    <row r="9" spans="1:4" ht="25" customHeight="1" x14ac:dyDescent="0.35">
      <c r="A9" s="4">
        <v>44655</v>
      </c>
      <c r="B9" s="5" t="s">
        <v>4</v>
      </c>
    </row>
    <row r="10" spans="1:4" ht="25" customHeight="1" x14ac:dyDescent="0.35">
      <c r="A10" s="4">
        <v>44656</v>
      </c>
      <c r="B10" s="5" t="s">
        <v>7</v>
      </c>
    </row>
    <row r="11" spans="1:4" ht="25" customHeight="1" x14ac:dyDescent="0.35">
      <c r="A11" s="7">
        <v>44657</v>
      </c>
      <c r="B11" s="5" t="s">
        <v>8</v>
      </c>
      <c r="D11" s="5" t="s">
        <v>13</v>
      </c>
    </row>
    <row r="12" spans="1:4" ht="25" customHeight="1" x14ac:dyDescent="0.35">
      <c r="A12" s="7">
        <v>44658</v>
      </c>
      <c r="B12" s="5" t="s">
        <v>9</v>
      </c>
      <c r="D12" s="5" t="s">
        <v>13</v>
      </c>
    </row>
    <row r="13" spans="1:4" ht="25" customHeight="1" x14ac:dyDescent="0.35">
      <c r="A13" s="7">
        <v>44659</v>
      </c>
      <c r="B13" s="5" t="s">
        <v>10</v>
      </c>
      <c r="C13" s="8" t="s">
        <v>14</v>
      </c>
      <c r="D13" s="6" t="s">
        <v>15</v>
      </c>
    </row>
    <row r="14" spans="1:4" ht="25" customHeight="1" x14ac:dyDescent="0.35">
      <c r="A14" s="4">
        <v>44660</v>
      </c>
      <c r="B14" s="5" t="s">
        <v>11</v>
      </c>
    </row>
    <row r="15" spans="1:4" ht="25" customHeight="1" x14ac:dyDescent="0.35">
      <c r="A15" s="4">
        <v>44661</v>
      </c>
      <c r="B15" s="5" t="s">
        <v>12</v>
      </c>
    </row>
    <row r="16" spans="1:4" ht="25" customHeight="1" x14ac:dyDescent="0.35">
      <c r="A16" s="4">
        <v>44662</v>
      </c>
      <c r="B16" s="5" t="s">
        <v>4</v>
      </c>
      <c r="C16" s="5" t="s">
        <v>16</v>
      </c>
    </row>
    <row r="17" spans="1:4" ht="25" customHeight="1" x14ac:dyDescent="0.35">
      <c r="A17" s="4">
        <v>44663</v>
      </c>
      <c r="B17" s="5" t="s">
        <v>7</v>
      </c>
      <c r="C17" s="5" t="s">
        <v>17</v>
      </c>
    </row>
    <row r="18" spans="1:4" ht="25" customHeight="1" x14ac:dyDescent="0.35">
      <c r="A18" s="4">
        <v>44664</v>
      </c>
      <c r="B18" s="5" t="s">
        <v>8</v>
      </c>
      <c r="C18" s="5" t="s">
        <v>18</v>
      </c>
    </row>
    <row r="19" spans="1:4" ht="25" customHeight="1" x14ac:dyDescent="0.35">
      <c r="A19" s="4">
        <v>44665</v>
      </c>
      <c r="B19" s="5" t="s">
        <v>9</v>
      </c>
    </row>
    <row r="20" spans="1:4" ht="25" customHeight="1" x14ac:dyDescent="0.35">
      <c r="A20" s="4">
        <v>44666</v>
      </c>
      <c r="B20" s="5" t="s">
        <v>10</v>
      </c>
    </row>
    <row r="21" spans="1:4" ht="25" customHeight="1" x14ac:dyDescent="0.35">
      <c r="A21" s="4">
        <v>44667</v>
      </c>
      <c r="B21" s="5" t="s">
        <v>11</v>
      </c>
    </row>
    <row r="22" spans="1:4" ht="25" customHeight="1" x14ac:dyDescent="0.35">
      <c r="A22" s="4">
        <v>44668</v>
      </c>
      <c r="B22" s="5" t="s">
        <v>12</v>
      </c>
    </row>
    <row r="23" spans="1:4" ht="25" customHeight="1" x14ac:dyDescent="0.35">
      <c r="A23" s="4">
        <v>44669</v>
      </c>
      <c r="B23" s="5" t="s">
        <v>4</v>
      </c>
    </row>
    <row r="24" spans="1:4" ht="25" customHeight="1" x14ac:dyDescent="0.35">
      <c r="A24" s="4">
        <v>44670</v>
      </c>
      <c r="B24" s="5" t="s">
        <v>7</v>
      </c>
    </row>
    <row r="25" spans="1:4" ht="25" customHeight="1" x14ac:dyDescent="0.35">
      <c r="A25" s="4">
        <v>44671</v>
      </c>
      <c r="B25" s="5" t="s">
        <v>8</v>
      </c>
    </row>
    <row r="26" spans="1:4" ht="25" customHeight="1" x14ac:dyDescent="0.35">
      <c r="A26" s="4">
        <v>44672</v>
      </c>
      <c r="B26" s="5" t="s">
        <v>9</v>
      </c>
      <c r="C26" s="5" t="s">
        <v>19</v>
      </c>
      <c r="D26" s="5" t="s">
        <v>20</v>
      </c>
    </row>
    <row r="27" spans="1:4" ht="25" customHeight="1" x14ac:dyDescent="0.35">
      <c r="A27" s="4">
        <v>44673</v>
      </c>
      <c r="B27" s="5" t="s">
        <v>10</v>
      </c>
      <c r="C27" s="5" t="s">
        <v>21</v>
      </c>
      <c r="D27" s="5" t="s">
        <v>22</v>
      </c>
    </row>
    <row r="28" spans="1:4" ht="25" customHeight="1" x14ac:dyDescent="0.35">
      <c r="A28" s="4">
        <v>44674</v>
      </c>
      <c r="B28" s="5" t="s">
        <v>11</v>
      </c>
      <c r="C28" s="5" t="s">
        <v>23</v>
      </c>
      <c r="D28" s="6" t="s">
        <v>24</v>
      </c>
    </row>
    <row r="29" spans="1:4" ht="25" customHeight="1" x14ac:dyDescent="0.35">
      <c r="A29" s="4">
        <v>44675</v>
      </c>
      <c r="B29" s="5" t="s">
        <v>12</v>
      </c>
      <c r="C29" s="5" t="s">
        <v>25</v>
      </c>
      <c r="D29" s="5" t="s">
        <v>26</v>
      </c>
    </row>
    <row r="30" spans="1:4" ht="25" customHeight="1" x14ac:dyDescent="0.35">
      <c r="A30" s="4">
        <v>44676</v>
      </c>
      <c r="B30" s="5" t="s">
        <v>4</v>
      </c>
      <c r="C30" s="5" t="s">
        <v>25</v>
      </c>
      <c r="D30" s="5" t="s">
        <v>27</v>
      </c>
    </row>
    <row r="31" spans="1:4" ht="25" customHeight="1" x14ac:dyDescent="0.35">
      <c r="A31" s="4">
        <v>44677</v>
      </c>
      <c r="B31" s="5" t="s">
        <v>7</v>
      </c>
      <c r="C31" s="5" t="s">
        <v>28</v>
      </c>
      <c r="D31" s="6" t="s">
        <v>29</v>
      </c>
    </row>
    <row r="32" spans="1:4" ht="25" customHeight="1" x14ac:dyDescent="0.35">
      <c r="A32" s="7">
        <v>44678</v>
      </c>
      <c r="B32" s="5" t="s">
        <v>8</v>
      </c>
      <c r="C32" s="5" t="s">
        <v>28</v>
      </c>
      <c r="D32" s="5" t="s">
        <v>30</v>
      </c>
    </row>
    <row r="33" spans="1:10" ht="25" customHeight="1" x14ac:dyDescent="0.35">
      <c r="A33" s="7">
        <v>44679</v>
      </c>
      <c r="B33" s="5" t="s">
        <v>9</v>
      </c>
      <c r="C33" s="5" t="s">
        <v>28</v>
      </c>
      <c r="D33" s="5" t="s">
        <v>31</v>
      </c>
    </row>
    <row r="34" spans="1:10" ht="25" customHeight="1" x14ac:dyDescent="0.35">
      <c r="A34" s="7">
        <v>44680</v>
      </c>
      <c r="B34" s="5" t="s">
        <v>10</v>
      </c>
      <c r="C34" s="5" t="s">
        <v>28</v>
      </c>
      <c r="D34" s="5" t="s">
        <v>32</v>
      </c>
    </row>
    <row r="35" spans="1:10" ht="25" customHeight="1" x14ac:dyDescent="0.35">
      <c r="A35" s="4">
        <v>44681</v>
      </c>
      <c r="B35" s="5" t="s">
        <v>11</v>
      </c>
      <c r="C35" s="5" t="s">
        <v>28</v>
      </c>
      <c r="D35" s="5" t="s">
        <v>33</v>
      </c>
    </row>
    <row r="36" spans="1:10" ht="25" customHeight="1" x14ac:dyDescent="0.35">
      <c r="A36" s="4">
        <v>44682</v>
      </c>
      <c r="B36" s="5" t="s">
        <v>12</v>
      </c>
      <c r="C36" s="5" t="s">
        <v>28</v>
      </c>
      <c r="D36" s="5" t="s">
        <v>34</v>
      </c>
    </row>
    <row r="37" spans="1:10" ht="25" customHeight="1" x14ac:dyDescent="0.35">
      <c r="A37" s="4">
        <v>44683</v>
      </c>
      <c r="B37" s="5" t="s">
        <v>4</v>
      </c>
      <c r="C37" s="5" t="s">
        <v>28</v>
      </c>
      <c r="D37" s="5" t="s">
        <v>35</v>
      </c>
    </row>
    <row r="38" spans="1:10" s="9" customFormat="1" ht="25" customHeight="1" x14ac:dyDescent="0.35">
      <c r="A38" s="4">
        <v>44684</v>
      </c>
      <c r="B38" s="5" t="s">
        <v>7</v>
      </c>
      <c r="C38" s="5" t="s">
        <v>28</v>
      </c>
      <c r="D38" s="6" t="s">
        <v>36</v>
      </c>
      <c r="E38"/>
      <c r="F38"/>
      <c r="G38"/>
      <c r="H38"/>
      <c r="I38"/>
      <c r="J38"/>
    </row>
    <row r="39" spans="1:10" ht="25" customHeight="1" x14ac:dyDescent="0.35">
      <c r="A39" s="4">
        <v>44685</v>
      </c>
      <c r="B39" s="5" t="s">
        <v>8</v>
      </c>
      <c r="C39" s="5" t="s">
        <v>28</v>
      </c>
      <c r="D39" s="5" t="s">
        <v>37</v>
      </c>
    </row>
    <row r="40" spans="1:10" ht="25" customHeight="1" x14ac:dyDescent="0.35">
      <c r="A40" s="4">
        <v>44686</v>
      </c>
      <c r="B40" s="5" t="s">
        <v>9</v>
      </c>
      <c r="C40" s="5" t="s">
        <v>28</v>
      </c>
      <c r="D40" s="5" t="s">
        <v>38</v>
      </c>
    </row>
    <row r="41" spans="1:10" ht="25" customHeight="1" x14ac:dyDescent="0.35">
      <c r="A41" s="4">
        <v>44687</v>
      </c>
      <c r="B41" s="5" t="s">
        <v>10</v>
      </c>
      <c r="C41" s="5" t="s">
        <v>28</v>
      </c>
      <c r="D41" s="5" t="s">
        <v>39</v>
      </c>
    </row>
    <row r="42" spans="1:10" ht="25" customHeight="1" x14ac:dyDescent="0.35">
      <c r="A42" s="4">
        <v>44688</v>
      </c>
      <c r="B42" s="5" t="s">
        <v>11</v>
      </c>
      <c r="C42" s="5" t="s">
        <v>28</v>
      </c>
      <c r="D42" s="5" t="s">
        <v>40</v>
      </c>
    </row>
    <row r="43" spans="1:10" ht="25" customHeight="1" x14ac:dyDescent="0.35">
      <c r="A43" s="4">
        <v>44689</v>
      </c>
      <c r="B43" s="5" t="s">
        <v>12</v>
      </c>
      <c r="C43" s="5" t="s">
        <v>28</v>
      </c>
      <c r="D43" s="5" t="s">
        <v>41</v>
      </c>
    </row>
    <row r="44" spans="1:10" s="11" customFormat="1" ht="25" customHeight="1" x14ac:dyDescent="0.35">
      <c r="A44" s="10">
        <v>44690</v>
      </c>
      <c r="B44" s="5" t="s">
        <v>4</v>
      </c>
      <c r="C44" s="5" t="s">
        <v>28</v>
      </c>
      <c r="D44" s="5" t="s">
        <v>35</v>
      </c>
      <c r="E44"/>
      <c r="F44"/>
      <c r="G44"/>
      <c r="H44"/>
      <c r="I44"/>
      <c r="J44"/>
    </row>
    <row r="45" spans="1:10" ht="25" customHeight="1" x14ac:dyDescent="0.35">
      <c r="A45" s="4">
        <v>44691</v>
      </c>
      <c r="B45" s="5" t="s">
        <v>7</v>
      </c>
      <c r="C45" s="5" t="s">
        <v>42</v>
      </c>
      <c r="D45" s="5" t="s">
        <v>43</v>
      </c>
    </row>
    <row r="46" spans="1:10" ht="25" customHeight="1" x14ac:dyDescent="0.35">
      <c r="A46" s="4">
        <v>44692</v>
      </c>
      <c r="B46" s="5" t="s">
        <v>8</v>
      </c>
      <c r="C46" s="5" t="s">
        <v>44</v>
      </c>
      <c r="D46" s="5" t="s">
        <v>45</v>
      </c>
    </row>
    <row r="47" spans="1:10" ht="25" customHeight="1" x14ac:dyDescent="0.35">
      <c r="A47" s="4">
        <v>44693</v>
      </c>
      <c r="B47" s="5" t="s">
        <v>9</v>
      </c>
      <c r="C47" s="5" t="s">
        <v>46</v>
      </c>
      <c r="D47" s="5" t="s">
        <v>47</v>
      </c>
    </row>
    <row r="48" spans="1:10" ht="25" customHeight="1" x14ac:dyDescent="0.35">
      <c r="A48" s="4">
        <v>44694</v>
      </c>
      <c r="B48" s="5" t="s">
        <v>10</v>
      </c>
      <c r="C48" s="5" t="s">
        <v>48</v>
      </c>
    </row>
    <row r="49" spans="1:4" ht="25" customHeight="1" x14ac:dyDescent="0.35">
      <c r="A49" s="4">
        <v>44695</v>
      </c>
      <c r="B49" s="5" t="s">
        <v>11</v>
      </c>
      <c r="C49" s="5" t="s">
        <v>46</v>
      </c>
    </row>
    <row r="50" spans="1:4" ht="25" customHeight="1" x14ac:dyDescent="0.35">
      <c r="A50" s="4">
        <v>44696</v>
      </c>
      <c r="B50" s="5" t="s">
        <v>12</v>
      </c>
      <c r="C50" s="5" t="s">
        <v>49</v>
      </c>
      <c r="D50" s="5" t="s">
        <v>50</v>
      </c>
    </row>
    <row r="51" spans="1:4" ht="25" customHeight="1" x14ac:dyDescent="0.35">
      <c r="A51" s="4">
        <v>44697</v>
      </c>
      <c r="B51" s="5" t="s">
        <v>4</v>
      </c>
      <c r="C51" s="5" t="s">
        <v>49</v>
      </c>
    </row>
    <row r="52" spans="1:4" ht="25" customHeight="1" x14ac:dyDescent="0.35">
      <c r="A52" s="4">
        <v>44698</v>
      </c>
      <c r="B52" s="5" t="s">
        <v>7</v>
      </c>
      <c r="C52" s="5" t="s">
        <v>49</v>
      </c>
    </row>
    <row r="53" spans="1:4" ht="25" customHeight="1" x14ac:dyDescent="0.35">
      <c r="A53" s="4">
        <v>44699</v>
      </c>
      <c r="B53" s="5" t="s">
        <v>8</v>
      </c>
      <c r="D53" s="5" t="s">
        <v>51</v>
      </c>
    </row>
    <row r="54" spans="1:4" ht="25" customHeight="1" x14ac:dyDescent="0.35">
      <c r="A54" s="4">
        <v>44700</v>
      </c>
      <c r="B54" s="5" t="s">
        <v>9</v>
      </c>
    </row>
    <row r="55" spans="1:4" ht="25" customHeight="1" x14ac:dyDescent="0.35">
      <c r="A55" s="4">
        <v>44701</v>
      </c>
      <c r="B55" s="5" t="s">
        <v>10</v>
      </c>
      <c r="C55" s="8" t="s">
        <v>52</v>
      </c>
    </row>
    <row r="56" spans="1:4" ht="25" customHeight="1" x14ac:dyDescent="0.35">
      <c r="A56" s="4">
        <v>44702</v>
      </c>
      <c r="B56" s="5" t="s">
        <v>11</v>
      </c>
    </row>
    <row r="57" spans="1:4" ht="25" customHeight="1" x14ac:dyDescent="0.35">
      <c r="A57" s="4">
        <v>44703</v>
      </c>
      <c r="B57" s="5" t="s">
        <v>12</v>
      </c>
    </row>
    <row r="58" spans="1:4" ht="25" customHeight="1" x14ac:dyDescent="0.35">
      <c r="A58" s="4">
        <v>44704</v>
      </c>
      <c r="B58" s="5" t="s">
        <v>4</v>
      </c>
    </row>
    <row r="59" spans="1:4" ht="25" customHeight="1" x14ac:dyDescent="0.35">
      <c r="A59" s="4">
        <v>44705</v>
      </c>
      <c r="B59" s="5" t="s">
        <v>7</v>
      </c>
    </row>
    <row r="60" spans="1:4" ht="25" customHeight="1" x14ac:dyDescent="0.35">
      <c r="A60" s="4">
        <v>44706</v>
      </c>
      <c r="B60" s="5" t="s">
        <v>8</v>
      </c>
      <c r="C60" s="5" t="s">
        <v>53</v>
      </c>
    </row>
    <row r="61" spans="1:4" ht="25" customHeight="1" x14ac:dyDescent="0.35">
      <c r="A61" s="4">
        <v>44707</v>
      </c>
      <c r="B61" s="5" t="s">
        <v>9</v>
      </c>
    </row>
    <row r="62" spans="1:4" ht="25" customHeight="1" x14ac:dyDescent="0.35">
      <c r="A62" s="4">
        <v>44708</v>
      </c>
      <c r="B62" s="5" t="s">
        <v>10</v>
      </c>
    </row>
    <row r="63" spans="1:4" ht="25" customHeight="1" x14ac:dyDescent="0.35">
      <c r="A63" s="4">
        <v>44709</v>
      </c>
      <c r="B63" s="5" t="s">
        <v>11</v>
      </c>
    </row>
    <row r="64" spans="1:4" ht="25" customHeight="1" x14ac:dyDescent="0.35">
      <c r="A64" s="4">
        <v>44710</v>
      </c>
      <c r="B64" s="5" t="s">
        <v>12</v>
      </c>
    </row>
    <row r="65" spans="1:4" ht="25" customHeight="1" x14ac:dyDescent="0.35">
      <c r="A65" s="4">
        <v>44711</v>
      </c>
      <c r="B65" s="5" t="s">
        <v>4</v>
      </c>
    </row>
    <row r="66" spans="1:4" ht="25" customHeight="1" x14ac:dyDescent="0.35">
      <c r="A66" s="4">
        <v>44712</v>
      </c>
      <c r="B66" s="5" t="s">
        <v>7</v>
      </c>
    </row>
    <row r="67" spans="1:4" ht="25" customHeight="1" x14ac:dyDescent="0.35">
      <c r="A67" s="4">
        <v>44713</v>
      </c>
      <c r="B67" s="5" t="s">
        <v>8</v>
      </c>
      <c r="C67" s="5" t="s">
        <v>21</v>
      </c>
      <c r="D67" s="5" t="s">
        <v>22</v>
      </c>
    </row>
    <row r="68" spans="1:4" ht="25" customHeight="1" x14ac:dyDescent="0.35">
      <c r="A68" s="4">
        <v>44714</v>
      </c>
      <c r="B68" s="5" t="s">
        <v>9</v>
      </c>
      <c r="C68" s="5" t="s">
        <v>23</v>
      </c>
      <c r="D68" s="6" t="s">
        <v>24</v>
      </c>
    </row>
    <row r="69" spans="1:4" ht="25" customHeight="1" x14ac:dyDescent="0.35">
      <c r="A69" s="4">
        <v>44715</v>
      </c>
      <c r="B69" s="5" t="s">
        <v>10</v>
      </c>
      <c r="C69" s="5" t="s">
        <v>25</v>
      </c>
      <c r="D69" s="5" t="s">
        <v>26</v>
      </c>
    </row>
    <row r="70" spans="1:4" ht="25" customHeight="1" x14ac:dyDescent="0.35">
      <c r="A70" s="4">
        <v>44716</v>
      </c>
      <c r="B70" s="5" t="s">
        <v>11</v>
      </c>
      <c r="C70" s="5" t="s">
        <v>25</v>
      </c>
      <c r="D70" s="5" t="s">
        <v>27</v>
      </c>
    </row>
    <row r="71" spans="1:4" ht="25" customHeight="1" x14ac:dyDescent="0.35">
      <c r="A71" s="4">
        <v>44717</v>
      </c>
      <c r="B71" s="5" t="s">
        <v>12</v>
      </c>
      <c r="C71" s="5" t="s">
        <v>28</v>
      </c>
      <c r="D71" s="6" t="s">
        <v>29</v>
      </c>
    </row>
    <row r="72" spans="1:4" ht="25" customHeight="1" x14ac:dyDescent="0.35">
      <c r="A72" s="4">
        <v>44718</v>
      </c>
      <c r="B72" s="5" t="s">
        <v>4</v>
      </c>
      <c r="C72" s="5" t="s">
        <v>28</v>
      </c>
      <c r="D72" s="5" t="s">
        <v>37</v>
      </c>
    </row>
    <row r="73" spans="1:4" ht="25" customHeight="1" x14ac:dyDescent="0.35">
      <c r="A73" s="4">
        <v>44719</v>
      </c>
      <c r="B73" s="5" t="s">
        <v>7</v>
      </c>
      <c r="C73" s="5" t="s">
        <v>28</v>
      </c>
      <c r="D73" s="5" t="s">
        <v>54</v>
      </c>
    </row>
    <row r="74" spans="1:4" ht="25" customHeight="1" x14ac:dyDescent="0.35">
      <c r="A74" s="4">
        <v>44720</v>
      </c>
      <c r="B74" s="5" t="s">
        <v>8</v>
      </c>
      <c r="C74" s="5" t="s">
        <v>28</v>
      </c>
      <c r="D74" s="5" t="s">
        <v>55</v>
      </c>
    </row>
    <row r="75" spans="1:4" ht="25" customHeight="1" x14ac:dyDescent="0.35">
      <c r="A75" s="4">
        <v>44721</v>
      </c>
      <c r="B75" s="5" t="s">
        <v>9</v>
      </c>
      <c r="C75" s="5" t="s">
        <v>28</v>
      </c>
      <c r="D75" s="5" t="s">
        <v>33</v>
      </c>
    </row>
    <row r="76" spans="1:4" ht="25" customHeight="1" x14ac:dyDescent="0.35">
      <c r="A76" s="4">
        <v>44722</v>
      </c>
      <c r="B76" s="5" t="s">
        <v>10</v>
      </c>
      <c r="C76" s="5" t="s">
        <v>28</v>
      </c>
      <c r="D76" s="5" t="s">
        <v>34</v>
      </c>
    </row>
    <row r="77" spans="1:4" ht="25" customHeight="1" x14ac:dyDescent="0.35">
      <c r="A77" s="4">
        <v>44723</v>
      </c>
      <c r="B77" s="5" t="s">
        <v>11</v>
      </c>
      <c r="C77" s="5" t="s">
        <v>28</v>
      </c>
      <c r="D77" s="5" t="s">
        <v>35</v>
      </c>
    </row>
    <row r="78" spans="1:4" ht="25" customHeight="1" x14ac:dyDescent="0.35">
      <c r="A78" s="4">
        <v>44724</v>
      </c>
      <c r="B78" s="5" t="s">
        <v>12</v>
      </c>
      <c r="C78" s="5" t="s">
        <v>28</v>
      </c>
      <c r="D78" s="6" t="s">
        <v>36</v>
      </c>
    </row>
    <row r="79" spans="1:4" ht="25" customHeight="1" x14ac:dyDescent="0.35">
      <c r="A79" s="4">
        <v>44725</v>
      </c>
      <c r="B79" s="5" t="s">
        <v>4</v>
      </c>
      <c r="C79" s="5" t="s">
        <v>28</v>
      </c>
      <c r="D79" s="5" t="s">
        <v>37</v>
      </c>
    </row>
    <row r="80" spans="1:4" ht="25" customHeight="1" x14ac:dyDescent="0.35">
      <c r="A80" s="4">
        <v>44726</v>
      </c>
      <c r="B80" s="5" t="s">
        <v>7</v>
      </c>
      <c r="C80" s="5" t="s">
        <v>28</v>
      </c>
      <c r="D80" s="5" t="s">
        <v>38</v>
      </c>
    </row>
    <row r="81" spans="1:4" ht="25" customHeight="1" x14ac:dyDescent="0.35">
      <c r="A81" s="4">
        <v>44727</v>
      </c>
      <c r="B81" s="5" t="s">
        <v>8</v>
      </c>
      <c r="C81" s="5" t="s">
        <v>28</v>
      </c>
      <c r="D81" s="5" t="s">
        <v>39</v>
      </c>
    </row>
    <row r="82" spans="1:4" ht="25" customHeight="1" x14ac:dyDescent="0.35">
      <c r="A82" s="4">
        <v>44728</v>
      </c>
      <c r="B82" s="5" t="s">
        <v>9</v>
      </c>
      <c r="C82" s="5" t="s">
        <v>28</v>
      </c>
      <c r="D82" s="5" t="s">
        <v>40</v>
      </c>
    </row>
    <row r="83" spans="1:4" ht="25" customHeight="1" x14ac:dyDescent="0.35">
      <c r="A83" s="4">
        <v>44729</v>
      </c>
      <c r="B83" s="5" t="s">
        <v>10</v>
      </c>
      <c r="C83" s="5" t="s">
        <v>28</v>
      </c>
      <c r="D83" s="5" t="s">
        <v>41</v>
      </c>
    </row>
    <row r="84" spans="1:4" ht="25" customHeight="1" x14ac:dyDescent="0.35">
      <c r="A84" s="4">
        <v>44730</v>
      </c>
      <c r="B84" s="5" t="s">
        <v>11</v>
      </c>
      <c r="C84" s="5" t="s">
        <v>28</v>
      </c>
      <c r="D84" s="5" t="s">
        <v>35</v>
      </c>
    </row>
    <row r="85" spans="1:4" ht="25" customHeight="1" x14ac:dyDescent="0.35">
      <c r="A85" s="4">
        <v>44731</v>
      </c>
      <c r="B85" s="5" t="s">
        <v>12</v>
      </c>
      <c r="C85" s="5" t="s">
        <v>42</v>
      </c>
      <c r="D85" s="5" t="s">
        <v>43</v>
      </c>
    </row>
    <row r="86" spans="1:4" ht="25" customHeight="1" x14ac:dyDescent="0.35">
      <c r="A86" s="4">
        <v>44732</v>
      </c>
      <c r="B86" s="5" t="s">
        <v>4</v>
      </c>
      <c r="C86" s="5" t="s">
        <v>44</v>
      </c>
      <c r="D86" s="5" t="s">
        <v>45</v>
      </c>
    </row>
    <row r="87" spans="1:4" ht="25" customHeight="1" x14ac:dyDescent="0.35">
      <c r="A87" s="4">
        <v>44733</v>
      </c>
      <c r="B87" s="5" t="s">
        <v>7</v>
      </c>
      <c r="C87" s="5" t="s">
        <v>46</v>
      </c>
      <c r="D87" s="5" t="s">
        <v>47</v>
      </c>
    </row>
    <row r="88" spans="1:4" ht="25" customHeight="1" x14ac:dyDescent="0.35">
      <c r="A88" s="4">
        <v>44734</v>
      </c>
      <c r="B88" s="5" t="s">
        <v>8</v>
      </c>
      <c r="C88" s="5" t="s">
        <v>48</v>
      </c>
    </row>
    <row r="89" spans="1:4" ht="25" customHeight="1" x14ac:dyDescent="0.35">
      <c r="A89" s="4">
        <v>44735</v>
      </c>
      <c r="B89" s="5" t="s">
        <v>9</v>
      </c>
      <c r="C89" s="5" t="s">
        <v>46</v>
      </c>
    </row>
    <row r="90" spans="1:4" ht="25" customHeight="1" x14ac:dyDescent="0.35">
      <c r="A90" s="4">
        <v>44736</v>
      </c>
      <c r="B90" s="5" t="s">
        <v>10</v>
      </c>
      <c r="C90" s="5" t="s">
        <v>49</v>
      </c>
      <c r="D90" s="5" t="s">
        <v>50</v>
      </c>
    </row>
    <row r="91" spans="1:4" ht="25" customHeight="1" x14ac:dyDescent="0.35">
      <c r="A91" s="4">
        <v>44737</v>
      </c>
      <c r="B91" s="5" t="s">
        <v>11</v>
      </c>
      <c r="C91" s="5" t="s">
        <v>49</v>
      </c>
    </row>
    <row r="92" spans="1:4" ht="25" customHeight="1" x14ac:dyDescent="0.35">
      <c r="A92" s="4">
        <v>44738</v>
      </c>
      <c r="B92" s="5" t="s">
        <v>12</v>
      </c>
      <c r="C92" s="5" t="s">
        <v>49</v>
      </c>
    </row>
    <row r="93" spans="1:4" ht="25" customHeight="1" x14ac:dyDescent="0.35">
      <c r="A93" s="4">
        <v>44739</v>
      </c>
      <c r="B93" s="5" t="s">
        <v>4</v>
      </c>
      <c r="D93" s="5" t="s">
        <v>51</v>
      </c>
    </row>
    <row r="94" spans="1:4" ht="25" customHeight="1" x14ac:dyDescent="0.35">
      <c r="A94" s="4">
        <v>44740</v>
      </c>
      <c r="B94" s="5" t="s">
        <v>7</v>
      </c>
    </row>
    <row r="95" spans="1:4" ht="25" customHeight="1" x14ac:dyDescent="0.35">
      <c r="A95" s="4">
        <v>44741</v>
      </c>
      <c r="B95" s="5" t="s">
        <v>8</v>
      </c>
    </row>
    <row r="96" spans="1:4" ht="25" customHeight="1" x14ac:dyDescent="0.35">
      <c r="A96" s="4">
        <v>44742</v>
      </c>
      <c r="B96" s="5" t="s">
        <v>9</v>
      </c>
    </row>
    <row r="97" spans="1:2" ht="25" customHeight="1" x14ac:dyDescent="0.35">
      <c r="A97" s="4">
        <v>44743</v>
      </c>
      <c r="B97" s="5" t="s">
        <v>10</v>
      </c>
    </row>
    <row r="98" spans="1:2" ht="25" customHeight="1" x14ac:dyDescent="0.35">
      <c r="A98" s="4">
        <v>44744</v>
      </c>
      <c r="B98" s="5" t="s">
        <v>11</v>
      </c>
    </row>
    <row r="99" spans="1:2" ht="25" customHeight="1" x14ac:dyDescent="0.35">
      <c r="A99" s="4">
        <v>44745</v>
      </c>
      <c r="B99" s="5" t="s">
        <v>12</v>
      </c>
    </row>
    <row r="100" spans="1:2" ht="25" customHeight="1" x14ac:dyDescent="0.35">
      <c r="A100" s="4">
        <v>44746</v>
      </c>
      <c r="B100" s="5" t="s">
        <v>4</v>
      </c>
    </row>
    <row r="101" spans="1:2" ht="25" customHeight="1" x14ac:dyDescent="0.35">
      <c r="A101" s="4">
        <v>44747</v>
      </c>
      <c r="B101" s="5" t="s">
        <v>7</v>
      </c>
    </row>
    <row r="102" spans="1:2" ht="25" customHeight="1" x14ac:dyDescent="0.35">
      <c r="A102" s="4">
        <v>44748</v>
      </c>
      <c r="B102" s="5" t="s">
        <v>8</v>
      </c>
    </row>
    <row r="103" spans="1:2" ht="25" customHeight="1" x14ac:dyDescent="0.35">
      <c r="A103" s="4">
        <v>44749</v>
      </c>
      <c r="B103" s="5" t="s">
        <v>9</v>
      </c>
    </row>
    <row r="104" spans="1:2" ht="25" customHeight="1" x14ac:dyDescent="0.35">
      <c r="A104" s="4">
        <v>44750</v>
      </c>
      <c r="B104" s="5" t="s">
        <v>10</v>
      </c>
    </row>
    <row r="105" spans="1:2" ht="25" customHeight="1" x14ac:dyDescent="0.35">
      <c r="A105" s="4">
        <v>44751</v>
      </c>
      <c r="B105" s="5" t="s">
        <v>11</v>
      </c>
    </row>
    <row r="106" spans="1:2" ht="25" customHeight="1" x14ac:dyDescent="0.35">
      <c r="A106" s="4">
        <v>44752</v>
      </c>
      <c r="B106" s="5" t="s">
        <v>12</v>
      </c>
    </row>
    <row r="107" spans="1:2" ht="25" customHeight="1" x14ac:dyDescent="0.35">
      <c r="A107" s="4">
        <v>44753</v>
      </c>
      <c r="B107" s="5" t="s">
        <v>4</v>
      </c>
    </row>
    <row r="108" spans="1:2" ht="25" customHeight="1" x14ac:dyDescent="0.35">
      <c r="A108" s="4">
        <v>44754</v>
      </c>
      <c r="B108" s="5" t="s">
        <v>7</v>
      </c>
    </row>
    <row r="109" spans="1:2" ht="25" customHeight="1" x14ac:dyDescent="0.35">
      <c r="A109" s="4">
        <v>44755</v>
      </c>
      <c r="B109" s="5" t="s">
        <v>8</v>
      </c>
    </row>
    <row r="110" spans="1:2" ht="25" customHeight="1" x14ac:dyDescent="0.35">
      <c r="A110" s="4">
        <v>44756</v>
      </c>
      <c r="B110" s="5" t="s">
        <v>9</v>
      </c>
    </row>
    <row r="111" spans="1:2" ht="25" customHeight="1" x14ac:dyDescent="0.35">
      <c r="A111" s="4">
        <v>44757</v>
      </c>
      <c r="B111" s="5" t="s">
        <v>10</v>
      </c>
    </row>
    <row r="112" spans="1:2" ht="25" customHeight="1" x14ac:dyDescent="0.35">
      <c r="A112" s="4">
        <v>44758</v>
      </c>
      <c r="B112" s="5" t="s">
        <v>11</v>
      </c>
    </row>
    <row r="113" spans="1:2" ht="25" customHeight="1" x14ac:dyDescent="0.35">
      <c r="A113" s="4">
        <v>44759</v>
      </c>
      <c r="B113" s="5" t="s">
        <v>12</v>
      </c>
    </row>
    <row r="114" spans="1:2" ht="25" customHeight="1" x14ac:dyDescent="0.35">
      <c r="A114" s="4">
        <v>44760</v>
      </c>
      <c r="B114" s="5" t="s">
        <v>4</v>
      </c>
    </row>
    <row r="115" spans="1:2" ht="25" customHeight="1" x14ac:dyDescent="0.35">
      <c r="A115" s="4">
        <v>44761</v>
      </c>
      <c r="B115" s="5" t="s">
        <v>7</v>
      </c>
    </row>
    <row r="116" spans="1:2" ht="25" customHeight="1" x14ac:dyDescent="0.35">
      <c r="A116" s="4">
        <v>44762</v>
      </c>
      <c r="B116" s="5" t="s">
        <v>8</v>
      </c>
    </row>
    <row r="117" spans="1:2" ht="25" customHeight="1" x14ac:dyDescent="0.35">
      <c r="A117" s="4">
        <v>44763</v>
      </c>
      <c r="B117" s="5" t="s">
        <v>9</v>
      </c>
    </row>
    <row r="118" spans="1:2" ht="25" customHeight="1" x14ac:dyDescent="0.35">
      <c r="A118" s="4">
        <v>44764</v>
      </c>
      <c r="B118" s="5" t="s">
        <v>10</v>
      </c>
    </row>
    <row r="119" spans="1:2" ht="25" customHeight="1" x14ac:dyDescent="0.35">
      <c r="A119" s="4">
        <v>44765</v>
      </c>
      <c r="B119" s="5" t="s">
        <v>11</v>
      </c>
    </row>
    <row r="120" spans="1:2" ht="25" customHeight="1" x14ac:dyDescent="0.35">
      <c r="A120" s="4">
        <v>44766</v>
      </c>
      <c r="B120" s="5" t="s">
        <v>12</v>
      </c>
    </row>
    <row r="121" spans="1:2" ht="25" customHeight="1" x14ac:dyDescent="0.35">
      <c r="A121" s="4">
        <v>44767</v>
      </c>
      <c r="B121" s="5" t="s">
        <v>4</v>
      </c>
    </row>
  </sheetData>
  <phoneticPr fontId="1" type="noConversion"/>
  <conditionalFormatting sqref="C31:C37">
    <cfRule type="colorScale" priority="5">
      <colorScale>
        <cfvo type="min"/>
        <cfvo type="percentile" val="50"/>
        <cfvo type="max"/>
        <color rgb="FFF8696B"/>
        <color rgb="FFFFEB84"/>
        <color rgb="FF63BE7B"/>
      </colorScale>
    </cfRule>
  </conditionalFormatting>
  <conditionalFormatting sqref="C71:C77">
    <cfRule type="colorScale" priority="1">
      <colorScale>
        <cfvo type="min"/>
        <cfvo type="percentile" val="50"/>
        <cfvo type="max"/>
        <color rgb="FFF8696B"/>
        <color rgb="FFFFEB84"/>
        <color rgb="FF63BE7B"/>
      </colorScale>
    </cfRule>
  </conditionalFormatting>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A15D6C-591A-458B-BBA6-38A881AB8267}">
  <dimension ref="A1:K32"/>
  <sheetViews>
    <sheetView topLeftCell="A11" workbookViewId="0">
      <selection activeCell="K3" sqref="K3:K28"/>
    </sheetView>
  </sheetViews>
  <sheetFormatPr defaultColWidth="20.54296875" defaultRowHeight="20.149999999999999" customHeight="1" x14ac:dyDescent="0.35"/>
  <sheetData>
    <row r="1" spans="1:11" ht="30" customHeight="1" x14ac:dyDescent="0.35">
      <c r="A1" s="13" t="s">
        <v>56</v>
      </c>
      <c r="B1" s="12"/>
      <c r="C1" s="12"/>
      <c r="D1" s="5"/>
      <c r="E1" s="12"/>
      <c r="F1" s="12"/>
      <c r="G1" s="12"/>
      <c r="H1" s="12"/>
      <c r="I1" s="12"/>
      <c r="J1" s="5"/>
    </row>
    <row r="2" spans="1:11" ht="30" customHeight="1" x14ac:dyDescent="0.35">
      <c r="A2" s="13" t="s">
        <v>57</v>
      </c>
      <c r="B2" s="14" t="s">
        <v>58</v>
      </c>
      <c r="C2" s="14" t="s">
        <v>0</v>
      </c>
      <c r="D2" s="14" t="s">
        <v>1</v>
      </c>
      <c r="E2" s="14" t="s">
        <v>59</v>
      </c>
      <c r="F2" s="14" t="s">
        <v>60</v>
      </c>
      <c r="G2" s="14"/>
      <c r="H2" s="14" t="s">
        <v>61</v>
      </c>
      <c r="I2" s="14" t="s">
        <v>62</v>
      </c>
      <c r="J2" s="5"/>
      <c r="K2" s="35" t="s">
        <v>63</v>
      </c>
    </row>
    <row r="3" spans="1:11" ht="30" customHeight="1" x14ac:dyDescent="0.35">
      <c r="A3" s="18" t="s">
        <v>64</v>
      </c>
      <c r="B3" s="24" t="s">
        <v>65</v>
      </c>
      <c r="C3" s="17">
        <v>44674</v>
      </c>
      <c r="D3" s="15">
        <v>0</v>
      </c>
      <c r="E3" s="15">
        <v>25.6</v>
      </c>
      <c r="F3" s="15"/>
      <c r="G3" s="15"/>
      <c r="H3" s="15"/>
      <c r="I3" s="15"/>
    </row>
    <row r="4" spans="1:11" ht="30" customHeight="1" x14ac:dyDescent="0.35">
      <c r="A4" s="19" t="s">
        <v>66</v>
      </c>
      <c r="B4" s="25" t="s">
        <v>65</v>
      </c>
      <c r="C4" s="17">
        <v>44675</v>
      </c>
      <c r="D4" s="15">
        <v>1</v>
      </c>
      <c r="E4" s="15">
        <v>26.7</v>
      </c>
      <c r="F4" s="15">
        <f>(E4/E3)*100</f>
        <v>104.296875</v>
      </c>
      <c r="G4" s="15"/>
      <c r="H4" s="15">
        <v>374</v>
      </c>
      <c r="I4" s="15">
        <f>(H4*20)/1000</f>
        <v>7.48</v>
      </c>
    </row>
    <row r="5" spans="1:11" ht="30" customHeight="1" x14ac:dyDescent="0.35">
      <c r="A5" s="19" t="s">
        <v>66</v>
      </c>
      <c r="B5" s="26" t="s">
        <v>65</v>
      </c>
      <c r="C5" s="17">
        <v>44676</v>
      </c>
      <c r="D5" s="15">
        <v>2</v>
      </c>
      <c r="E5" s="15">
        <v>26.4</v>
      </c>
      <c r="F5" s="15">
        <f>(E5/E3)*100</f>
        <v>103.12499999999997</v>
      </c>
      <c r="G5" s="15"/>
      <c r="H5" s="15">
        <f>(632-374)</f>
        <v>258</v>
      </c>
      <c r="I5" s="15">
        <f>(H5*20)/1000</f>
        <v>5.16</v>
      </c>
    </row>
    <row r="6" spans="1:11" ht="30" customHeight="1" x14ac:dyDescent="0.35">
      <c r="A6" s="20" t="s">
        <v>67</v>
      </c>
      <c r="B6" s="25" t="s">
        <v>65</v>
      </c>
      <c r="C6" s="17">
        <v>44677</v>
      </c>
      <c r="D6" s="15">
        <v>3</v>
      </c>
      <c r="E6" s="15">
        <v>26.6</v>
      </c>
      <c r="F6" s="15">
        <f>(E6/E3)*100</f>
        <v>103.90625</v>
      </c>
      <c r="G6" s="15"/>
      <c r="H6" s="15">
        <f>(824-632)</f>
        <v>192</v>
      </c>
      <c r="I6" s="15">
        <f t="shared" ref="I6:I22" si="0">(H6*20)/1000</f>
        <v>3.84</v>
      </c>
    </row>
    <row r="7" spans="1:11" ht="30" customHeight="1" x14ac:dyDescent="0.35">
      <c r="A7" s="21" t="s">
        <v>67</v>
      </c>
      <c r="B7" s="27" t="s">
        <v>65</v>
      </c>
      <c r="C7" s="17">
        <v>44678</v>
      </c>
      <c r="D7" s="15">
        <v>4</v>
      </c>
      <c r="E7" s="15">
        <v>25.4</v>
      </c>
      <c r="F7" s="15">
        <f>(E7/E3)*100</f>
        <v>99.218749999999986</v>
      </c>
      <c r="G7" s="15"/>
      <c r="H7" s="15">
        <v>168</v>
      </c>
      <c r="I7" s="15">
        <f t="shared" si="0"/>
        <v>3.36</v>
      </c>
    </row>
    <row r="8" spans="1:11" ht="30" customHeight="1" x14ac:dyDescent="0.35">
      <c r="A8" s="21" t="s">
        <v>67</v>
      </c>
      <c r="B8" s="25" t="s">
        <v>65</v>
      </c>
      <c r="C8" s="17">
        <v>44679</v>
      </c>
      <c r="D8" s="15">
        <v>5</v>
      </c>
      <c r="E8" s="15">
        <v>25.5</v>
      </c>
      <c r="F8" s="15">
        <f>(E8/E3)*100</f>
        <v>99.609375</v>
      </c>
      <c r="G8" s="15"/>
      <c r="H8" s="15">
        <f>(318-168)</f>
        <v>150</v>
      </c>
      <c r="I8" s="15">
        <f t="shared" si="0"/>
        <v>3</v>
      </c>
    </row>
    <row r="9" spans="1:11" ht="30" customHeight="1" x14ac:dyDescent="0.35">
      <c r="A9" s="21" t="s">
        <v>67</v>
      </c>
      <c r="B9" s="26" t="s">
        <v>65</v>
      </c>
      <c r="C9" s="17">
        <v>44680</v>
      </c>
      <c r="D9" s="15">
        <v>6</v>
      </c>
      <c r="E9" s="15">
        <v>24.9</v>
      </c>
      <c r="F9" s="15">
        <f>(E9/E3)*100</f>
        <v>97.265624999999986</v>
      </c>
      <c r="G9" s="15"/>
      <c r="H9" s="15">
        <f>(495-318)</f>
        <v>177</v>
      </c>
      <c r="I9" s="15">
        <f t="shared" si="0"/>
        <v>3.54</v>
      </c>
    </row>
    <row r="10" spans="1:11" ht="30" customHeight="1" x14ac:dyDescent="0.35">
      <c r="A10" s="21" t="s">
        <v>67</v>
      </c>
      <c r="B10" s="25" t="s">
        <v>65</v>
      </c>
      <c r="C10" s="17">
        <v>44681</v>
      </c>
      <c r="D10" s="15">
        <v>7</v>
      </c>
      <c r="E10" s="15">
        <v>24.8</v>
      </c>
      <c r="F10" s="15">
        <f>(E10/E3)*100</f>
        <v>96.875</v>
      </c>
      <c r="G10" s="15"/>
      <c r="H10" s="15">
        <f>(685-495)</f>
        <v>190</v>
      </c>
      <c r="I10" s="15">
        <f t="shared" si="0"/>
        <v>3.8</v>
      </c>
    </row>
    <row r="11" spans="1:11" ht="30" customHeight="1" x14ac:dyDescent="0.35">
      <c r="A11" s="21" t="s">
        <v>67</v>
      </c>
      <c r="B11" s="26" t="s">
        <v>65</v>
      </c>
      <c r="C11" s="17">
        <v>44682</v>
      </c>
      <c r="D11" s="15">
        <v>8</v>
      </c>
      <c r="E11" s="15">
        <v>25.3</v>
      </c>
      <c r="F11" s="15">
        <f>(E11/E3)*100</f>
        <v>98.828125</v>
      </c>
      <c r="G11" s="15"/>
      <c r="H11" s="15">
        <f>(894-685)</f>
        <v>209</v>
      </c>
      <c r="I11" s="15">
        <f t="shared" si="0"/>
        <v>4.18</v>
      </c>
    </row>
    <row r="12" spans="1:11" ht="30" customHeight="1" x14ac:dyDescent="0.35">
      <c r="A12" s="21" t="s">
        <v>67</v>
      </c>
      <c r="B12" s="25" t="s">
        <v>65</v>
      </c>
      <c r="C12" s="17">
        <v>44683</v>
      </c>
      <c r="D12" s="15">
        <v>9</v>
      </c>
      <c r="E12" s="15">
        <v>25.1</v>
      </c>
      <c r="F12" s="15">
        <f>(E12/E3)*100</f>
        <v>98.046875</v>
      </c>
      <c r="G12" s="15"/>
      <c r="H12" s="34">
        <f>(234-12)</f>
        <v>222</v>
      </c>
      <c r="I12" s="15">
        <f t="shared" si="0"/>
        <v>4.4400000000000004</v>
      </c>
      <c r="K12">
        <v>12</v>
      </c>
    </row>
    <row r="13" spans="1:11" ht="30" customHeight="1" x14ac:dyDescent="0.35">
      <c r="A13" s="22" t="s">
        <v>68</v>
      </c>
      <c r="B13" s="26" t="s">
        <v>65</v>
      </c>
      <c r="C13" s="17">
        <v>44684</v>
      </c>
      <c r="D13" s="15">
        <v>10</v>
      </c>
      <c r="E13" s="15">
        <v>25.7</v>
      </c>
      <c r="F13" s="15">
        <f>(E13/E3)*100</f>
        <v>100.390625</v>
      </c>
      <c r="G13" s="15"/>
      <c r="H13" s="34">
        <f>(256-10)</f>
        <v>246</v>
      </c>
      <c r="I13" s="15">
        <f t="shared" si="0"/>
        <v>4.92</v>
      </c>
      <c r="K13">
        <v>10</v>
      </c>
    </row>
    <row r="14" spans="1:11" ht="30" customHeight="1" x14ac:dyDescent="0.35">
      <c r="A14" s="22" t="s">
        <v>68</v>
      </c>
      <c r="B14" s="25" t="s">
        <v>65</v>
      </c>
      <c r="C14" s="17">
        <v>44685</v>
      </c>
      <c r="D14" s="15">
        <v>11</v>
      </c>
      <c r="E14" s="15">
        <v>26.7</v>
      </c>
      <c r="F14" s="15">
        <f>(E14/E3)*100</f>
        <v>104.296875</v>
      </c>
      <c r="G14" s="15"/>
      <c r="H14" s="34">
        <v>263</v>
      </c>
      <c r="I14" s="15">
        <f t="shared" si="0"/>
        <v>5.26</v>
      </c>
      <c r="K14">
        <v>5</v>
      </c>
    </row>
    <row r="15" spans="1:11" ht="30" customHeight="1" x14ac:dyDescent="0.35">
      <c r="A15" s="22" t="s">
        <v>68</v>
      </c>
      <c r="B15" s="26" t="s">
        <v>65</v>
      </c>
      <c r="C15" s="17">
        <v>44686</v>
      </c>
      <c r="D15" s="15">
        <v>12</v>
      </c>
      <c r="E15" s="15">
        <v>26.7</v>
      </c>
      <c r="F15" s="15">
        <f>(E15/E3)*100</f>
        <v>104.296875</v>
      </c>
      <c r="G15" s="15"/>
      <c r="H15" s="34">
        <f>(229-17)</f>
        <v>212</v>
      </c>
      <c r="I15" s="15">
        <f t="shared" si="0"/>
        <v>4.24</v>
      </c>
      <c r="K15">
        <v>17</v>
      </c>
    </row>
    <row r="16" spans="1:11" ht="30" customHeight="1" x14ac:dyDescent="0.35">
      <c r="A16" s="22" t="s">
        <v>68</v>
      </c>
      <c r="B16" s="25" t="s">
        <v>65</v>
      </c>
      <c r="C16" s="17">
        <v>44687</v>
      </c>
      <c r="D16" s="15">
        <v>13</v>
      </c>
      <c r="E16" s="15">
        <v>24.9</v>
      </c>
      <c r="F16" s="15">
        <f>(E16/E3)*100</f>
        <v>97.265624999999986</v>
      </c>
      <c r="G16" s="15"/>
      <c r="H16" s="34">
        <f>218-10</f>
        <v>208</v>
      </c>
      <c r="I16" s="15">
        <f t="shared" si="0"/>
        <v>4.16</v>
      </c>
      <c r="K16">
        <v>10</v>
      </c>
    </row>
    <row r="17" spans="1:11" ht="30" customHeight="1" x14ac:dyDescent="0.35">
      <c r="A17" s="22" t="s">
        <v>68</v>
      </c>
      <c r="B17" s="26" t="s">
        <v>65</v>
      </c>
      <c r="C17" s="17">
        <v>44688</v>
      </c>
      <c r="D17" s="15">
        <v>14</v>
      </c>
      <c r="E17" s="15">
        <v>26.4</v>
      </c>
      <c r="F17" s="15">
        <f>(E17/E3)*100</f>
        <v>103.12499999999997</v>
      </c>
      <c r="G17" s="15"/>
      <c r="H17" s="34">
        <f>220-10</f>
        <v>210</v>
      </c>
      <c r="I17" s="15">
        <f t="shared" si="0"/>
        <v>4.2</v>
      </c>
      <c r="K17">
        <v>10</v>
      </c>
    </row>
    <row r="18" spans="1:11" ht="30" customHeight="1" x14ac:dyDescent="0.35">
      <c r="A18" s="22" t="s">
        <v>68</v>
      </c>
      <c r="B18" s="25" t="s">
        <v>65</v>
      </c>
      <c r="C18" s="17">
        <v>44689</v>
      </c>
      <c r="D18" s="15">
        <v>15</v>
      </c>
      <c r="E18" s="15">
        <v>26.9</v>
      </c>
      <c r="F18" s="15">
        <f>(E18/E3)*100</f>
        <v>105.07812499999997</v>
      </c>
      <c r="G18" s="15"/>
      <c r="H18" s="34">
        <f>232-11</f>
        <v>221</v>
      </c>
      <c r="I18" s="15">
        <f t="shared" si="0"/>
        <v>4.42</v>
      </c>
      <c r="K18">
        <v>11</v>
      </c>
    </row>
    <row r="19" spans="1:11" ht="30" customHeight="1" x14ac:dyDescent="0.35">
      <c r="A19" s="22" t="s">
        <v>68</v>
      </c>
      <c r="B19" s="26" t="s">
        <v>65</v>
      </c>
      <c r="C19" s="17">
        <v>44690</v>
      </c>
      <c r="D19" s="15">
        <v>16</v>
      </c>
      <c r="E19" s="15">
        <v>26.1</v>
      </c>
      <c r="F19" s="15">
        <f>(E19/E3)*100</f>
        <v>101.953125</v>
      </c>
      <c r="G19" s="15"/>
      <c r="H19" s="34">
        <f>229-8</f>
        <v>221</v>
      </c>
      <c r="I19" s="15">
        <f t="shared" si="0"/>
        <v>4.42</v>
      </c>
      <c r="K19">
        <v>8</v>
      </c>
    </row>
    <row r="20" spans="1:11" ht="30" customHeight="1" x14ac:dyDescent="0.35">
      <c r="A20" s="22" t="s">
        <v>69</v>
      </c>
      <c r="B20" s="25" t="s">
        <v>65</v>
      </c>
      <c r="C20" s="17">
        <v>44691</v>
      </c>
      <c r="D20" s="15">
        <v>17</v>
      </c>
      <c r="E20" s="15">
        <v>27.2</v>
      </c>
      <c r="F20" s="15">
        <f>(E20/E3)*100</f>
        <v>106.25</v>
      </c>
      <c r="G20" s="15"/>
      <c r="H20" s="34">
        <f>(1606-1396)-3</f>
        <v>207</v>
      </c>
      <c r="I20" s="15">
        <f t="shared" si="0"/>
        <v>4.1399999999999997</v>
      </c>
      <c r="K20">
        <v>3</v>
      </c>
    </row>
    <row r="21" spans="1:11" ht="30" customHeight="1" x14ac:dyDescent="0.35">
      <c r="A21" s="22" t="s">
        <v>70</v>
      </c>
      <c r="B21" s="26" t="s">
        <v>65</v>
      </c>
      <c r="C21" s="17">
        <v>44692</v>
      </c>
      <c r="D21" s="15">
        <v>18</v>
      </c>
      <c r="E21" s="15">
        <v>27.2</v>
      </c>
      <c r="F21" s="15">
        <f>(E21/E3)*100</f>
        <v>106.25</v>
      </c>
      <c r="G21" s="15"/>
      <c r="H21" s="15">
        <v>159</v>
      </c>
      <c r="I21" s="15">
        <f t="shared" si="0"/>
        <v>3.18</v>
      </c>
    </row>
    <row r="22" spans="1:11" ht="30" customHeight="1" x14ac:dyDescent="0.35">
      <c r="A22" s="22" t="s">
        <v>71</v>
      </c>
      <c r="B22" s="28" t="s">
        <v>72</v>
      </c>
      <c r="C22" s="17">
        <v>44693</v>
      </c>
      <c r="D22" s="15">
        <v>19</v>
      </c>
      <c r="E22" s="15">
        <v>28.1</v>
      </c>
      <c r="F22" s="15">
        <f>(E22/E3)*100</f>
        <v>109.765625</v>
      </c>
      <c r="G22" s="15"/>
      <c r="H22" s="15">
        <v>188</v>
      </c>
      <c r="I22" s="15">
        <f t="shared" si="0"/>
        <v>3.76</v>
      </c>
    </row>
    <row r="23" spans="1:11" ht="30" customHeight="1" x14ac:dyDescent="0.35">
      <c r="A23" s="22" t="s">
        <v>71</v>
      </c>
      <c r="B23" s="28" t="s">
        <v>72</v>
      </c>
      <c r="C23" s="17">
        <v>44694</v>
      </c>
      <c r="D23" s="15">
        <v>20</v>
      </c>
      <c r="E23" s="15">
        <v>29.3</v>
      </c>
      <c r="F23" s="15">
        <f>(E23/E3)*100</f>
        <v>114.453125</v>
      </c>
      <c r="G23" s="47"/>
      <c r="H23" s="52"/>
      <c r="I23" s="15">
        <f t="shared" ref="I23:I28" si="1">(H23*20)/1000</f>
        <v>0</v>
      </c>
      <c r="J23">
        <f t="shared" ref="J23:J28" si="2">(G23*20)/1000</f>
        <v>0</v>
      </c>
    </row>
    <row r="24" spans="1:11" ht="30" customHeight="1" x14ac:dyDescent="0.35">
      <c r="A24" s="22" t="s">
        <v>71</v>
      </c>
      <c r="B24" s="28" t="s">
        <v>72</v>
      </c>
      <c r="C24" s="17">
        <v>44695</v>
      </c>
      <c r="D24" s="15">
        <v>21</v>
      </c>
      <c r="E24" s="15">
        <v>29.6</v>
      </c>
      <c r="F24" s="15">
        <f>(E24/E3)*100</f>
        <v>115.625</v>
      </c>
      <c r="G24" s="48"/>
      <c r="H24" s="52"/>
      <c r="I24" s="15">
        <f t="shared" si="1"/>
        <v>0</v>
      </c>
      <c r="J24">
        <f t="shared" si="2"/>
        <v>0</v>
      </c>
    </row>
    <row r="25" spans="1:11" ht="30" customHeight="1" x14ac:dyDescent="0.35">
      <c r="A25" s="23" t="s">
        <v>73</v>
      </c>
      <c r="B25" s="25" t="s">
        <v>74</v>
      </c>
      <c r="C25" s="17">
        <v>44696</v>
      </c>
      <c r="D25" s="15">
        <v>22</v>
      </c>
      <c r="E25" s="15">
        <v>29.9</v>
      </c>
      <c r="F25" s="15">
        <f>(E25/E3)*100</f>
        <v>116.79687499999997</v>
      </c>
      <c r="G25" s="49"/>
      <c r="H25" s="52"/>
      <c r="I25" s="15">
        <f t="shared" si="1"/>
        <v>0</v>
      </c>
      <c r="J25">
        <f t="shared" si="2"/>
        <v>0</v>
      </c>
    </row>
    <row r="26" spans="1:11" ht="30" customHeight="1" x14ac:dyDescent="0.35">
      <c r="A26" s="23" t="s">
        <v>73</v>
      </c>
      <c r="B26" s="26" t="s">
        <v>74</v>
      </c>
      <c r="C26" s="17">
        <v>44697</v>
      </c>
      <c r="D26" s="15">
        <v>23</v>
      </c>
      <c r="E26" s="15">
        <v>28</v>
      </c>
      <c r="F26" s="15">
        <f>(E26/E3)*100</f>
        <v>109.375</v>
      </c>
      <c r="G26" s="47">
        <v>81</v>
      </c>
      <c r="H26" s="56">
        <v>13</v>
      </c>
      <c r="I26" s="15">
        <f t="shared" si="1"/>
        <v>0.26</v>
      </c>
      <c r="J26">
        <f t="shared" si="2"/>
        <v>1.62</v>
      </c>
      <c r="K26">
        <v>5</v>
      </c>
    </row>
    <row r="27" spans="1:11" ht="30" customHeight="1" x14ac:dyDescent="0.35">
      <c r="A27" s="23" t="s">
        <v>73</v>
      </c>
      <c r="B27" s="29" t="s">
        <v>74</v>
      </c>
      <c r="C27" s="17">
        <v>44698</v>
      </c>
      <c r="D27" s="15">
        <v>24</v>
      </c>
      <c r="E27" s="15">
        <v>27.2</v>
      </c>
      <c r="F27" s="15">
        <f>(E27/E3)*100</f>
        <v>106.25</v>
      </c>
      <c r="G27" s="50">
        <f>184-81</f>
        <v>103</v>
      </c>
      <c r="H27" s="57">
        <f>5</f>
        <v>5</v>
      </c>
      <c r="I27" s="15">
        <f t="shared" si="1"/>
        <v>0.1</v>
      </c>
      <c r="J27">
        <f t="shared" si="2"/>
        <v>2.06</v>
      </c>
      <c r="K27">
        <v>8</v>
      </c>
    </row>
    <row r="28" spans="1:11" ht="30" customHeight="1" x14ac:dyDescent="0.35">
      <c r="B28" s="30" t="s">
        <v>74</v>
      </c>
      <c r="C28" s="17">
        <v>44699</v>
      </c>
      <c r="D28" s="15">
        <v>25</v>
      </c>
      <c r="E28">
        <v>27.4</v>
      </c>
      <c r="F28" s="15">
        <f>(E28/E3)*100</f>
        <v>107.03124999999997</v>
      </c>
      <c r="G28" s="50">
        <f>306-184</f>
        <v>122</v>
      </c>
      <c r="H28" s="57">
        <v>7</v>
      </c>
      <c r="I28" s="15">
        <f t="shared" si="1"/>
        <v>0.14000000000000001</v>
      </c>
      <c r="J28" s="15">
        <f t="shared" si="2"/>
        <v>2.44</v>
      </c>
      <c r="K28">
        <v>9</v>
      </c>
    </row>
    <row r="29" spans="1:11" ht="30" customHeight="1" x14ac:dyDescent="0.35">
      <c r="C29" s="16"/>
    </row>
    <row r="30" spans="1:11" ht="30" customHeight="1" x14ac:dyDescent="0.35">
      <c r="C30" s="16"/>
    </row>
    <row r="31" spans="1:11" ht="30" customHeight="1" x14ac:dyDescent="0.35"/>
    <row r="32" spans="1:11" ht="30" customHeight="1" x14ac:dyDescent="0.35"/>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8C185-D675-4835-A619-000D7205D5BA}">
  <dimension ref="A1:K28"/>
  <sheetViews>
    <sheetView topLeftCell="A4" workbookViewId="0">
      <selection activeCell="E3" sqref="E3:E28"/>
    </sheetView>
  </sheetViews>
  <sheetFormatPr defaultRowHeight="14.5" x14ac:dyDescent="0.35"/>
  <cols>
    <col min="1" max="9" width="20.54296875" customWidth="1"/>
  </cols>
  <sheetData>
    <row r="1" spans="1:11" ht="30" customHeight="1" x14ac:dyDescent="0.35">
      <c r="A1" s="13" t="s">
        <v>56</v>
      </c>
      <c r="B1" s="12"/>
      <c r="C1" s="12"/>
      <c r="D1" s="5"/>
      <c r="E1" s="12"/>
      <c r="F1" s="12"/>
      <c r="G1" s="12"/>
      <c r="H1" s="12"/>
      <c r="I1" s="12"/>
    </row>
    <row r="2" spans="1:11" ht="30" customHeight="1" x14ac:dyDescent="0.35">
      <c r="A2" s="13" t="s">
        <v>75</v>
      </c>
      <c r="B2" s="14" t="s">
        <v>58</v>
      </c>
      <c r="C2" s="14" t="s">
        <v>0</v>
      </c>
      <c r="D2" s="14" t="s">
        <v>1</v>
      </c>
      <c r="E2" s="14" t="s">
        <v>59</v>
      </c>
      <c r="F2" s="14" t="s">
        <v>60</v>
      </c>
      <c r="G2" s="14"/>
      <c r="H2" s="14" t="s">
        <v>61</v>
      </c>
      <c r="I2" s="14" t="s">
        <v>62</v>
      </c>
      <c r="K2" s="35" t="s">
        <v>63</v>
      </c>
    </row>
    <row r="3" spans="1:11" ht="30" customHeight="1" x14ac:dyDescent="0.35">
      <c r="A3" s="18" t="s">
        <v>64</v>
      </c>
      <c r="B3" s="24" t="s">
        <v>76</v>
      </c>
      <c r="C3" s="17">
        <v>44674</v>
      </c>
      <c r="D3" s="15">
        <v>0</v>
      </c>
      <c r="E3" s="15">
        <v>24.9</v>
      </c>
      <c r="F3" s="15"/>
      <c r="G3" s="15"/>
      <c r="H3" s="15"/>
      <c r="I3" s="15"/>
    </row>
    <row r="4" spans="1:11" ht="30" customHeight="1" x14ac:dyDescent="0.35">
      <c r="A4" s="19" t="s">
        <v>66</v>
      </c>
      <c r="B4" s="25" t="s">
        <v>76</v>
      </c>
      <c r="C4" s="17">
        <v>44675</v>
      </c>
      <c r="D4" s="15">
        <v>1</v>
      </c>
      <c r="E4" s="15">
        <v>24.7</v>
      </c>
      <c r="F4" s="15">
        <f>(E4/E3)*100</f>
        <v>99.196787148594382</v>
      </c>
      <c r="G4" s="15"/>
      <c r="H4" s="15">
        <v>322</v>
      </c>
      <c r="I4" s="15">
        <f>(H4*20)/1000</f>
        <v>6.44</v>
      </c>
    </row>
    <row r="5" spans="1:11" ht="30" customHeight="1" x14ac:dyDescent="0.35">
      <c r="A5" s="19" t="s">
        <v>66</v>
      </c>
      <c r="B5" s="26" t="s">
        <v>76</v>
      </c>
      <c r="C5" s="17">
        <v>44676</v>
      </c>
      <c r="D5" s="15">
        <v>2</v>
      </c>
      <c r="E5" s="15">
        <v>25.9</v>
      </c>
      <c r="F5" s="15">
        <f>(E5/E3)*100</f>
        <v>104.01606425702812</v>
      </c>
      <c r="G5" s="15"/>
      <c r="H5" s="15">
        <f>(530-322)</f>
        <v>208</v>
      </c>
      <c r="I5" s="15">
        <f>(H5*20)/1000</f>
        <v>4.16</v>
      </c>
    </row>
    <row r="6" spans="1:11" ht="30" customHeight="1" x14ac:dyDescent="0.35">
      <c r="A6" s="20" t="s">
        <v>67</v>
      </c>
      <c r="B6" s="25" t="s">
        <v>76</v>
      </c>
      <c r="C6" s="17">
        <v>44677</v>
      </c>
      <c r="D6" s="15">
        <v>3</v>
      </c>
      <c r="E6" s="15">
        <v>25.3</v>
      </c>
      <c r="F6" s="15">
        <f>(E6/E3)*100</f>
        <v>101.60642570281124</v>
      </c>
      <c r="G6" s="15"/>
      <c r="H6" s="15">
        <f>(722-530)</f>
        <v>192</v>
      </c>
      <c r="I6" s="15">
        <f t="shared" ref="I6:I22" si="0">(H6*20)/1000</f>
        <v>3.84</v>
      </c>
    </row>
    <row r="7" spans="1:11" ht="30" customHeight="1" x14ac:dyDescent="0.35">
      <c r="A7" s="21" t="s">
        <v>67</v>
      </c>
      <c r="B7" s="27" t="s">
        <v>76</v>
      </c>
      <c r="C7" s="17">
        <v>44678</v>
      </c>
      <c r="D7" s="15">
        <v>4</v>
      </c>
      <c r="E7" s="15">
        <v>25.1</v>
      </c>
      <c r="F7" s="15">
        <f>(E7/E3)*100</f>
        <v>100.80321285140563</v>
      </c>
      <c r="G7" s="15"/>
      <c r="H7" s="15">
        <v>154</v>
      </c>
      <c r="I7" s="15">
        <f t="shared" si="0"/>
        <v>3.08</v>
      </c>
    </row>
    <row r="8" spans="1:11" ht="30" customHeight="1" x14ac:dyDescent="0.35">
      <c r="A8" s="21" t="s">
        <v>67</v>
      </c>
      <c r="B8" s="25" t="s">
        <v>76</v>
      </c>
      <c r="C8" s="17">
        <v>44679</v>
      </c>
      <c r="D8" s="15">
        <v>5</v>
      </c>
      <c r="E8" s="15">
        <v>24.5</v>
      </c>
      <c r="F8" s="15">
        <f>(E8/E3)*100</f>
        <v>98.393574297188763</v>
      </c>
      <c r="G8" s="15"/>
      <c r="H8" s="15">
        <f>(307-154)</f>
        <v>153</v>
      </c>
      <c r="I8" s="15">
        <f t="shared" si="0"/>
        <v>3.06</v>
      </c>
    </row>
    <row r="9" spans="1:11" ht="30" customHeight="1" x14ac:dyDescent="0.35">
      <c r="A9" s="21" t="s">
        <v>67</v>
      </c>
      <c r="B9" s="26" t="s">
        <v>76</v>
      </c>
      <c r="C9" s="17">
        <v>44680</v>
      </c>
      <c r="D9" s="15">
        <v>6</v>
      </c>
      <c r="E9" s="15">
        <v>24.7</v>
      </c>
      <c r="F9" s="15">
        <f>(E9/E3)*100</f>
        <v>99.196787148594382</v>
      </c>
      <c r="G9" s="15"/>
      <c r="H9" s="15">
        <f>(521-307)</f>
        <v>214</v>
      </c>
      <c r="I9" s="15">
        <f t="shared" si="0"/>
        <v>4.28</v>
      </c>
    </row>
    <row r="10" spans="1:11" ht="30" customHeight="1" x14ac:dyDescent="0.35">
      <c r="A10" s="21" t="s">
        <v>67</v>
      </c>
      <c r="B10" s="25" t="s">
        <v>76</v>
      </c>
      <c r="C10" s="17">
        <v>44681</v>
      </c>
      <c r="D10" s="15">
        <v>7</v>
      </c>
      <c r="E10" s="15">
        <v>24.4</v>
      </c>
      <c r="F10" s="15">
        <f>(E10/E3)*100</f>
        <v>97.99196787148594</v>
      </c>
      <c r="G10" s="15"/>
      <c r="H10" s="15">
        <f>(734-521)</f>
        <v>213</v>
      </c>
      <c r="I10" s="15">
        <f t="shared" si="0"/>
        <v>4.26</v>
      </c>
    </row>
    <row r="11" spans="1:11" ht="30" customHeight="1" x14ac:dyDescent="0.35">
      <c r="A11" s="21" t="s">
        <v>67</v>
      </c>
      <c r="B11" s="26" t="s">
        <v>76</v>
      </c>
      <c r="C11" s="17">
        <v>44682</v>
      </c>
      <c r="D11" s="15">
        <v>8</v>
      </c>
      <c r="E11" s="15">
        <v>24.7</v>
      </c>
      <c r="F11" s="15">
        <f>(E11/E3)*100</f>
        <v>99.196787148594382</v>
      </c>
      <c r="G11" s="15"/>
      <c r="H11" s="15">
        <f>(938-734)</f>
        <v>204</v>
      </c>
      <c r="I11" s="15">
        <f t="shared" si="0"/>
        <v>4.08</v>
      </c>
    </row>
    <row r="12" spans="1:11" ht="30" customHeight="1" x14ac:dyDescent="0.35">
      <c r="A12" s="21" t="s">
        <v>67</v>
      </c>
      <c r="B12" s="25" t="s">
        <v>76</v>
      </c>
      <c r="C12" s="17">
        <v>44683</v>
      </c>
      <c r="D12" s="15">
        <v>9</v>
      </c>
      <c r="E12" s="15">
        <v>25.3</v>
      </c>
      <c r="F12" s="15">
        <f>(E12/E3)*100</f>
        <v>101.60642570281124</v>
      </c>
      <c r="G12" s="15"/>
      <c r="H12" s="15">
        <f>(1163-938)</f>
        <v>225</v>
      </c>
      <c r="I12" s="15">
        <f t="shared" si="0"/>
        <v>4.5</v>
      </c>
    </row>
    <row r="13" spans="1:11" ht="30" customHeight="1" x14ac:dyDescent="0.35">
      <c r="A13" s="22" t="s">
        <v>68</v>
      </c>
      <c r="B13" s="26" t="s">
        <v>76</v>
      </c>
      <c r="C13" s="17">
        <v>44684</v>
      </c>
      <c r="D13" s="15">
        <v>10</v>
      </c>
      <c r="E13" s="15">
        <v>25</v>
      </c>
      <c r="F13" s="15">
        <f>(E13/E3)*100</f>
        <v>100.40160642570282</v>
      </c>
      <c r="G13" s="15"/>
      <c r="H13" s="15">
        <f>(1386-1163)</f>
        <v>223</v>
      </c>
      <c r="I13" s="15">
        <f t="shared" si="0"/>
        <v>4.46</v>
      </c>
    </row>
    <row r="14" spans="1:11" ht="30" customHeight="1" x14ac:dyDescent="0.35">
      <c r="A14" s="22" t="s">
        <v>68</v>
      </c>
      <c r="B14" s="25" t="s">
        <v>76</v>
      </c>
      <c r="C14" s="17">
        <v>44685</v>
      </c>
      <c r="D14" s="15">
        <v>11</v>
      </c>
      <c r="E14" s="15">
        <v>25.9</v>
      </c>
      <c r="F14" s="15">
        <f>(E14/E3)*100</f>
        <v>104.01606425702812</v>
      </c>
      <c r="G14" s="15"/>
      <c r="H14" s="15">
        <v>242</v>
      </c>
      <c r="I14" s="15">
        <f t="shared" si="0"/>
        <v>4.84</v>
      </c>
    </row>
    <row r="15" spans="1:11" ht="30" customHeight="1" x14ac:dyDescent="0.35">
      <c r="A15" s="22" t="s">
        <v>68</v>
      </c>
      <c r="B15" s="26" t="s">
        <v>76</v>
      </c>
      <c r="C15" s="17">
        <v>44686</v>
      </c>
      <c r="D15" s="15">
        <v>12</v>
      </c>
      <c r="E15" s="15">
        <v>25.5</v>
      </c>
      <c r="F15" s="15">
        <f>(E15/E3)*100</f>
        <v>102.40963855421687</v>
      </c>
      <c r="G15" s="15"/>
      <c r="H15" s="15">
        <f>(402-242)</f>
        <v>160</v>
      </c>
      <c r="I15" s="15">
        <f t="shared" si="0"/>
        <v>3.2</v>
      </c>
    </row>
    <row r="16" spans="1:11" ht="30" customHeight="1" x14ac:dyDescent="0.35">
      <c r="A16" s="22" t="s">
        <v>68</v>
      </c>
      <c r="B16" s="25" t="s">
        <v>76</v>
      </c>
      <c r="C16" s="17">
        <v>44687</v>
      </c>
      <c r="D16" s="15">
        <v>13</v>
      </c>
      <c r="E16" s="15">
        <v>25.4</v>
      </c>
      <c r="F16" s="15">
        <f>(E16/E3)*100</f>
        <v>102.00803212851406</v>
      </c>
      <c r="G16" s="15"/>
      <c r="H16" s="15">
        <f>(597-402)</f>
        <v>195</v>
      </c>
      <c r="I16" s="15">
        <f t="shared" si="0"/>
        <v>3.9</v>
      </c>
    </row>
    <row r="17" spans="1:11" ht="30" customHeight="1" x14ac:dyDescent="0.35">
      <c r="A17" s="22" t="s">
        <v>68</v>
      </c>
      <c r="B17" s="26" t="s">
        <v>76</v>
      </c>
      <c r="C17" s="17">
        <v>44688</v>
      </c>
      <c r="D17" s="15">
        <v>14</v>
      </c>
      <c r="E17" s="15">
        <v>25.5</v>
      </c>
      <c r="F17" s="15">
        <f>(E17/E3)*100</f>
        <v>102.40963855421687</v>
      </c>
      <c r="G17" s="15"/>
      <c r="H17" s="15">
        <f>(782-597)</f>
        <v>185</v>
      </c>
      <c r="I17" s="15">
        <f t="shared" si="0"/>
        <v>3.7</v>
      </c>
    </row>
    <row r="18" spans="1:11" ht="30" customHeight="1" x14ac:dyDescent="0.35">
      <c r="A18" s="22" t="s">
        <v>68</v>
      </c>
      <c r="B18" s="25" t="s">
        <v>76</v>
      </c>
      <c r="C18" s="17">
        <v>44689</v>
      </c>
      <c r="D18" s="15">
        <v>15</v>
      </c>
      <c r="E18" s="15">
        <v>25.5</v>
      </c>
      <c r="F18" s="15">
        <f>(E18/E3)*100</f>
        <v>102.40963855421687</v>
      </c>
      <c r="G18" s="15"/>
      <c r="H18" s="15">
        <f>954-782</f>
        <v>172</v>
      </c>
      <c r="I18" s="15">
        <f t="shared" si="0"/>
        <v>3.44</v>
      </c>
    </row>
    <row r="19" spans="1:11" ht="30" customHeight="1" x14ac:dyDescent="0.35">
      <c r="A19" s="22" t="s">
        <v>68</v>
      </c>
      <c r="B19" s="26" t="s">
        <v>76</v>
      </c>
      <c r="C19" s="17">
        <v>44690</v>
      </c>
      <c r="D19" s="15">
        <v>16</v>
      </c>
      <c r="E19" s="15">
        <v>25.2</v>
      </c>
      <c r="F19" s="15">
        <f>(E19/E3)*100</f>
        <v>101.20481927710843</v>
      </c>
      <c r="G19" s="15"/>
      <c r="H19" s="15">
        <f>1135-954</f>
        <v>181</v>
      </c>
      <c r="I19" s="15">
        <f t="shared" si="0"/>
        <v>3.62</v>
      </c>
    </row>
    <row r="20" spans="1:11" ht="30" customHeight="1" x14ac:dyDescent="0.35">
      <c r="A20" s="22" t="s">
        <v>69</v>
      </c>
      <c r="B20" s="25" t="s">
        <v>76</v>
      </c>
      <c r="C20" s="17">
        <v>44691</v>
      </c>
      <c r="D20" s="15">
        <v>17</v>
      </c>
      <c r="E20" s="15">
        <v>25.3</v>
      </c>
      <c r="F20" s="15">
        <f>(E20/E3)*100</f>
        <v>101.60642570281124</v>
      </c>
      <c r="G20" s="15"/>
      <c r="H20" s="15">
        <f>1317-1135</f>
        <v>182</v>
      </c>
      <c r="I20" s="15">
        <f t="shared" si="0"/>
        <v>3.64</v>
      </c>
    </row>
    <row r="21" spans="1:11" ht="30" customHeight="1" x14ac:dyDescent="0.35">
      <c r="A21" s="22" t="s">
        <v>70</v>
      </c>
      <c r="B21" s="26" t="s">
        <v>76</v>
      </c>
      <c r="C21" s="17">
        <v>44692</v>
      </c>
      <c r="D21" s="15">
        <v>18</v>
      </c>
      <c r="E21" s="15">
        <v>26.6</v>
      </c>
      <c r="F21" s="15">
        <f>(E21/E3)*100</f>
        <v>106.82730923694781</v>
      </c>
      <c r="G21" s="15"/>
      <c r="H21" s="15">
        <v>192</v>
      </c>
      <c r="I21" s="15">
        <f t="shared" si="0"/>
        <v>3.84</v>
      </c>
    </row>
    <row r="22" spans="1:11" ht="30" customHeight="1" x14ac:dyDescent="0.35">
      <c r="A22" s="22" t="s">
        <v>71</v>
      </c>
      <c r="B22" s="28" t="s">
        <v>72</v>
      </c>
      <c r="C22" s="17">
        <v>44693</v>
      </c>
      <c r="D22" s="15">
        <v>19</v>
      </c>
      <c r="E22" s="15">
        <v>27</v>
      </c>
      <c r="F22" s="15">
        <f>(E22/E3)*100</f>
        <v>108.43373493975905</v>
      </c>
      <c r="G22" s="15"/>
      <c r="H22" s="15">
        <v>189</v>
      </c>
      <c r="I22" s="15">
        <f t="shared" si="0"/>
        <v>3.78</v>
      </c>
    </row>
    <row r="23" spans="1:11" ht="30" customHeight="1" x14ac:dyDescent="0.35">
      <c r="A23" s="22" t="s">
        <v>71</v>
      </c>
      <c r="B23" s="28" t="s">
        <v>72</v>
      </c>
      <c r="C23" s="17">
        <v>44694</v>
      </c>
      <c r="D23" s="15">
        <v>20</v>
      </c>
      <c r="E23" s="15">
        <v>26.8</v>
      </c>
      <c r="F23" s="15">
        <f>(E23/E3)*100</f>
        <v>107.63052208835342</v>
      </c>
      <c r="G23" s="47"/>
      <c r="H23" s="52"/>
      <c r="I23" s="15">
        <f t="shared" ref="I23:I28" si="1">(H23*20)/1000</f>
        <v>0</v>
      </c>
      <c r="J23">
        <f t="shared" ref="J23:J28" si="2">(G23*20)/1000</f>
        <v>0</v>
      </c>
    </row>
    <row r="24" spans="1:11" ht="30" customHeight="1" x14ac:dyDescent="0.35">
      <c r="A24" s="22" t="s">
        <v>71</v>
      </c>
      <c r="B24" s="28" t="s">
        <v>72</v>
      </c>
      <c r="C24" s="17">
        <v>44695</v>
      </c>
      <c r="D24" s="15">
        <v>21</v>
      </c>
      <c r="E24" s="15">
        <v>28.2</v>
      </c>
      <c r="F24" s="15">
        <f>(E24/E3)*100</f>
        <v>113.25301204819279</v>
      </c>
      <c r="G24" s="48"/>
      <c r="H24" s="52"/>
      <c r="I24" s="15">
        <f t="shared" si="1"/>
        <v>0</v>
      </c>
      <c r="J24">
        <f t="shared" si="2"/>
        <v>0</v>
      </c>
    </row>
    <row r="25" spans="1:11" ht="30" customHeight="1" x14ac:dyDescent="0.35">
      <c r="A25" s="23" t="s">
        <v>73</v>
      </c>
      <c r="B25" s="25" t="s">
        <v>77</v>
      </c>
      <c r="C25" s="17">
        <v>44696</v>
      </c>
      <c r="D25" s="15">
        <v>22</v>
      </c>
      <c r="E25" s="15">
        <v>28.4</v>
      </c>
      <c r="F25" s="15">
        <f>(E25/E3)*100</f>
        <v>114.05622489959839</v>
      </c>
      <c r="G25" s="49"/>
      <c r="H25" s="52"/>
      <c r="I25" s="15">
        <f t="shared" si="1"/>
        <v>0</v>
      </c>
      <c r="J25">
        <f t="shared" si="2"/>
        <v>0</v>
      </c>
    </row>
    <row r="26" spans="1:11" ht="30" customHeight="1" x14ac:dyDescent="0.35">
      <c r="A26" s="23" t="s">
        <v>73</v>
      </c>
      <c r="B26" s="26" t="s">
        <v>77</v>
      </c>
      <c r="C26" s="17">
        <v>44697</v>
      </c>
      <c r="D26" s="15">
        <v>23</v>
      </c>
      <c r="E26" s="15">
        <v>27.8</v>
      </c>
      <c r="F26" s="15">
        <f>(E26/E3)*100</f>
        <v>111.64658634538154</v>
      </c>
      <c r="G26" s="47">
        <v>70</v>
      </c>
      <c r="H26" s="51">
        <v>22</v>
      </c>
      <c r="I26" s="15">
        <f t="shared" si="1"/>
        <v>0.44</v>
      </c>
      <c r="J26">
        <f t="shared" si="2"/>
        <v>1.4</v>
      </c>
    </row>
    <row r="27" spans="1:11" ht="30" customHeight="1" x14ac:dyDescent="0.35">
      <c r="A27" s="23" t="s">
        <v>73</v>
      </c>
      <c r="B27" s="29" t="s">
        <v>77</v>
      </c>
      <c r="C27" s="17">
        <v>44698</v>
      </c>
      <c r="D27" s="15">
        <v>24</v>
      </c>
      <c r="E27" s="15">
        <v>27.1</v>
      </c>
      <c r="F27" s="15">
        <f>(E27/E3)*100</f>
        <v>108.83534136546187</v>
      </c>
      <c r="G27" s="50">
        <f>171-70</f>
        <v>101</v>
      </c>
      <c r="H27" s="57">
        <v>36</v>
      </c>
      <c r="I27" s="15">
        <f t="shared" si="1"/>
        <v>0.72</v>
      </c>
      <c r="J27">
        <f t="shared" si="2"/>
        <v>2.02</v>
      </c>
      <c r="K27">
        <v>2</v>
      </c>
    </row>
    <row r="28" spans="1:11" ht="30" customHeight="1" x14ac:dyDescent="0.35">
      <c r="B28" s="30" t="s">
        <v>77</v>
      </c>
      <c r="C28" s="17">
        <v>44699</v>
      </c>
      <c r="D28" s="15">
        <v>25</v>
      </c>
      <c r="E28">
        <v>26.9</v>
      </c>
      <c r="F28" s="15">
        <f>(E28/E3)*100</f>
        <v>108.03212851405624</v>
      </c>
      <c r="G28" s="15">
        <f>265-171</f>
        <v>94</v>
      </c>
      <c r="H28">
        <f>116-60</f>
        <v>56</v>
      </c>
      <c r="I28" s="15">
        <f t="shared" si="1"/>
        <v>1.1200000000000001</v>
      </c>
      <c r="J28">
        <f t="shared" si="2"/>
        <v>1.88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369DE1-A18E-43B2-9F51-FA13EDA8408D}">
  <dimension ref="A1:K31"/>
  <sheetViews>
    <sheetView topLeftCell="A18" workbookViewId="0">
      <selection activeCell="K3" sqref="K3:K28"/>
    </sheetView>
  </sheetViews>
  <sheetFormatPr defaultRowHeight="14.5" x14ac:dyDescent="0.35"/>
  <cols>
    <col min="1" max="1" width="30.7265625" customWidth="1"/>
    <col min="2" max="9" width="20.54296875" customWidth="1"/>
  </cols>
  <sheetData>
    <row r="1" spans="1:11" ht="30" customHeight="1" x14ac:dyDescent="0.35">
      <c r="A1" s="13" t="s">
        <v>56</v>
      </c>
      <c r="B1" s="12"/>
      <c r="C1" s="12"/>
      <c r="D1" s="5"/>
      <c r="E1" s="12"/>
      <c r="F1" s="12"/>
      <c r="G1" s="12"/>
      <c r="H1" s="12"/>
      <c r="I1" s="12"/>
    </row>
    <row r="2" spans="1:11" ht="30" customHeight="1" x14ac:dyDescent="0.35">
      <c r="A2" s="13" t="s">
        <v>78</v>
      </c>
      <c r="B2" s="14" t="s">
        <v>58</v>
      </c>
      <c r="C2" s="14" t="s">
        <v>0</v>
      </c>
      <c r="D2" s="14" t="s">
        <v>1</v>
      </c>
      <c r="E2" s="14" t="s">
        <v>59</v>
      </c>
      <c r="F2" s="14" t="s">
        <v>60</v>
      </c>
      <c r="G2" s="14"/>
      <c r="H2" s="14" t="s">
        <v>61</v>
      </c>
      <c r="I2" s="14" t="s">
        <v>62</v>
      </c>
      <c r="K2" s="35" t="s">
        <v>63</v>
      </c>
    </row>
    <row r="3" spans="1:11" ht="30" customHeight="1" x14ac:dyDescent="0.35">
      <c r="A3" s="18" t="s">
        <v>64</v>
      </c>
      <c r="B3" s="24" t="s">
        <v>79</v>
      </c>
      <c r="C3" s="17">
        <v>44674</v>
      </c>
      <c r="D3" s="15">
        <v>0</v>
      </c>
      <c r="E3" s="15">
        <v>25</v>
      </c>
      <c r="F3" s="15"/>
      <c r="G3" s="15"/>
      <c r="H3" s="15"/>
      <c r="I3" s="15"/>
    </row>
    <row r="4" spans="1:11" ht="30" customHeight="1" x14ac:dyDescent="0.35">
      <c r="A4" s="19" t="s">
        <v>66</v>
      </c>
      <c r="B4" s="25" t="s">
        <v>79</v>
      </c>
      <c r="C4" s="17">
        <v>44675</v>
      </c>
      <c r="D4" s="15">
        <v>1</v>
      </c>
      <c r="E4" s="15">
        <v>25.3</v>
      </c>
      <c r="F4" s="15">
        <f>(E4/E3)*100</f>
        <v>101.2</v>
      </c>
      <c r="G4" s="15"/>
      <c r="H4" s="15">
        <v>268</v>
      </c>
      <c r="I4" s="15">
        <f>(H4*20)/1000</f>
        <v>5.36</v>
      </c>
    </row>
    <row r="5" spans="1:11" ht="30" customHeight="1" x14ac:dyDescent="0.35">
      <c r="A5" s="19" t="s">
        <v>66</v>
      </c>
      <c r="B5" s="26" t="s">
        <v>79</v>
      </c>
      <c r="C5" s="17">
        <v>44676</v>
      </c>
      <c r="D5" s="15">
        <v>2</v>
      </c>
      <c r="E5" s="15">
        <v>25</v>
      </c>
      <c r="F5" s="15">
        <f>(E5/E3)*100</f>
        <v>100</v>
      </c>
      <c r="G5" s="15"/>
      <c r="H5" s="15">
        <f>(502-268)</f>
        <v>234</v>
      </c>
      <c r="I5" s="15">
        <f>(H5*20)/1000</f>
        <v>4.68</v>
      </c>
    </row>
    <row r="6" spans="1:11" ht="30" customHeight="1" x14ac:dyDescent="0.35">
      <c r="A6" s="20" t="s">
        <v>67</v>
      </c>
      <c r="B6" s="25" t="s">
        <v>79</v>
      </c>
      <c r="C6" s="17">
        <v>44677</v>
      </c>
      <c r="D6" s="15">
        <v>3</v>
      </c>
      <c r="E6" s="15">
        <v>25</v>
      </c>
      <c r="F6" s="15">
        <f>(E6/E3)*100</f>
        <v>100</v>
      </c>
      <c r="G6" s="15"/>
      <c r="H6" s="15">
        <f>(711-502)</f>
        <v>209</v>
      </c>
      <c r="I6" s="15">
        <f t="shared" ref="I6:I28" si="0">(H6*20)/1000</f>
        <v>4.18</v>
      </c>
    </row>
    <row r="7" spans="1:11" ht="30" customHeight="1" x14ac:dyDescent="0.35">
      <c r="A7" s="21" t="s">
        <v>67</v>
      </c>
      <c r="B7" s="27" t="s">
        <v>79</v>
      </c>
      <c r="C7" s="17">
        <v>44678</v>
      </c>
      <c r="D7" s="15">
        <v>4</v>
      </c>
      <c r="E7" s="15">
        <v>24.1</v>
      </c>
      <c r="F7" s="15">
        <f>(E7/E3)*100</f>
        <v>96.4</v>
      </c>
      <c r="G7" s="15"/>
      <c r="H7" s="15">
        <v>152</v>
      </c>
      <c r="I7" s="15">
        <f t="shared" si="0"/>
        <v>3.04</v>
      </c>
    </row>
    <row r="8" spans="1:11" ht="30" customHeight="1" x14ac:dyDescent="0.35">
      <c r="A8" s="21" t="s">
        <v>67</v>
      </c>
      <c r="B8" s="25" t="s">
        <v>79</v>
      </c>
      <c r="C8" s="17">
        <v>44679</v>
      </c>
      <c r="D8" s="15">
        <v>5</v>
      </c>
      <c r="E8" s="15">
        <v>23.9</v>
      </c>
      <c r="F8" s="15">
        <f>(E8/E3)*100</f>
        <v>95.6</v>
      </c>
      <c r="G8" s="15"/>
      <c r="H8" s="15">
        <f>(296-152)</f>
        <v>144</v>
      </c>
      <c r="I8" s="15">
        <f t="shared" si="0"/>
        <v>2.88</v>
      </c>
    </row>
    <row r="9" spans="1:11" ht="30" customHeight="1" x14ac:dyDescent="0.35">
      <c r="A9" s="21" t="s">
        <v>67</v>
      </c>
      <c r="B9" s="26" t="s">
        <v>79</v>
      </c>
      <c r="C9" s="17">
        <v>44680</v>
      </c>
      <c r="D9" s="15">
        <v>6</v>
      </c>
      <c r="E9" s="15">
        <v>23.9</v>
      </c>
      <c r="F9" s="15">
        <f>(E9/E3)*100</f>
        <v>95.6</v>
      </c>
      <c r="G9" s="15"/>
      <c r="H9" s="15">
        <f>(480-296)</f>
        <v>184</v>
      </c>
      <c r="I9" s="15">
        <f t="shared" si="0"/>
        <v>3.68</v>
      </c>
    </row>
    <row r="10" spans="1:11" ht="30" customHeight="1" x14ac:dyDescent="0.35">
      <c r="A10" s="21" t="s">
        <v>67</v>
      </c>
      <c r="B10" s="25" t="s">
        <v>79</v>
      </c>
      <c r="C10" s="17">
        <v>44681</v>
      </c>
      <c r="D10" s="15">
        <v>7</v>
      </c>
      <c r="E10" s="15">
        <v>23.2</v>
      </c>
      <c r="F10" s="15">
        <f>(E10/E3)*100</f>
        <v>92.8</v>
      </c>
      <c r="G10" s="15"/>
      <c r="H10" s="34">
        <f>(737-480)-35</f>
        <v>222</v>
      </c>
      <c r="I10" s="15">
        <f t="shared" si="0"/>
        <v>4.4400000000000004</v>
      </c>
      <c r="K10">
        <v>35</v>
      </c>
    </row>
    <row r="11" spans="1:11" ht="30" customHeight="1" x14ac:dyDescent="0.35">
      <c r="A11" s="21" t="s">
        <v>67</v>
      </c>
      <c r="B11" s="26" t="s">
        <v>79</v>
      </c>
      <c r="C11" s="17">
        <v>44682</v>
      </c>
      <c r="D11" s="15">
        <v>8</v>
      </c>
      <c r="E11" s="15">
        <v>23.2</v>
      </c>
      <c r="F11" s="15">
        <f>(E11/E3)*100</f>
        <v>92.8</v>
      </c>
      <c r="G11" s="15"/>
      <c r="H11" s="34">
        <f>(1024-737)-10</f>
        <v>277</v>
      </c>
      <c r="I11" s="15">
        <f t="shared" si="0"/>
        <v>5.54</v>
      </c>
      <c r="K11">
        <v>10</v>
      </c>
    </row>
    <row r="12" spans="1:11" ht="30" customHeight="1" x14ac:dyDescent="0.35">
      <c r="A12" s="21" t="s">
        <v>67</v>
      </c>
      <c r="B12" s="25" t="s">
        <v>79</v>
      </c>
      <c r="C12" s="17">
        <v>44683</v>
      </c>
      <c r="D12" s="15">
        <v>9</v>
      </c>
      <c r="E12" s="15">
        <v>23.2</v>
      </c>
      <c r="F12" s="15">
        <f>(E12/E3)*100</f>
        <v>92.8</v>
      </c>
      <c r="G12" s="15"/>
      <c r="H12" s="34">
        <f>(1300-1024)- 25</f>
        <v>251</v>
      </c>
      <c r="I12" s="15">
        <f t="shared" si="0"/>
        <v>5.0199999999999996</v>
      </c>
      <c r="K12">
        <v>25</v>
      </c>
    </row>
    <row r="13" spans="1:11" ht="30" customHeight="1" x14ac:dyDescent="0.35">
      <c r="A13" s="22" t="s">
        <v>68</v>
      </c>
      <c r="B13" s="26" t="s">
        <v>79</v>
      </c>
      <c r="C13" s="17">
        <v>44684</v>
      </c>
      <c r="D13" s="15">
        <v>10</v>
      </c>
      <c r="E13" s="15">
        <v>23.8</v>
      </c>
      <c r="F13" s="15">
        <f>(E13/E3)*100</f>
        <v>95.2</v>
      </c>
      <c r="G13" s="15"/>
      <c r="H13" s="34">
        <f>( 1640-1300)-50</f>
        <v>290</v>
      </c>
      <c r="I13" s="15">
        <f t="shared" si="0"/>
        <v>5.8</v>
      </c>
      <c r="K13">
        <v>50</v>
      </c>
    </row>
    <row r="14" spans="1:11" ht="30" customHeight="1" x14ac:dyDescent="0.35">
      <c r="A14" s="22" t="s">
        <v>68</v>
      </c>
      <c r="B14" s="25" t="s">
        <v>79</v>
      </c>
      <c r="C14" s="17">
        <v>44685</v>
      </c>
      <c r="D14" s="15">
        <v>11</v>
      </c>
      <c r="E14" s="15">
        <v>24.6</v>
      </c>
      <c r="F14" s="15">
        <f>(E14/E3)*100</f>
        <v>98.4</v>
      </c>
      <c r="G14" s="15"/>
      <c r="H14" s="34">
        <v>351</v>
      </c>
      <c r="I14" s="15">
        <f t="shared" si="0"/>
        <v>7.02</v>
      </c>
      <c r="K14">
        <v>70</v>
      </c>
    </row>
    <row r="15" spans="1:11" ht="30" customHeight="1" x14ac:dyDescent="0.35">
      <c r="A15" s="22" t="s">
        <v>68</v>
      </c>
      <c r="B15" s="26" t="s">
        <v>79</v>
      </c>
      <c r="C15" s="17">
        <v>44686</v>
      </c>
      <c r="D15" s="15">
        <v>12</v>
      </c>
      <c r="E15" s="15">
        <v>25.3</v>
      </c>
      <c r="F15" s="15">
        <f>(E15/E3)*100</f>
        <v>101.2</v>
      </c>
      <c r="G15" s="15"/>
      <c r="H15" s="34">
        <f>(722-421)- 45</f>
        <v>256</v>
      </c>
      <c r="I15" s="15">
        <f t="shared" si="0"/>
        <v>5.12</v>
      </c>
      <c r="K15">
        <v>45</v>
      </c>
    </row>
    <row r="16" spans="1:11" ht="30" customHeight="1" x14ac:dyDescent="0.35">
      <c r="A16" s="22" t="s">
        <v>68</v>
      </c>
      <c r="B16" s="25" t="s">
        <v>79</v>
      </c>
      <c r="C16" s="17">
        <v>44687</v>
      </c>
      <c r="D16" s="15">
        <v>13</v>
      </c>
      <c r="E16" s="15">
        <v>24.9</v>
      </c>
      <c r="F16" s="15">
        <f>(E16/E3)*100</f>
        <v>99.6</v>
      </c>
      <c r="G16" s="15"/>
      <c r="H16" s="34">
        <f>(1004-722)- 40</f>
        <v>242</v>
      </c>
      <c r="I16" s="15">
        <f t="shared" si="0"/>
        <v>4.84</v>
      </c>
      <c r="K16">
        <v>40</v>
      </c>
    </row>
    <row r="17" spans="1:11" ht="30" customHeight="1" x14ac:dyDescent="0.35">
      <c r="A17" s="22" t="s">
        <v>68</v>
      </c>
      <c r="B17" s="26" t="s">
        <v>79</v>
      </c>
      <c r="C17" s="17">
        <v>44688</v>
      </c>
      <c r="D17" s="15">
        <v>14</v>
      </c>
      <c r="E17" s="15">
        <v>25.4</v>
      </c>
      <c r="F17" s="15">
        <f>(E17/E3)*100</f>
        <v>101.6</v>
      </c>
      <c r="G17" s="15"/>
      <c r="H17" s="34">
        <f>(1299-1004)-55</f>
        <v>240</v>
      </c>
      <c r="I17" s="15">
        <f t="shared" si="0"/>
        <v>4.8</v>
      </c>
      <c r="K17">
        <v>55</v>
      </c>
    </row>
    <row r="18" spans="1:11" ht="30" customHeight="1" x14ac:dyDescent="0.35">
      <c r="A18" s="22" t="s">
        <v>68</v>
      </c>
      <c r="B18" s="25" t="s">
        <v>79</v>
      </c>
      <c r="C18" s="17">
        <v>44689</v>
      </c>
      <c r="D18" s="15">
        <v>15</v>
      </c>
      <c r="E18" s="15">
        <v>25.4</v>
      </c>
      <c r="F18" s="15">
        <f>(E18/E3)*100</f>
        <v>101.6</v>
      </c>
      <c r="G18" s="15"/>
      <c r="H18" s="34">
        <f>(1543-1299)-45</f>
        <v>199</v>
      </c>
      <c r="I18" s="15">
        <f t="shared" si="0"/>
        <v>3.98</v>
      </c>
      <c r="K18">
        <v>45</v>
      </c>
    </row>
    <row r="19" spans="1:11" ht="30" customHeight="1" x14ac:dyDescent="0.35">
      <c r="A19" s="22" t="s">
        <v>68</v>
      </c>
      <c r="B19" s="26" t="s">
        <v>79</v>
      </c>
      <c r="C19" s="17">
        <v>44690</v>
      </c>
      <c r="D19" s="15">
        <v>16</v>
      </c>
      <c r="E19" s="15">
        <v>24.5</v>
      </c>
      <c r="F19" s="15">
        <f>(E19/E3)*100</f>
        <v>98</v>
      </c>
      <c r="G19" s="15"/>
      <c r="H19" s="34">
        <f>(1778-1543)-40</f>
        <v>195</v>
      </c>
      <c r="I19" s="15">
        <f t="shared" si="0"/>
        <v>3.9</v>
      </c>
      <c r="K19">
        <v>40</v>
      </c>
    </row>
    <row r="20" spans="1:11" ht="30" customHeight="1" x14ac:dyDescent="0.35">
      <c r="A20" s="22" t="s">
        <v>69</v>
      </c>
      <c r="B20" s="25" t="s">
        <v>79</v>
      </c>
      <c r="C20" s="17">
        <v>44691</v>
      </c>
      <c r="D20" s="15">
        <v>17</v>
      </c>
      <c r="E20" s="15">
        <v>25.8</v>
      </c>
      <c r="F20" s="15">
        <f>(E20/E3)*100</f>
        <v>103.2</v>
      </c>
      <c r="G20" s="15"/>
      <c r="H20" s="34">
        <f>(1986-1778)-25</f>
        <v>183</v>
      </c>
      <c r="I20" s="15">
        <f t="shared" si="0"/>
        <v>3.66</v>
      </c>
      <c r="K20">
        <v>25</v>
      </c>
    </row>
    <row r="21" spans="1:11" ht="30" customHeight="1" x14ac:dyDescent="0.35">
      <c r="A21" s="22" t="s">
        <v>70</v>
      </c>
      <c r="B21" s="26" t="s">
        <v>79</v>
      </c>
      <c r="C21" s="17">
        <v>44692</v>
      </c>
      <c r="D21" s="15">
        <v>18</v>
      </c>
      <c r="E21" s="15">
        <v>25.4</v>
      </c>
      <c r="F21" s="15">
        <f>(E21/E3)*100</f>
        <v>101.6</v>
      </c>
      <c r="G21" s="15"/>
      <c r="H21" s="15">
        <v>148</v>
      </c>
      <c r="I21" s="15">
        <f t="shared" si="0"/>
        <v>2.96</v>
      </c>
    </row>
    <row r="22" spans="1:11" ht="30" customHeight="1" x14ac:dyDescent="0.35">
      <c r="A22" s="22" t="s">
        <v>71</v>
      </c>
      <c r="B22" s="28" t="s">
        <v>72</v>
      </c>
      <c r="C22" s="17">
        <v>44693</v>
      </c>
      <c r="D22" s="15">
        <v>19</v>
      </c>
      <c r="E22" s="15">
        <v>26</v>
      </c>
      <c r="F22" s="15">
        <f>(E22/E3)*100</f>
        <v>104</v>
      </c>
      <c r="G22" s="15"/>
      <c r="H22" s="15">
        <v>162</v>
      </c>
      <c r="I22" s="15">
        <f t="shared" si="0"/>
        <v>3.24</v>
      </c>
    </row>
    <row r="23" spans="1:11" ht="30" customHeight="1" x14ac:dyDescent="0.35">
      <c r="A23" s="22" t="s">
        <v>71</v>
      </c>
      <c r="B23" s="28" t="s">
        <v>72</v>
      </c>
      <c r="C23" s="17">
        <v>44694</v>
      </c>
      <c r="D23" s="15">
        <v>20</v>
      </c>
      <c r="E23" s="15">
        <v>23.7</v>
      </c>
      <c r="F23" s="15">
        <f>(E23/E3)*100</f>
        <v>94.8</v>
      </c>
      <c r="G23" s="47"/>
      <c r="H23" s="52"/>
      <c r="I23" s="15">
        <f>(H23*20)/1000</f>
        <v>0</v>
      </c>
      <c r="J23">
        <f t="shared" ref="J23:J28" si="1">(G23*20)/1000</f>
        <v>0</v>
      </c>
    </row>
    <row r="24" spans="1:11" ht="30" customHeight="1" x14ac:dyDescent="0.35">
      <c r="A24" s="22" t="s">
        <v>71</v>
      </c>
      <c r="B24" s="28" t="s">
        <v>72</v>
      </c>
      <c r="C24" s="17">
        <v>44695</v>
      </c>
      <c r="D24" s="15">
        <v>21</v>
      </c>
      <c r="E24" s="15">
        <v>26.8</v>
      </c>
      <c r="F24" s="15">
        <f>(E24/E3)*100</f>
        <v>107.2</v>
      </c>
      <c r="G24" s="48"/>
      <c r="H24" s="52"/>
      <c r="I24" s="15">
        <f>(H24*20)/1000</f>
        <v>0</v>
      </c>
      <c r="J24">
        <f t="shared" si="1"/>
        <v>0</v>
      </c>
    </row>
    <row r="25" spans="1:11" ht="30" customHeight="1" x14ac:dyDescent="0.35">
      <c r="A25" s="23" t="s">
        <v>73</v>
      </c>
      <c r="B25" s="55" t="s">
        <v>80</v>
      </c>
      <c r="C25" s="17">
        <v>44696</v>
      </c>
      <c r="D25" s="15">
        <v>22</v>
      </c>
      <c r="E25" s="15">
        <v>27.1</v>
      </c>
      <c r="F25" s="15">
        <f>(E25/E3)*100</f>
        <v>108.4</v>
      </c>
      <c r="G25" s="49"/>
      <c r="H25" s="52"/>
      <c r="I25" s="15">
        <f>(H25*20)/1000</f>
        <v>0</v>
      </c>
      <c r="J25">
        <f t="shared" si="1"/>
        <v>0</v>
      </c>
    </row>
    <row r="26" spans="1:11" ht="30" customHeight="1" x14ac:dyDescent="0.35">
      <c r="A26" s="23" t="s">
        <v>73</v>
      </c>
      <c r="B26" s="26" t="s">
        <v>80</v>
      </c>
      <c r="C26" s="17">
        <v>44697</v>
      </c>
      <c r="D26" s="15">
        <v>23</v>
      </c>
      <c r="E26" s="15">
        <v>25.8</v>
      </c>
      <c r="F26" s="15">
        <f>(E26/E3)*100</f>
        <v>103.2</v>
      </c>
      <c r="G26" s="47">
        <v>92</v>
      </c>
      <c r="H26" s="56">
        <v>9</v>
      </c>
      <c r="I26" s="15">
        <f>(H26*20)/1000</f>
        <v>0.18</v>
      </c>
      <c r="J26">
        <f t="shared" si="1"/>
        <v>1.84</v>
      </c>
      <c r="K26">
        <v>5</v>
      </c>
    </row>
    <row r="27" spans="1:11" ht="30" customHeight="1" x14ac:dyDescent="0.35">
      <c r="A27" s="23" t="s">
        <v>73</v>
      </c>
      <c r="B27" s="29" t="s">
        <v>80</v>
      </c>
      <c r="C27" s="17">
        <v>44698</v>
      </c>
      <c r="D27" s="15">
        <v>24</v>
      </c>
      <c r="E27" s="15">
        <v>25.3</v>
      </c>
      <c r="F27" s="15">
        <f>(E27/E3)*100</f>
        <v>101.2</v>
      </c>
      <c r="G27" s="50">
        <f>209-92</f>
        <v>117</v>
      </c>
      <c r="H27" s="57">
        <v>0</v>
      </c>
      <c r="I27" s="15">
        <f>(H27*20)/1000</f>
        <v>0</v>
      </c>
      <c r="J27">
        <f t="shared" si="1"/>
        <v>2.34</v>
      </c>
      <c r="K27">
        <v>3</v>
      </c>
    </row>
    <row r="28" spans="1:11" ht="30" customHeight="1" x14ac:dyDescent="0.35">
      <c r="B28" s="30" t="s">
        <v>80</v>
      </c>
      <c r="C28" s="17">
        <v>44699</v>
      </c>
      <c r="D28" s="15">
        <v>25</v>
      </c>
      <c r="E28">
        <v>24.8</v>
      </c>
      <c r="F28" s="15">
        <f>(E28/E3)*100</f>
        <v>99.2</v>
      </c>
      <c r="G28" s="50">
        <f>316-209</f>
        <v>107</v>
      </c>
      <c r="H28" s="53">
        <v>4</v>
      </c>
      <c r="I28" s="15">
        <f t="shared" si="0"/>
        <v>0.08</v>
      </c>
      <c r="J28">
        <f t="shared" si="1"/>
        <v>2.14</v>
      </c>
      <c r="K28">
        <v>2</v>
      </c>
    </row>
    <row r="31" spans="1:11" ht="200.25" customHeight="1" x14ac:dyDescent="0.35">
      <c r="A31" t="s">
        <v>81</v>
      </c>
    </row>
  </sheetData>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5751B-D400-4266-BEAB-21B2155D4840}">
  <dimension ref="A1:K31"/>
  <sheetViews>
    <sheetView topLeftCell="A16" workbookViewId="0">
      <selection activeCell="K3" sqref="K3:K28"/>
    </sheetView>
  </sheetViews>
  <sheetFormatPr defaultRowHeight="14.5" x14ac:dyDescent="0.35"/>
  <cols>
    <col min="1" max="1" width="20.7265625" customWidth="1"/>
    <col min="2" max="10" width="20.54296875" customWidth="1"/>
  </cols>
  <sheetData>
    <row r="1" spans="1:11" ht="30" customHeight="1" x14ac:dyDescent="0.35">
      <c r="A1" s="13" t="s">
        <v>56</v>
      </c>
      <c r="B1" s="12"/>
      <c r="C1" s="12"/>
      <c r="D1" s="5"/>
      <c r="E1" s="12"/>
      <c r="F1" s="12"/>
      <c r="G1" s="12"/>
      <c r="H1" s="12"/>
      <c r="I1" s="12"/>
    </row>
    <row r="2" spans="1:11" ht="30" customHeight="1" x14ac:dyDescent="0.35">
      <c r="A2" s="13" t="s">
        <v>82</v>
      </c>
      <c r="B2" s="14" t="s">
        <v>58</v>
      </c>
      <c r="C2" s="14" t="s">
        <v>0</v>
      </c>
      <c r="D2" s="14" t="s">
        <v>1</v>
      </c>
      <c r="E2" s="14" t="s">
        <v>59</v>
      </c>
      <c r="F2" s="14" t="s">
        <v>60</v>
      </c>
      <c r="G2" s="14"/>
      <c r="H2" s="14" t="s">
        <v>61</v>
      </c>
      <c r="I2" s="14" t="s">
        <v>62</v>
      </c>
      <c r="K2" s="35" t="s">
        <v>63</v>
      </c>
    </row>
    <row r="3" spans="1:11" ht="30" customHeight="1" x14ac:dyDescent="0.35">
      <c r="A3" s="18" t="s">
        <v>64</v>
      </c>
      <c r="B3" s="24" t="s">
        <v>83</v>
      </c>
      <c r="C3" s="17">
        <v>44674</v>
      </c>
      <c r="D3" s="15">
        <v>0</v>
      </c>
      <c r="E3" s="15">
        <v>24.4</v>
      </c>
      <c r="F3" s="15"/>
      <c r="G3" s="15"/>
      <c r="H3" s="15"/>
      <c r="I3" s="15"/>
    </row>
    <row r="4" spans="1:11" ht="30" customHeight="1" x14ac:dyDescent="0.35">
      <c r="A4" s="19" t="s">
        <v>66</v>
      </c>
      <c r="B4" s="25" t="s">
        <v>83</v>
      </c>
      <c r="C4" s="17">
        <v>44675</v>
      </c>
      <c r="D4" s="15">
        <v>1</v>
      </c>
      <c r="E4" s="15">
        <v>25.6</v>
      </c>
      <c r="F4" s="15">
        <f>(E4/E3)*100</f>
        <v>104.91803278688525</v>
      </c>
      <c r="G4" s="15"/>
      <c r="H4" s="15">
        <v>317</v>
      </c>
      <c r="I4" s="15">
        <f>(H4*20)/1000</f>
        <v>6.34</v>
      </c>
    </row>
    <row r="5" spans="1:11" ht="30" customHeight="1" x14ac:dyDescent="0.35">
      <c r="A5" s="19" t="s">
        <v>66</v>
      </c>
      <c r="B5" s="26" t="s">
        <v>83</v>
      </c>
      <c r="C5" s="17">
        <v>44676</v>
      </c>
      <c r="D5" s="15">
        <v>2</v>
      </c>
      <c r="E5" s="15">
        <v>25.8</v>
      </c>
      <c r="F5" s="15">
        <f>(E5/E3)*100</f>
        <v>105.7377049180328</v>
      </c>
      <c r="G5" s="15"/>
      <c r="H5" s="15">
        <f>(567-317)</f>
        <v>250</v>
      </c>
      <c r="I5" s="15">
        <f>(H5*20)/1000</f>
        <v>5</v>
      </c>
    </row>
    <row r="6" spans="1:11" ht="30" customHeight="1" x14ac:dyDescent="0.35">
      <c r="A6" s="20" t="s">
        <v>67</v>
      </c>
      <c r="B6" s="25" t="s">
        <v>83</v>
      </c>
      <c r="C6" s="17">
        <v>44677</v>
      </c>
      <c r="D6" s="15">
        <v>3</v>
      </c>
      <c r="E6" s="15">
        <v>26.4</v>
      </c>
      <c r="F6" s="15">
        <f>(E6/E3)*100</f>
        <v>108.19672131147541</v>
      </c>
      <c r="G6" s="15"/>
      <c r="H6" s="15">
        <f>(755-567)</f>
        <v>188</v>
      </c>
      <c r="I6" s="15">
        <f t="shared" ref="I6:I28" si="0">(H6*20)/1000</f>
        <v>3.76</v>
      </c>
    </row>
    <row r="7" spans="1:11" ht="30" customHeight="1" x14ac:dyDescent="0.35">
      <c r="A7" s="21" t="s">
        <v>67</v>
      </c>
      <c r="B7" s="27" t="s">
        <v>83</v>
      </c>
      <c r="C7" s="17">
        <v>44678</v>
      </c>
      <c r="D7" s="15">
        <v>4</v>
      </c>
      <c r="E7" s="15">
        <v>25.1</v>
      </c>
      <c r="F7" s="15">
        <f>(E7/E3)*100</f>
        <v>102.86885245901641</v>
      </c>
      <c r="G7" s="15"/>
      <c r="H7" s="15">
        <v>164</v>
      </c>
      <c r="I7" s="15">
        <f t="shared" si="0"/>
        <v>3.28</v>
      </c>
    </row>
    <row r="8" spans="1:11" ht="30" customHeight="1" x14ac:dyDescent="0.35">
      <c r="A8" s="21" t="s">
        <v>67</v>
      </c>
      <c r="B8" s="25" t="s">
        <v>83</v>
      </c>
      <c r="C8" s="17">
        <v>44679</v>
      </c>
      <c r="D8" s="15">
        <v>5</v>
      </c>
      <c r="E8" s="15">
        <v>25</v>
      </c>
      <c r="F8" s="15">
        <f>(E8/E3)*100</f>
        <v>102.45901639344264</v>
      </c>
      <c r="G8" s="15"/>
      <c r="H8" s="15">
        <f>(313-164)</f>
        <v>149</v>
      </c>
      <c r="I8" s="15">
        <f t="shared" si="0"/>
        <v>2.98</v>
      </c>
    </row>
    <row r="9" spans="1:11" ht="30" customHeight="1" x14ac:dyDescent="0.35">
      <c r="A9" s="21" t="s">
        <v>67</v>
      </c>
      <c r="B9" s="26" t="s">
        <v>83</v>
      </c>
      <c r="C9" s="17">
        <v>44680</v>
      </c>
      <c r="D9" s="15">
        <v>6</v>
      </c>
      <c r="E9" s="15">
        <v>24</v>
      </c>
      <c r="F9" s="15">
        <f>(E9/E3)*100</f>
        <v>98.360655737704931</v>
      </c>
      <c r="G9" s="15"/>
      <c r="H9" s="15">
        <f>(476-313)</f>
        <v>163</v>
      </c>
      <c r="I9" s="15">
        <f t="shared" si="0"/>
        <v>3.26</v>
      </c>
    </row>
    <row r="10" spans="1:11" ht="30" customHeight="1" x14ac:dyDescent="0.35">
      <c r="A10" s="21" t="s">
        <v>67</v>
      </c>
      <c r="B10" s="25" t="s">
        <v>83</v>
      </c>
      <c r="C10" s="17">
        <v>44681</v>
      </c>
      <c r="D10" s="15">
        <v>7</v>
      </c>
      <c r="E10" s="15">
        <v>23.6</v>
      </c>
      <c r="F10" s="15">
        <f>(E10/E3)*100</f>
        <v>96.721311475409848</v>
      </c>
      <c r="G10" s="15"/>
      <c r="H10" s="15">
        <f>(664-476)</f>
        <v>188</v>
      </c>
      <c r="I10" s="15">
        <f t="shared" si="0"/>
        <v>3.76</v>
      </c>
    </row>
    <row r="11" spans="1:11" ht="30" customHeight="1" x14ac:dyDescent="0.35">
      <c r="A11" s="21" t="s">
        <v>67</v>
      </c>
      <c r="B11" s="26" t="s">
        <v>83</v>
      </c>
      <c r="C11" s="17">
        <v>44682</v>
      </c>
      <c r="D11" s="15">
        <v>8</v>
      </c>
      <c r="E11" s="15">
        <v>23.6</v>
      </c>
      <c r="F11" s="15">
        <f>(E11/E3)*100</f>
        <v>96.721311475409848</v>
      </c>
      <c r="G11" s="15"/>
      <c r="H11" s="34">
        <f>(915-664)- 25</f>
        <v>226</v>
      </c>
      <c r="I11" s="15">
        <f t="shared" si="0"/>
        <v>4.5199999999999996</v>
      </c>
      <c r="K11">
        <v>25</v>
      </c>
    </row>
    <row r="12" spans="1:11" ht="30" customHeight="1" x14ac:dyDescent="0.35">
      <c r="A12" s="21" t="s">
        <v>67</v>
      </c>
      <c r="B12" s="25" t="s">
        <v>83</v>
      </c>
      <c r="C12" s="17">
        <v>44683</v>
      </c>
      <c r="D12" s="15">
        <v>9</v>
      </c>
      <c r="E12" s="15">
        <v>23.5</v>
      </c>
      <c r="F12" s="15">
        <f>(E12/E3)*100</f>
        <v>96.311475409836063</v>
      </c>
      <c r="G12" s="15"/>
      <c r="H12" s="34">
        <f>(1197-915)-32</f>
        <v>250</v>
      </c>
      <c r="I12" s="15">
        <f t="shared" si="0"/>
        <v>5</v>
      </c>
      <c r="K12">
        <v>32</v>
      </c>
    </row>
    <row r="13" spans="1:11" ht="30" customHeight="1" x14ac:dyDescent="0.35">
      <c r="A13" s="22" t="s">
        <v>68</v>
      </c>
      <c r="B13" s="26" t="s">
        <v>83</v>
      </c>
      <c r="C13" s="17">
        <v>44684</v>
      </c>
      <c r="D13" s="15">
        <v>10</v>
      </c>
      <c r="E13" s="15">
        <v>23.6</v>
      </c>
      <c r="F13" s="15">
        <f>(E13/E3)*100</f>
        <v>96.721311475409848</v>
      </c>
      <c r="G13" s="15"/>
      <c r="H13" s="34">
        <f>(1499-1197)-70</f>
        <v>232</v>
      </c>
      <c r="I13" s="15">
        <f t="shared" si="0"/>
        <v>4.6399999999999997</v>
      </c>
      <c r="K13">
        <v>70</v>
      </c>
    </row>
    <row r="14" spans="1:11" ht="30" customHeight="1" x14ac:dyDescent="0.35">
      <c r="A14" s="22" t="s">
        <v>68</v>
      </c>
      <c r="B14" s="25" t="s">
        <v>83</v>
      </c>
      <c r="C14" s="17">
        <v>44685</v>
      </c>
      <c r="D14" s="15">
        <v>11</v>
      </c>
      <c r="E14" s="15">
        <v>24.9</v>
      </c>
      <c r="F14" s="15">
        <f>(E14/E3)*100</f>
        <v>102.04918032786885</v>
      </c>
      <c r="G14" s="15"/>
      <c r="H14" s="34">
        <v>275</v>
      </c>
      <c r="I14" s="15">
        <f t="shared" si="0"/>
        <v>5.5</v>
      </c>
      <c r="K14">
        <v>32</v>
      </c>
    </row>
    <row r="15" spans="1:11" ht="30" customHeight="1" x14ac:dyDescent="0.35">
      <c r="A15" s="22" t="s">
        <v>68</v>
      </c>
      <c r="B15" s="26" t="s">
        <v>83</v>
      </c>
      <c r="C15" s="17">
        <v>44686</v>
      </c>
      <c r="D15" s="15">
        <v>12</v>
      </c>
      <c r="E15" s="15">
        <v>25</v>
      </c>
      <c r="F15" s="15">
        <f>(E15/E3)*100</f>
        <v>102.45901639344264</v>
      </c>
      <c r="G15" s="15"/>
      <c r="H15" s="34">
        <f>(565-307)-25</f>
        <v>233</v>
      </c>
      <c r="I15" s="15">
        <f t="shared" si="0"/>
        <v>4.66</v>
      </c>
      <c r="K15">
        <v>25</v>
      </c>
    </row>
    <row r="16" spans="1:11" ht="30" customHeight="1" x14ac:dyDescent="0.35">
      <c r="A16" s="22" t="s">
        <v>68</v>
      </c>
      <c r="B16" s="25" t="s">
        <v>83</v>
      </c>
      <c r="C16" s="17">
        <v>44687</v>
      </c>
      <c r="D16" s="15">
        <v>13</v>
      </c>
      <c r="E16" s="15">
        <v>24.5</v>
      </c>
      <c r="F16" s="15">
        <f>(E16/E3)*100</f>
        <v>100.40983606557377</v>
      </c>
      <c r="G16" s="15"/>
      <c r="H16" s="34">
        <f>(807-565)-25</f>
        <v>217</v>
      </c>
      <c r="I16" s="15">
        <f t="shared" si="0"/>
        <v>4.34</v>
      </c>
      <c r="K16">
        <v>25</v>
      </c>
    </row>
    <row r="17" spans="1:11" ht="30" customHeight="1" x14ac:dyDescent="0.35">
      <c r="A17" s="22" t="s">
        <v>68</v>
      </c>
      <c r="B17" s="26" t="s">
        <v>83</v>
      </c>
      <c r="C17" s="17">
        <v>44688</v>
      </c>
      <c r="D17" s="15">
        <v>14</v>
      </c>
      <c r="E17" s="15">
        <v>25</v>
      </c>
      <c r="F17" s="15">
        <f>(E17/E3)*100</f>
        <v>102.45901639344264</v>
      </c>
      <c r="G17" s="15"/>
      <c r="H17" s="34">
        <f>(1028-807)-13</f>
        <v>208</v>
      </c>
      <c r="I17" s="15">
        <f t="shared" si="0"/>
        <v>4.16</v>
      </c>
      <c r="K17">
        <v>13</v>
      </c>
    </row>
    <row r="18" spans="1:11" ht="30" customHeight="1" x14ac:dyDescent="0.35">
      <c r="A18" s="22" t="s">
        <v>68</v>
      </c>
      <c r="B18" s="25" t="s">
        <v>83</v>
      </c>
      <c r="C18" s="17">
        <v>44689</v>
      </c>
      <c r="D18" s="15">
        <v>15</v>
      </c>
      <c r="E18" s="15">
        <v>25.1</v>
      </c>
      <c r="F18" s="15">
        <f>(E18/E3)*100</f>
        <v>102.86885245901641</v>
      </c>
      <c r="G18" s="15"/>
      <c r="H18" s="34">
        <f>(1275-1028)-40</f>
        <v>207</v>
      </c>
      <c r="I18" s="15">
        <f t="shared" si="0"/>
        <v>4.1399999999999997</v>
      </c>
      <c r="K18">
        <v>40</v>
      </c>
    </row>
    <row r="19" spans="1:11" ht="30" customHeight="1" x14ac:dyDescent="0.35">
      <c r="A19" s="22" t="s">
        <v>68</v>
      </c>
      <c r="B19" s="26" t="s">
        <v>83</v>
      </c>
      <c r="C19" s="17">
        <v>44690</v>
      </c>
      <c r="D19" s="15">
        <v>16</v>
      </c>
      <c r="E19" s="15">
        <v>25.2</v>
      </c>
      <c r="F19" s="15">
        <f>(E19/E3)*100</f>
        <v>103.27868852459017</v>
      </c>
      <c r="G19" s="15"/>
      <c r="H19" s="34">
        <f>(1510-1275)-14</f>
        <v>221</v>
      </c>
      <c r="I19" s="15">
        <f t="shared" si="0"/>
        <v>4.42</v>
      </c>
      <c r="K19">
        <v>14</v>
      </c>
    </row>
    <row r="20" spans="1:11" ht="30" customHeight="1" x14ac:dyDescent="0.35">
      <c r="A20" s="22" t="s">
        <v>69</v>
      </c>
      <c r="B20" s="25" t="s">
        <v>83</v>
      </c>
      <c r="C20" s="17">
        <v>44691</v>
      </c>
      <c r="D20" s="15">
        <v>17</v>
      </c>
      <c r="E20" s="15">
        <v>25.5</v>
      </c>
      <c r="F20" s="15">
        <f>(E20/E3)*100</f>
        <v>104.50819672131149</v>
      </c>
      <c r="G20" s="15"/>
      <c r="H20" s="34">
        <f>(1709-1510)-25</f>
        <v>174</v>
      </c>
      <c r="I20" s="15">
        <f t="shared" si="0"/>
        <v>3.48</v>
      </c>
      <c r="K20">
        <v>25</v>
      </c>
    </row>
    <row r="21" spans="1:11" ht="30" customHeight="1" x14ac:dyDescent="0.35">
      <c r="A21" s="22" t="s">
        <v>70</v>
      </c>
      <c r="B21" s="26" t="s">
        <v>83</v>
      </c>
      <c r="C21" s="17">
        <v>44692</v>
      </c>
      <c r="D21" s="15">
        <v>18</v>
      </c>
      <c r="E21" s="15">
        <v>23.8</v>
      </c>
      <c r="F21" s="15">
        <f>(E21/E3)*100</f>
        <v>97.54098360655739</v>
      </c>
      <c r="G21" s="15"/>
      <c r="H21" s="15">
        <v>142</v>
      </c>
      <c r="I21" s="15">
        <f t="shared" si="0"/>
        <v>2.84</v>
      </c>
    </row>
    <row r="22" spans="1:11" ht="30" customHeight="1" x14ac:dyDescent="0.35">
      <c r="A22" s="22" t="s">
        <v>71</v>
      </c>
      <c r="B22" s="28" t="s">
        <v>72</v>
      </c>
      <c r="C22" s="17">
        <v>44693</v>
      </c>
      <c r="D22" s="15">
        <v>19</v>
      </c>
      <c r="E22" s="15">
        <v>25.9</v>
      </c>
      <c r="F22" s="15">
        <f>(E22/E3)*100</f>
        <v>106.14754098360655</v>
      </c>
      <c r="G22" s="15"/>
      <c r="H22" s="15">
        <v>189</v>
      </c>
      <c r="I22" s="15">
        <f t="shared" si="0"/>
        <v>3.78</v>
      </c>
    </row>
    <row r="23" spans="1:11" ht="30" customHeight="1" x14ac:dyDescent="0.35">
      <c r="A23" s="22" t="s">
        <v>71</v>
      </c>
      <c r="B23" s="28" t="s">
        <v>72</v>
      </c>
      <c r="C23" s="17">
        <v>44694</v>
      </c>
      <c r="D23" s="15">
        <v>20</v>
      </c>
      <c r="E23" s="15">
        <v>27.9</v>
      </c>
      <c r="F23" s="15">
        <f>(E23/E3)*100</f>
        <v>114.34426229508196</v>
      </c>
      <c r="G23" s="47"/>
      <c r="H23" s="52"/>
      <c r="I23" s="15">
        <f>(H23*20)/1000</f>
        <v>0</v>
      </c>
      <c r="J23">
        <f t="shared" ref="J23:J28" si="1">(G23*20)/1000</f>
        <v>0</v>
      </c>
    </row>
    <row r="24" spans="1:11" ht="30" customHeight="1" x14ac:dyDescent="0.35">
      <c r="A24" s="22" t="s">
        <v>71</v>
      </c>
      <c r="B24" s="28" t="s">
        <v>72</v>
      </c>
      <c r="C24" s="17">
        <v>44695</v>
      </c>
      <c r="D24" s="15">
        <v>21</v>
      </c>
      <c r="E24" s="15">
        <v>28.1</v>
      </c>
      <c r="F24" s="15">
        <f>(E24/E3)*100</f>
        <v>115.16393442622952</v>
      </c>
      <c r="G24" s="48"/>
      <c r="H24" s="52"/>
      <c r="I24" s="15">
        <f>(H24*20)/1000</f>
        <v>0</v>
      </c>
      <c r="J24">
        <f t="shared" si="1"/>
        <v>0</v>
      </c>
    </row>
    <row r="25" spans="1:11" ht="30" customHeight="1" x14ac:dyDescent="0.35">
      <c r="A25" s="23" t="s">
        <v>73</v>
      </c>
      <c r="B25" s="25" t="s">
        <v>84</v>
      </c>
      <c r="C25" s="17">
        <v>44696</v>
      </c>
      <c r="D25" s="15">
        <v>22</v>
      </c>
      <c r="E25" s="15">
        <v>27.2</v>
      </c>
      <c r="F25" s="15">
        <f>(E25/E3)*100</f>
        <v>111.47540983606558</v>
      </c>
      <c r="G25" s="49"/>
      <c r="H25" s="52"/>
      <c r="I25" s="15">
        <f>(H25*20)/1000</f>
        <v>0</v>
      </c>
      <c r="J25">
        <f t="shared" si="1"/>
        <v>0</v>
      </c>
    </row>
    <row r="26" spans="1:11" ht="30" customHeight="1" x14ac:dyDescent="0.35">
      <c r="A26" s="23" t="s">
        <v>73</v>
      </c>
      <c r="B26" s="26" t="s">
        <v>84</v>
      </c>
      <c r="C26" s="17">
        <v>44697</v>
      </c>
      <c r="D26" s="15">
        <v>23</v>
      </c>
      <c r="E26" s="15">
        <v>25.8</v>
      </c>
      <c r="F26" s="15">
        <f>(E26/E3)*100</f>
        <v>105.7377049180328</v>
      </c>
      <c r="G26" s="47">
        <v>68</v>
      </c>
      <c r="H26" s="51">
        <v>25</v>
      </c>
      <c r="I26" s="15">
        <f>(H26*20)/1000</f>
        <v>0.5</v>
      </c>
      <c r="J26">
        <f t="shared" si="1"/>
        <v>1.36</v>
      </c>
    </row>
    <row r="27" spans="1:11" ht="30" customHeight="1" x14ac:dyDescent="0.35">
      <c r="A27" s="23" t="s">
        <v>73</v>
      </c>
      <c r="B27" s="29" t="s">
        <v>84</v>
      </c>
      <c r="C27" s="17">
        <v>44698</v>
      </c>
      <c r="D27" s="15">
        <v>24</v>
      </c>
      <c r="E27" s="15">
        <v>25.2</v>
      </c>
      <c r="F27" s="15">
        <f>(E27/E3)*100</f>
        <v>103.27868852459017</v>
      </c>
      <c r="G27" s="50">
        <f>162-68</f>
        <v>94</v>
      </c>
      <c r="H27" s="53">
        <f>49-25</f>
        <v>24</v>
      </c>
      <c r="I27" s="15">
        <f>(H27*20)/1000</f>
        <v>0.48</v>
      </c>
      <c r="J27">
        <f t="shared" si="1"/>
        <v>1.88</v>
      </c>
    </row>
    <row r="28" spans="1:11" ht="30" customHeight="1" x14ac:dyDescent="0.35">
      <c r="B28" s="30" t="s">
        <v>84</v>
      </c>
      <c r="C28" s="17">
        <v>44699</v>
      </c>
      <c r="D28" s="15">
        <v>25</v>
      </c>
      <c r="E28">
        <v>25</v>
      </c>
      <c r="F28" s="15">
        <f>(E28/E3)*100</f>
        <v>102.45901639344264</v>
      </c>
      <c r="G28" s="50">
        <f>249-162</f>
        <v>87</v>
      </c>
      <c r="H28" s="53">
        <f>87-49</f>
        <v>38</v>
      </c>
      <c r="I28" s="15">
        <f t="shared" si="0"/>
        <v>0.76</v>
      </c>
      <c r="J28">
        <f t="shared" si="1"/>
        <v>1.74</v>
      </c>
    </row>
    <row r="31" spans="1:11" ht="200.25" customHeight="1" x14ac:dyDescent="0.35">
      <c r="A31" t="s">
        <v>85</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C730B4-A101-4FCC-B5EA-B76092324D2B}">
  <dimension ref="A1:K34"/>
  <sheetViews>
    <sheetView topLeftCell="A17" workbookViewId="0">
      <selection activeCell="K3" sqref="K3:K28"/>
    </sheetView>
  </sheetViews>
  <sheetFormatPr defaultRowHeight="14.5" x14ac:dyDescent="0.35"/>
  <cols>
    <col min="1" max="2" width="20.54296875" customWidth="1"/>
    <col min="3" max="3" width="30.7265625" customWidth="1"/>
    <col min="4" max="9" width="20.54296875" customWidth="1"/>
  </cols>
  <sheetData>
    <row r="1" spans="1:11" ht="30" customHeight="1" x14ac:dyDescent="0.35">
      <c r="A1" s="13" t="s">
        <v>56</v>
      </c>
      <c r="B1" s="12"/>
      <c r="C1" s="12"/>
      <c r="D1" s="5"/>
      <c r="E1" s="12"/>
      <c r="F1" s="12"/>
      <c r="G1" s="12"/>
      <c r="H1" s="12"/>
      <c r="I1" s="12"/>
    </row>
    <row r="2" spans="1:11" ht="30" customHeight="1" x14ac:dyDescent="0.35">
      <c r="A2" s="13" t="s">
        <v>86</v>
      </c>
      <c r="B2" s="14" t="s">
        <v>58</v>
      </c>
      <c r="C2" s="14" t="s">
        <v>0</v>
      </c>
      <c r="D2" s="14" t="s">
        <v>1</v>
      </c>
      <c r="E2" s="14" t="s">
        <v>59</v>
      </c>
      <c r="F2" s="14" t="s">
        <v>60</v>
      </c>
      <c r="G2" s="14"/>
      <c r="H2" s="14" t="s">
        <v>61</v>
      </c>
      <c r="I2" s="14" t="s">
        <v>62</v>
      </c>
      <c r="K2" s="35" t="s">
        <v>63</v>
      </c>
    </row>
    <row r="3" spans="1:11" ht="30" customHeight="1" x14ac:dyDescent="0.35">
      <c r="A3" s="18" t="s">
        <v>64</v>
      </c>
      <c r="B3" s="24" t="s">
        <v>87</v>
      </c>
      <c r="C3" s="17">
        <v>44674</v>
      </c>
      <c r="D3" s="15">
        <v>0</v>
      </c>
      <c r="E3" s="15">
        <v>24.6</v>
      </c>
      <c r="F3" s="15"/>
      <c r="G3" s="15"/>
      <c r="H3" s="15"/>
      <c r="I3" s="15"/>
    </row>
    <row r="4" spans="1:11" ht="30" customHeight="1" x14ac:dyDescent="0.35">
      <c r="A4" s="19" t="s">
        <v>66</v>
      </c>
      <c r="B4" s="25" t="s">
        <v>87</v>
      </c>
      <c r="C4" s="17">
        <v>44675</v>
      </c>
      <c r="D4" s="15">
        <v>1</v>
      </c>
      <c r="E4" s="15">
        <v>26.4</v>
      </c>
      <c r="F4" s="15">
        <f>(E4/E3)*100</f>
        <v>107.31707317073169</v>
      </c>
      <c r="G4" s="15"/>
      <c r="H4" s="15">
        <v>271</v>
      </c>
      <c r="I4" s="15">
        <f>(H4*20)/1000</f>
        <v>5.42</v>
      </c>
    </row>
    <row r="5" spans="1:11" ht="30" customHeight="1" x14ac:dyDescent="0.35">
      <c r="A5" s="19" t="s">
        <v>66</v>
      </c>
      <c r="B5" s="26" t="s">
        <v>87</v>
      </c>
      <c r="C5" s="17">
        <v>44676</v>
      </c>
      <c r="D5" s="15">
        <v>2</v>
      </c>
      <c r="E5" s="15">
        <v>26.5</v>
      </c>
      <c r="F5" s="15">
        <f>(E5/E3)*100</f>
        <v>107.72357723577235</v>
      </c>
      <c r="G5" s="15"/>
      <c r="H5" s="15">
        <f>(491-271)</f>
        <v>220</v>
      </c>
      <c r="I5" s="15">
        <f>(H5*20)/1000</f>
        <v>4.4000000000000004</v>
      </c>
    </row>
    <row r="6" spans="1:11" ht="30" customHeight="1" x14ac:dyDescent="0.35">
      <c r="A6" s="20" t="s">
        <v>67</v>
      </c>
      <c r="B6" s="25" t="s">
        <v>87</v>
      </c>
      <c r="C6" s="17">
        <v>44677</v>
      </c>
      <c r="D6" s="15">
        <v>3</v>
      </c>
      <c r="E6" s="15">
        <v>26.3</v>
      </c>
      <c r="F6" s="15">
        <f>(E6/E3)*100</f>
        <v>106.91056910569105</v>
      </c>
      <c r="G6" s="15"/>
      <c r="H6" s="15">
        <f>(715-491)</f>
        <v>224</v>
      </c>
      <c r="I6" s="15">
        <f t="shared" ref="I6:I28" si="0">(H6*20)/1000</f>
        <v>4.4800000000000004</v>
      </c>
    </row>
    <row r="7" spans="1:11" ht="30" customHeight="1" x14ac:dyDescent="0.35">
      <c r="A7" s="21" t="s">
        <v>67</v>
      </c>
      <c r="B7" s="27" t="s">
        <v>87</v>
      </c>
      <c r="C7" s="17">
        <v>44678</v>
      </c>
      <c r="D7" s="15">
        <v>4</v>
      </c>
      <c r="E7" s="15">
        <v>24.9</v>
      </c>
      <c r="F7" s="15">
        <f>(E7/E3)*100</f>
        <v>101.21951219512194</v>
      </c>
      <c r="G7" s="15"/>
      <c r="H7" s="15">
        <v>157</v>
      </c>
      <c r="I7" s="15">
        <f t="shared" si="0"/>
        <v>3.14</v>
      </c>
    </row>
    <row r="8" spans="1:11" ht="30" customHeight="1" x14ac:dyDescent="0.35">
      <c r="A8" s="21" t="s">
        <v>67</v>
      </c>
      <c r="B8" s="25" t="s">
        <v>87</v>
      </c>
      <c r="C8" s="17">
        <v>44679</v>
      </c>
      <c r="D8" s="15">
        <v>5</v>
      </c>
      <c r="E8" s="15">
        <v>24.8</v>
      </c>
      <c r="F8" s="15">
        <f>(E8/E3)*100</f>
        <v>100.8130081300813</v>
      </c>
      <c r="G8" s="15"/>
      <c r="H8" s="15">
        <f>(323-157)</f>
        <v>166</v>
      </c>
      <c r="I8" s="15">
        <f t="shared" si="0"/>
        <v>3.32</v>
      </c>
    </row>
    <row r="9" spans="1:11" ht="30" customHeight="1" x14ac:dyDescent="0.35">
      <c r="A9" s="21" t="s">
        <v>67</v>
      </c>
      <c r="B9" s="26" t="s">
        <v>87</v>
      </c>
      <c r="C9" s="17">
        <v>44680</v>
      </c>
      <c r="D9" s="15">
        <v>6</v>
      </c>
      <c r="E9" s="15">
        <v>24.2</v>
      </c>
      <c r="F9" s="15">
        <f>(E9/E3)*100</f>
        <v>98.373983739837385</v>
      </c>
      <c r="G9" s="15"/>
      <c r="H9" s="15">
        <f>(533-323)</f>
        <v>210</v>
      </c>
      <c r="I9" s="15">
        <f t="shared" si="0"/>
        <v>4.2</v>
      </c>
    </row>
    <row r="10" spans="1:11" ht="30" customHeight="1" x14ac:dyDescent="0.35">
      <c r="A10" s="21" t="s">
        <v>67</v>
      </c>
      <c r="B10" s="25" t="s">
        <v>87</v>
      </c>
      <c r="C10" s="17">
        <v>44681</v>
      </c>
      <c r="D10" s="15">
        <v>7</v>
      </c>
      <c r="E10" s="15">
        <v>24.2</v>
      </c>
      <c r="F10" s="15">
        <f>(E10/E3)*100</f>
        <v>98.373983739837385</v>
      </c>
      <c r="G10" s="15"/>
      <c r="H10" s="34">
        <f>(759-533)-25</f>
        <v>201</v>
      </c>
      <c r="I10" s="15">
        <f t="shared" si="0"/>
        <v>4.0199999999999996</v>
      </c>
      <c r="K10">
        <v>25</v>
      </c>
    </row>
    <row r="11" spans="1:11" ht="30" customHeight="1" x14ac:dyDescent="0.35">
      <c r="A11" s="21" t="s">
        <v>67</v>
      </c>
      <c r="B11" s="26" t="s">
        <v>87</v>
      </c>
      <c r="C11" s="17">
        <v>44682</v>
      </c>
      <c r="D11" s="15">
        <v>8</v>
      </c>
      <c r="E11" s="15">
        <v>24.2</v>
      </c>
      <c r="F11" s="15">
        <f>(E11/E3)*100</f>
        <v>98.373983739837385</v>
      </c>
      <c r="G11" s="15"/>
      <c r="H11" s="34">
        <f>(1013-759)-30</f>
        <v>224</v>
      </c>
      <c r="I11" s="15">
        <f t="shared" si="0"/>
        <v>4.4800000000000004</v>
      </c>
      <c r="K11">
        <v>30</v>
      </c>
    </row>
    <row r="12" spans="1:11" ht="30" customHeight="1" x14ac:dyDescent="0.35">
      <c r="A12" s="21" t="s">
        <v>67</v>
      </c>
      <c r="B12" s="25" t="s">
        <v>87</v>
      </c>
      <c r="C12" s="17">
        <v>44683</v>
      </c>
      <c r="D12" s="15">
        <v>9</v>
      </c>
      <c r="E12" s="15">
        <v>24.2</v>
      </c>
      <c r="F12" s="15">
        <f>(E12/E3)*100</f>
        <v>98.373983739837385</v>
      </c>
      <c r="G12" s="15"/>
      <c r="H12" s="34">
        <f>(1256-1013)-26</f>
        <v>217</v>
      </c>
      <c r="I12" s="15">
        <f t="shared" si="0"/>
        <v>4.34</v>
      </c>
      <c r="K12">
        <v>26</v>
      </c>
    </row>
    <row r="13" spans="1:11" ht="30" customHeight="1" x14ac:dyDescent="0.35">
      <c r="A13" s="22" t="s">
        <v>68</v>
      </c>
      <c r="B13" s="26" t="s">
        <v>87</v>
      </c>
      <c r="C13" s="17">
        <v>44684</v>
      </c>
      <c r="D13" s="15">
        <v>10</v>
      </c>
      <c r="E13" s="15">
        <v>24.4</v>
      </c>
      <c r="F13" s="15">
        <f>(E13/E3)*100</f>
        <v>99.186991869918685</v>
      </c>
      <c r="G13" s="15"/>
      <c r="H13" s="34">
        <f>(1554-1256)-30</f>
        <v>268</v>
      </c>
      <c r="I13" s="15">
        <f t="shared" si="0"/>
        <v>5.36</v>
      </c>
      <c r="K13">
        <v>30</v>
      </c>
    </row>
    <row r="14" spans="1:11" ht="30" customHeight="1" x14ac:dyDescent="0.35">
      <c r="A14" s="22" t="s">
        <v>68</v>
      </c>
      <c r="B14" s="25" t="s">
        <v>87</v>
      </c>
      <c r="C14" s="17">
        <v>44685</v>
      </c>
      <c r="D14" s="15">
        <v>11</v>
      </c>
      <c r="E14" s="15">
        <v>25.3</v>
      </c>
      <c r="F14" s="15">
        <f>(E14/E3)*100</f>
        <v>102.84552845528454</v>
      </c>
      <c r="G14" s="15"/>
      <c r="H14" s="34">
        <v>222</v>
      </c>
      <c r="I14" s="15">
        <f t="shared" si="0"/>
        <v>4.4400000000000004</v>
      </c>
      <c r="K14">
        <v>45</v>
      </c>
    </row>
    <row r="15" spans="1:11" ht="30" customHeight="1" x14ac:dyDescent="0.35">
      <c r="A15" s="22" t="s">
        <v>68</v>
      </c>
      <c r="B15" s="26" t="s">
        <v>87</v>
      </c>
      <c r="C15" s="17">
        <v>44686</v>
      </c>
      <c r="D15" s="15">
        <v>12</v>
      </c>
      <c r="E15" s="15">
        <v>25.3</v>
      </c>
      <c r="F15" s="15">
        <f>(E15/E3)*100</f>
        <v>102.84552845528454</v>
      </c>
      <c r="G15" s="15"/>
      <c r="H15" s="34">
        <f>(553-267)-45</f>
        <v>241</v>
      </c>
      <c r="I15" s="15">
        <f t="shared" si="0"/>
        <v>4.82</v>
      </c>
      <c r="K15">
        <v>45</v>
      </c>
    </row>
    <row r="16" spans="1:11" ht="30" customHeight="1" x14ac:dyDescent="0.35">
      <c r="A16" s="22" t="s">
        <v>68</v>
      </c>
      <c r="B16" s="25" t="s">
        <v>87</v>
      </c>
      <c r="C16" s="17">
        <v>44687</v>
      </c>
      <c r="D16" s="15">
        <v>13</v>
      </c>
      <c r="E16" s="15">
        <v>24.9</v>
      </c>
      <c r="F16" s="15">
        <f>(E16/E3)*100</f>
        <v>101.21951219512194</v>
      </c>
      <c r="G16" s="15"/>
      <c r="H16" s="34">
        <f>(802-553)-25</f>
        <v>224</v>
      </c>
      <c r="I16" s="15">
        <f t="shared" si="0"/>
        <v>4.4800000000000004</v>
      </c>
      <c r="K16">
        <v>25</v>
      </c>
    </row>
    <row r="17" spans="1:11" ht="30" customHeight="1" x14ac:dyDescent="0.35">
      <c r="A17" s="22" t="s">
        <v>68</v>
      </c>
      <c r="B17" s="26" t="s">
        <v>87</v>
      </c>
      <c r="C17" s="17">
        <v>44688</v>
      </c>
      <c r="D17" s="15">
        <v>14</v>
      </c>
      <c r="E17" s="15">
        <v>25.9</v>
      </c>
      <c r="F17" s="15">
        <f>(E17/E3)*100</f>
        <v>105.28455284552845</v>
      </c>
      <c r="G17" s="15"/>
      <c r="H17" s="34">
        <f>(1076-802)-20</f>
        <v>254</v>
      </c>
      <c r="I17" s="15">
        <f t="shared" si="0"/>
        <v>5.08</v>
      </c>
      <c r="K17">
        <v>20</v>
      </c>
    </row>
    <row r="18" spans="1:11" ht="30" customHeight="1" x14ac:dyDescent="0.35">
      <c r="A18" s="22" t="s">
        <v>68</v>
      </c>
      <c r="B18" s="25" t="s">
        <v>87</v>
      </c>
      <c r="C18" s="17">
        <v>44689</v>
      </c>
      <c r="D18" s="15">
        <v>15</v>
      </c>
      <c r="E18" s="15">
        <v>26.8</v>
      </c>
      <c r="F18" s="15">
        <f>(E18/E3)*100</f>
        <v>108.9430894308943</v>
      </c>
      <c r="G18" s="15"/>
      <c r="H18" s="34">
        <f>(1315-1076)-38</f>
        <v>201</v>
      </c>
      <c r="I18" s="15">
        <f t="shared" si="0"/>
        <v>4.0199999999999996</v>
      </c>
      <c r="K18">
        <v>38</v>
      </c>
    </row>
    <row r="19" spans="1:11" ht="30" customHeight="1" x14ac:dyDescent="0.35">
      <c r="A19" s="22" t="s">
        <v>68</v>
      </c>
      <c r="B19" s="26" t="s">
        <v>87</v>
      </c>
      <c r="C19" s="17">
        <v>44690</v>
      </c>
      <c r="D19" s="15">
        <v>16</v>
      </c>
      <c r="E19" s="37">
        <v>26</v>
      </c>
      <c r="F19" s="15">
        <f>(E19/E3)*100</f>
        <v>105.6910569105691</v>
      </c>
      <c r="G19" s="15"/>
      <c r="H19" s="34">
        <f>(1555-1315)-13</f>
        <v>227</v>
      </c>
      <c r="I19" s="15">
        <f t="shared" si="0"/>
        <v>4.54</v>
      </c>
      <c r="K19">
        <v>13</v>
      </c>
    </row>
    <row r="20" spans="1:11" ht="30" customHeight="1" x14ac:dyDescent="0.35">
      <c r="A20" s="22" t="s">
        <v>69</v>
      </c>
      <c r="B20" s="25" t="s">
        <v>87</v>
      </c>
      <c r="C20" s="17">
        <v>44691</v>
      </c>
      <c r="D20" s="15">
        <v>17</v>
      </c>
      <c r="E20" s="15">
        <v>26.4</v>
      </c>
      <c r="F20" s="15">
        <f>(E20/E3)*100</f>
        <v>107.31707317073169</v>
      </c>
      <c r="G20" s="15"/>
      <c r="H20" s="34">
        <f>(1768-1555)-13</f>
        <v>200</v>
      </c>
      <c r="I20" s="15">
        <f t="shared" si="0"/>
        <v>4</v>
      </c>
      <c r="K20">
        <v>13</v>
      </c>
    </row>
    <row r="21" spans="1:11" ht="30" customHeight="1" x14ac:dyDescent="0.35">
      <c r="A21" s="22" t="s">
        <v>70</v>
      </c>
      <c r="B21" s="26" t="s">
        <v>87</v>
      </c>
      <c r="C21" s="17">
        <v>44692</v>
      </c>
      <c r="D21" s="15">
        <v>18</v>
      </c>
      <c r="E21" s="15">
        <v>26.2</v>
      </c>
      <c r="F21" s="15">
        <f>(E21/E3)*100</f>
        <v>106.5040650406504</v>
      </c>
      <c r="G21" s="15"/>
      <c r="H21" s="15">
        <v>153</v>
      </c>
      <c r="I21" s="15">
        <f t="shared" si="0"/>
        <v>3.06</v>
      </c>
    </row>
    <row r="22" spans="1:11" ht="30" customHeight="1" x14ac:dyDescent="0.35">
      <c r="A22" s="22" t="s">
        <v>71</v>
      </c>
      <c r="B22" s="28" t="s">
        <v>72</v>
      </c>
      <c r="C22" s="17">
        <v>44693</v>
      </c>
      <c r="D22" s="15">
        <v>19</v>
      </c>
      <c r="E22" s="15">
        <v>27.2</v>
      </c>
      <c r="F22" s="15">
        <f>(E22/E3)*100</f>
        <v>110.56910569105689</v>
      </c>
      <c r="G22" s="15"/>
      <c r="H22" s="15">
        <v>159</v>
      </c>
      <c r="I22" s="15">
        <f t="shared" si="0"/>
        <v>3.18</v>
      </c>
    </row>
    <row r="23" spans="1:11" ht="30" customHeight="1" x14ac:dyDescent="0.35">
      <c r="A23" s="22" t="s">
        <v>71</v>
      </c>
      <c r="B23" s="28" t="s">
        <v>72</v>
      </c>
      <c r="C23" s="17">
        <v>44694</v>
      </c>
      <c r="D23" s="15">
        <v>20</v>
      </c>
      <c r="E23" s="15">
        <v>28.6</v>
      </c>
      <c r="F23" s="15">
        <f>(E23/E3)*100</f>
        <v>116.26016260162602</v>
      </c>
      <c r="G23" s="47"/>
      <c r="H23" s="52"/>
      <c r="I23" s="15">
        <f>(H23*20)/1000</f>
        <v>0</v>
      </c>
      <c r="J23">
        <f t="shared" ref="J23:J28" si="1">(G23*20)/1000</f>
        <v>0</v>
      </c>
    </row>
    <row r="24" spans="1:11" ht="30" customHeight="1" x14ac:dyDescent="0.35">
      <c r="A24" s="22" t="s">
        <v>71</v>
      </c>
      <c r="B24" s="28" t="s">
        <v>72</v>
      </c>
      <c r="C24" s="17">
        <v>44695</v>
      </c>
      <c r="D24" s="15">
        <v>21</v>
      </c>
      <c r="E24" s="15">
        <v>28.6</v>
      </c>
      <c r="F24" s="15">
        <f>(E24/E3)*100</f>
        <v>116.26016260162602</v>
      </c>
      <c r="G24" s="48"/>
      <c r="H24" s="52"/>
      <c r="I24" s="15">
        <f>(H24*20)/1000</f>
        <v>0</v>
      </c>
      <c r="J24">
        <f t="shared" si="1"/>
        <v>0</v>
      </c>
    </row>
    <row r="25" spans="1:11" ht="30" customHeight="1" x14ac:dyDescent="0.35">
      <c r="A25" s="23" t="s">
        <v>73</v>
      </c>
      <c r="B25" s="25" t="s">
        <v>88</v>
      </c>
      <c r="C25" s="17">
        <v>44696</v>
      </c>
      <c r="D25" s="15">
        <v>22</v>
      </c>
      <c r="E25" s="15">
        <v>28.7</v>
      </c>
      <c r="F25" s="15">
        <f>(E25/E3)*100</f>
        <v>116.66666666666666</v>
      </c>
      <c r="G25" s="49"/>
      <c r="H25" s="52"/>
      <c r="I25" s="15">
        <f>(H25*20)/1000</f>
        <v>0</v>
      </c>
      <c r="J25">
        <f t="shared" si="1"/>
        <v>0</v>
      </c>
    </row>
    <row r="26" spans="1:11" ht="30" customHeight="1" x14ac:dyDescent="0.35">
      <c r="A26" s="23" t="s">
        <v>73</v>
      </c>
      <c r="B26" s="26" t="s">
        <v>88</v>
      </c>
      <c r="C26" s="17">
        <v>44697</v>
      </c>
      <c r="D26" s="15">
        <v>23</v>
      </c>
      <c r="E26" s="15">
        <v>27.2</v>
      </c>
      <c r="F26" s="15">
        <f>(E26/E3)*100</f>
        <v>110.56910569105689</v>
      </c>
      <c r="G26" s="47">
        <v>76</v>
      </c>
      <c r="H26" s="56">
        <v>10</v>
      </c>
      <c r="I26" s="15">
        <f>(H26*20)/1000</f>
        <v>0.2</v>
      </c>
      <c r="J26">
        <f t="shared" si="1"/>
        <v>1.52</v>
      </c>
      <c r="K26">
        <v>13</v>
      </c>
    </row>
    <row r="27" spans="1:11" ht="30" customHeight="1" x14ac:dyDescent="0.35">
      <c r="A27" s="23" t="s">
        <v>73</v>
      </c>
      <c r="B27" s="29" t="s">
        <v>88</v>
      </c>
      <c r="C27" s="17">
        <v>44698</v>
      </c>
      <c r="D27" s="15">
        <v>24</v>
      </c>
      <c r="E27" s="15">
        <v>26.4</v>
      </c>
      <c r="F27" s="15">
        <f>(E27/E3)*100</f>
        <v>107.31707317073169</v>
      </c>
      <c r="G27" s="50">
        <f>161-76</f>
        <v>85</v>
      </c>
      <c r="H27" s="53">
        <f>41-23</f>
        <v>18</v>
      </c>
      <c r="I27" s="15">
        <f>(H27*20)/1000</f>
        <v>0.36</v>
      </c>
      <c r="J27">
        <f t="shared" si="1"/>
        <v>1.7</v>
      </c>
    </row>
    <row r="28" spans="1:11" ht="30" customHeight="1" x14ac:dyDescent="0.35">
      <c r="B28" s="30" t="s">
        <v>88</v>
      </c>
      <c r="C28" s="17">
        <v>44699</v>
      </c>
      <c r="D28" s="15">
        <v>25</v>
      </c>
      <c r="E28">
        <v>26</v>
      </c>
      <c r="F28" s="15">
        <f>(E28/E3)*100</f>
        <v>105.6910569105691</v>
      </c>
      <c r="G28" s="50">
        <f>251-161</f>
        <v>90</v>
      </c>
      <c r="H28" s="53">
        <f>68-41</f>
        <v>27</v>
      </c>
      <c r="I28" s="15">
        <f t="shared" si="0"/>
        <v>0.54</v>
      </c>
      <c r="J28">
        <f t="shared" si="1"/>
        <v>1.8</v>
      </c>
    </row>
    <row r="34" spans="3:3" ht="200.25" customHeight="1" x14ac:dyDescent="0.35">
      <c r="C34" t="s">
        <v>89</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34624-EF75-4A6E-9288-E8BC8BD5C5AD}">
  <dimension ref="A1:K31"/>
  <sheetViews>
    <sheetView topLeftCell="A16" workbookViewId="0">
      <selection activeCell="K3" sqref="K3:K28"/>
    </sheetView>
  </sheetViews>
  <sheetFormatPr defaultRowHeight="14.5" x14ac:dyDescent="0.35"/>
  <cols>
    <col min="1" max="1" width="30.7265625" customWidth="1"/>
    <col min="2" max="10" width="20.54296875" customWidth="1"/>
  </cols>
  <sheetData>
    <row r="1" spans="1:11" ht="30" customHeight="1" x14ac:dyDescent="0.35">
      <c r="A1" s="13" t="s">
        <v>56</v>
      </c>
      <c r="B1" s="12"/>
      <c r="C1" s="12"/>
      <c r="D1" s="5"/>
      <c r="E1" s="12"/>
      <c r="F1" s="12"/>
      <c r="G1" s="12"/>
      <c r="H1" s="12"/>
      <c r="I1" s="12"/>
    </row>
    <row r="2" spans="1:11" ht="30" customHeight="1" x14ac:dyDescent="0.35">
      <c r="A2" s="13" t="s">
        <v>90</v>
      </c>
      <c r="B2" s="14" t="s">
        <v>58</v>
      </c>
      <c r="C2" s="14" t="s">
        <v>0</v>
      </c>
      <c r="D2" s="14" t="s">
        <v>1</v>
      </c>
      <c r="E2" s="14" t="s">
        <v>59</v>
      </c>
      <c r="F2" s="14" t="s">
        <v>60</v>
      </c>
      <c r="G2" s="14"/>
      <c r="H2" s="14" t="s">
        <v>61</v>
      </c>
      <c r="I2" s="14" t="s">
        <v>62</v>
      </c>
      <c r="K2" s="35" t="s">
        <v>63</v>
      </c>
    </row>
    <row r="3" spans="1:11" ht="30" customHeight="1" x14ac:dyDescent="0.35">
      <c r="A3" s="18" t="s">
        <v>64</v>
      </c>
      <c r="B3" s="24" t="s">
        <v>91</v>
      </c>
      <c r="C3" s="17">
        <v>44674</v>
      </c>
      <c r="D3" s="15">
        <v>0</v>
      </c>
      <c r="E3" s="15">
        <v>23.6</v>
      </c>
      <c r="F3" s="15"/>
      <c r="G3" s="15"/>
      <c r="H3" s="15"/>
      <c r="I3" s="15"/>
    </row>
    <row r="4" spans="1:11" ht="30" customHeight="1" x14ac:dyDescent="0.35">
      <c r="A4" s="19" t="s">
        <v>66</v>
      </c>
      <c r="B4" s="25" t="s">
        <v>91</v>
      </c>
      <c r="C4" s="17">
        <v>44675</v>
      </c>
      <c r="D4" s="15">
        <v>1</v>
      </c>
      <c r="E4" s="15">
        <v>23.5</v>
      </c>
      <c r="F4" s="15">
        <f>(E4/E3)*100</f>
        <v>99.576271186440664</v>
      </c>
      <c r="G4" s="15"/>
      <c r="H4" s="34">
        <v>0</v>
      </c>
      <c r="I4" s="15">
        <f>(H4*20)/1000</f>
        <v>0</v>
      </c>
    </row>
    <row r="5" spans="1:11" ht="30" customHeight="1" x14ac:dyDescent="0.35">
      <c r="A5" s="19" t="s">
        <v>66</v>
      </c>
      <c r="B5" s="26" t="s">
        <v>91</v>
      </c>
      <c r="C5" s="17">
        <v>44676</v>
      </c>
      <c r="D5" s="15">
        <v>2</v>
      </c>
      <c r="E5" s="15">
        <v>24.6</v>
      </c>
      <c r="F5" s="15">
        <f>(E5/E3)*100</f>
        <v>104.2372881355932</v>
      </c>
      <c r="G5" s="15"/>
      <c r="H5" s="34">
        <v>254</v>
      </c>
      <c r="I5" s="15">
        <f>(H5*20)/1000</f>
        <v>5.08</v>
      </c>
    </row>
    <row r="6" spans="1:11" ht="30" customHeight="1" x14ac:dyDescent="0.35">
      <c r="A6" s="20" t="s">
        <v>67</v>
      </c>
      <c r="B6" s="25" t="s">
        <v>91</v>
      </c>
      <c r="C6" s="17">
        <v>44677</v>
      </c>
      <c r="D6" s="15">
        <v>3</v>
      </c>
      <c r="E6" s="15">
        <v>25.1</v>
      </c>
      <c r="F6" s="15">
        <f>(E6/E3)*100</f>
        <v>106.35593220338984</v>
      </c>
      <c r="G6" s="15"/>
      <c r="H6" s="15">
        <f>(564-254)</f>
        <v>310</v>
      </c>
      <c r="I6" s="15">
        <f t="shared" ref="I6:I28" si="0">(H6*20)/1000</f>
        <v>6.2</v>
      </c>
    </row>
    <row r="7" spans="1:11" ht="30" customHeight="1" x14ac:dyDescent="0.35">
      <c r="A7" s="21" t="s">
        <v>67</v>
      </c>
      <c r="B7" s="27" t="s">
        <v>91</v>
      </c>
      <c r="C7" s="17">
        <v>44678</v>
      </c>
      <c r="D7" s="15">
        <v>4</v>
      </c>
      <c r="E7" s="15">
        <v>24.9</v>
      </c>
      <c r="F7" s="15">
        <f>(E7/E3)*100</f>
        <v>105.50847457627117</v>
      </c>
      <c r="G7" s="15"/>
      <c r="H7" s="15">
        <v>216</v>
      </c>
      <c r="I7" s="15">
        <f t="shared" si="0"/>
        <v>4.32</v>
      </c>
    </row>
    <row r="8" spans="1:11" ht="30" customHeight="1" x14ac:dyDescent="0.35">
      <c r="A8" s="21" t="s">
        <v>67</v>
      </c>
      <c r="B8" s="25" t="s">
        <v>91</v>
      </c>
      <c r="C8" s="17">
        <v>44679</v>
      </c>
      <c r="D8" s="15">
        <v>5</v>
      </c>
      <c r="E8" s="15">
        <v>23.6</v>
      </c>
      <c r="F8" s="15">
        <f>(E8/E3)*100</f>
        <v>100</v>
      </c>
      <c r="G8" s="15"/>
      <c r="H8" s="15">
        <f>(398-216)</f>
        <v>182</v>
      </c>
      <c r="I8" s="15">
        <f t="shared" si="0"/>
        <v>3.64</v>
      </c>
    </row>
    <row r="9" spans="1:11" ht="30" customHeight="1" x14ac:dyDescent="0.35">
      <c r="A9" s="21" t="s">
        <v>67</v>
      </c>
      <c r="B9" s="26" t="s">
        <v>91</v>
      </c>
      <c r="C9" s="17">
        <v>44680</v>
      </c>
      <c r="D9" s="15">
        <v>6</v>
      </c>
      <c r="E9" s="15">
        <v>23.2</v>
      </c>
      <c r="F9" s="15">
        <f>(E9/E3)*100</f>
        <v>98.305084745762699</v>
      </c>
      <c r="G9" s="15"/>
      <c r="H9" s="15">
        <f>(605-398)</f>
        <v>207</v>
      </c>
      <c r="I9" s="15">
        <f t="shared" si="0"/>
        <v>4.1399999999999997</v>
      </c>
    </row>
    <row r="10" spans="1:11" ht="30" customHeight="1" x14ac:dyDescent="0.35">
      <c r="A10" s="21" t="s">
        <v>67</v>
      </c>
      <c r="B10" s="25" t="s">
        <v>91</v>
      </c>
      <c r="C10" s="17">
        <v>44681</v>
      </c>
      <c r="D10" s="15">
        <v>7</v>
      </c>
      <c r="E10" s="15">
        <v>23.1</v>
      </c>
      <c r="F10" s="15">
        <f>(E10/E3)*100</f>
        <v>97.881355932203391</v>
      </c>
      <c r="G10" s="15"/>
      <c r="H10" s="15">
        <f>(806-605)</f>
        <v>201</v>
      </c>
      <c r="I10" s="15">
        <f t="shared" si="0"/>
        <v>4.0199999999999996</v>
      </c>
    </row>
    <row r="11" spans="1:11" ht="30" customHeight="1" x14ac:dyDescent="0.35">
      <c r="A11" s="21" t="s">
        <v>67</v>
      </c>
      <c r="B11" s="26" t="s">
        <v>91</v>
      </c>
      <c r="C11" s="17">
        <v>44682</v>
      </c>
      <c r="D11" s="15">
        <v>8</v>
      </c>
      <c r="E11" s="15">
        <v>22.7</v>
      </c>
      <c r="F11" s="15">
        <f>(E11/E3)*100</f>
        <v>96.18644067796609</v>
      </c>
      <c r="G11" s="15"/>
      <c r="H11" s="34">
        <f>(1034-806)- 5</f>
        <v>223</v>
      </c>
      <c r="I11" s="15">
        <f t="shared" si="0"/>
        <v>4.46</v>
      </c>
      <c r="K11">
        <v>5</v>
      </c>
    </row>
    <row r="12" spans="1:11" ht="30" customHeight="1" x14ac:dyDescent="0.35">
      <c r="A12" s="21" t="s">
        <v>67</v>
      </c>
      <c r="B12" s="25" t="s">
        <v>91</v>
      </c>
      <c r="C12" s="17">
        <v>44683</v>
      </c>
      <c r="D12" s="15">
        <v>9</v>
      </c>
      <c r="E12" s="15">
        <v>23.6</v>
      </c>
      <c r="F12" s="15">
        <f>(E12/E3)*100</f>
        <v>100</v>
      </c>
      <c r="G12" s="15"/>
      <c r="H12" s="15">
        <f>(1274-1029)</f>
        <v>245</v>
      </c>
      <c r="I12" s="15">
        <f t="shared" si="0"/>
        <v>4.9000000000000004</v>
      </c>
    </row>
    <row r="13" spans="1:11" ht="30" customHeight="1" x14ac:dyDescent="0.35">
      <c r="A13" s="22" t="s">
        <v>68</v>
      </c>
      <c r="B13" s="26" t="s">
        <v>91</v>
      </c>
      <c r="C13" s="17">
        <v>44684</v>
      </c>
      <c r="D13" s="15">
        <v>10</v>
      </c>
      <c r="E13" s="15">
        <v>23.2</v>
      </c>
      <c r="F13" s="15">
        <f>(E13/E3)*100</f>
        <v>98.305084745762699</v>
      </c>
      <c r="G13" s="15"/>
      <c r="H13" s="15">
        <f>(1490-1247)</f>
        <v>243</v>
      </c>
      <c r="I13" s="15">
        <f t="shared" si="0"/>
        <v>4.8600000000000003</v>
      </c>
    </row>
    <row r="14" spans="1:11" ht="30" customHeight="1" x14ac:dyDescent="0.35">
      <c r="A14" s="22" t="s">
        <v>68</v>
      </c>
      <c r="B14" s="25" t="s">
        <v>91</v>
      </c>
      <c r="C14" s="17">
        <v>44685</v>
      </c>
      <c r="D14" s="15">
        <v>11</v>
      </c>
      <c r="E14" s="15">
        <v>23.7</v>
      </c>
      <c r="F14" s="15">
        <f>(E14/E3)*100</f>
        <v>100.42372881355932</v>
      </c>
      <c r="G14" s="15"/>
      <c r="H14" s="15">
        <v>242</v>
      </c>
      <c r="I14" s="15">
        <f t="shared" si="0"/>
        <v>4.84</v>
      </c>
    </row>
    <row r="15" spans="1:11" ht="30" customHeight="1" x14ac:dyDescent="0.35">
      <c r="A15" s="22" t="s">
        <v>68</v>
      </c>
      <c r="B15" s="26" t="s">
        <v>91</v>
      </c>
      <c r="C15" s="17">
        <v>44686</v>
      </c>
      <c r="D15" s="15">
        <v>12</v>
      </c>
      <c r="E15" s="15">
        <v>23.6</v>
      </c>
      <c r="F15" s="15">
        <f>(E15/E3)*100</f>
        <v>100</v>
      </c>
      <c r="G15" s="15"/>
      <c r="H15" s="15">
        <f>(448-242)</f>
        <v>206</v>
      </c>
      <c r="I15" s="15">
        <f t="shared" si="0"/>
        <v>4.12</v>
      </c>
    </row>
    <row r="16" spans="1:11" ht="30" customHeight="1" x14ac:dyDescent="0.35">
      <c r="A16" s="22" t="s">
        <v>68</v>
      </c>
      <c r="B16" s="25" t="s">
        <v>91</v>
      </c>
      <c r="C16" s="17">
        <v>44687</v>
      </c>
      <c r="D16" s="15">
        <v>13</v>
      </c>
      <c r="E16" s="15">
        <v>23.6</v>
      </c>
      <c r="F16" s="15">
        <f>(E16/E3)*100</f>
        <v>100</v>
      </c>
      <c r="G16" s="15"/>
      <c r="H16" s="15">
        <f>(643-448)</f>
        <v>195</v>
      </c>
      <c r="I16" s="15">
        <f t="shared" si="0"/>
        <v>3.9</v>
      </c>
    </row>
    <row r="17" spans="1:11" ht="30" customHeight="1" x14ac:dyDescent="0.35">
      <c r="A17" s="22" t="s">
        <v>68</v>
      </c>
      <c r="B17" s="26" t="s">
        <v>91</v>
      </c>
      <c r="C17" s="17">
        <v>44688</v>
      </c>
      <c r="D17" s="15">
        <v>14</v>
      </c>
      <c r="E17" s="15">
        <v>23.6</v>
      </c>
      <c r="F17" s="15">
        <f>(E17/E3)*100</f>
        <v>100</v>
      </c>
      <c r="G17" s="15"/>
      <c r="H17" s="15">
        <f>(837-643)</f>
        <v>194</v>
      </c>
      <c r="I17" s="15">
        <f t="shared" si="0"/>
        <v>3.88</v>
      </c>
    </row>
    <row r="18" spans="1:11" ht="30" customHeight="1" x14ac:dyDescent="0.35">
      <c r="A18" s="22" t="s">
        <v>68</v>
      </c>
      <c r="B18" s="25" t="s">
        <v>91</v>
      </c>
      <c r="C18" s="17">
        <v>44689</v>
      </c>
      <c r="D18" s="15">
        <v>15</v>
      </c>
      <c r="E18" s="15">
        <v>23.3</v>
      </c>
      <c r="F18" s="15">
        <f>(E18/E3)*100</f>
        <v>98.72881355932202</v>
      </c>
      <c r="G18" s="15"/>
      <c r="H18" s="36">
        <f>1034-837</f>
        <v>197</v>
      </c>
      <c r="I18" s="15">
        <f t="shared" si="0"/>
        <v>3.94</v>
      </c>
    </row>
    <row r="19" spans="1:11" ht="30" customHeight="1" x14ac:dyDescent="0.35">
      <c r="A19" s="22" t="s">
        <v>68</v>
      </c>
      <c r="B19" s="26" t="s">
        <v>91</v>
      </c>
      <c r="C19" s="17">
        <v>44690</v>
      </c>
      <c r="D19" s="15">
        <v>16</v>
      </c>
      <c r="E19" s="15">
        <v>23.8</v>
      </c>
      <c r="F19" s="15">
        <f>(E19/E3)*100</f>
        <v>100.84745762711864</v>
      </c>
      <c r="G19" s="15"/>
      <c r="H19" s="15">
        <v>178</v>
      </c>
      <c r="I19" s="15">
        <f t="shared" si="0"/>
        <v>3.56</v>
      </c>
    </row>
    <row r="20" spans="1:11" ht="30" customHeight="1" x14ac:dyDescent="0.35">
      <c r="A20" s="22" t="s">
        <v>69</v>
      </c>
      <c r="B20" s="25" t="s">
        <v>91</v>
      </c>
      <c r="C20" s="17">
        <v>44691</v>
      </c>
      <c r="D20" s="15">
        <v>17</v>
      </c>
      <c r="E20" s="15">
        <v>24.2</v>
      </c>
      <c r="F20" s="15">
        <f>(E20/E3)*100</f>
        <v>102.54237288135593</v>
      </c>
      <c r="G20" s="15"/>
      <c r="H20" s="15">
        <f>(369-178)</f>
        <v>191</v>
      </c>
      <c r="I20" s="15">
        <f t="shared" si="0"/>
        <v>3.82</v>
      </c>
    </row>
    <row r="21" spans="1:11" ht="30" customHeight="1" x14ac:dyDescent="0.35">
      <c r="A21" s="22" t="s">
        <v>70</v>
      </c>
      <c r="B21" s="26" t="s">
        <v>91</v>
      </c>
      <c r="C21" s="17">
        <v>44692</v>
      </c>
      <c r="D21" s="15">
        <v>18</v>
      </c>
      <c r="E21" s="15">
        <v>23.6</v>
      </c>
      <c r="F21" s="15">
        <f>(E21/E3)*100</f>
        <v>100</v>
      </c>
      <c r="G21" s="15"/>
      <c r="H21" s="15">
        <v>145</v>
      </c>
      <c r="I21" s="15">
        <f t="shared" si="0"/>
        <v>2.9</v>
      </c>
    </row>
    <row r="22" spans="1:11" ht="30" customHeight="1" x14ac:dyDescent="0.35">
      <c r="A22" s="22" t="s">
        <v>71</v>
      </c>
      <c r="B22" s="28" t="s">
        <v>72</v>
      </c>
      <c r="C22" s="17">
        <v>44693</v>
      </c>
      <c r="D22" s="15">
        <v>19</v>
      </c>
      <c r="E22" s="15">
        <v>24.7</v>
      </c>
      <c r="F22" s="15">
        <f>(E22/E3)*100</f>
        <v>104.66101694915253</v>
      </c>
      <c r="G22" s="15"/>
      <c r="H22" s="15">
        <v>196</v>
      </c>
      <c r="I22" s="15">
        <f t="shared" si="0"/>
        <v>3.92</v>
      </c>
    </row>
    <row r="23" spans="1:11" ht="30" customHeight="1" x14ac:dyDescent="0.35">
      <c r="A23" s="22" t="s">
        <v>71</v>
      </c>
      <c r="B23" s="28" t="s">
        <v>72</v>
      </c>
      <c r="C23" s="17">
        <v>44694</v>
      </c>
      <c r="D23" s="15">
        <v>20</v>
      </c>
      <c r="E23" s="15">
        <v>24.6</v>
      </c>
      <c r="F23" s="15">
        <f>(E23/E3)*100</f>
        <v>104.2372881355932</v>
      </c>
      <c r="G23" s="47"/>
      <c r="H23" s="52"/>
      <c r="I23" s="15">
        <f>(H23*20)/1000</f>
        <v>0</v>
      </c>
      <c r="J23">
        <f t="shared" ref="J23:J28" si="1">(G23*20)/1000</f>
        <v>0</v>
      </c>
    </row>
    <row r="24" spans="1:11" ht="30" customHeight="1" x14ac:dyDescent="0.35">
      <c r="A24" s="22" t="s">
        <v>71</v>
      </c>
      <c r="B24" s="28" t="s">
        <v>72</v>
      </c>
      <c r="C24" s="17">
        <v>44695</v>
      </c>
      <c r="D24" s="15">
        <v>21</v>
      </c>
      <c r="E24" s="15">
        <v>24.2</v>
      </c>
      <c r="F24" s="15">
        <f>(E24/E3)*100</f>
        <v>102.54237288135593</v>
      </c>
      <c r="G24" s="48"/>
      <c r="H24" s="52"/>
      <c r="I24" s="15">
        <f>(H24*20)/1000</f>
        <v>0</v>
      </c>
      <c r="J24">
        <f t="shared" si="1"/>
        <v>0</v>
      </c>
    </row>
    <row r="25" spans="1:11" ht="30" customHeight="1" x14ac:dyDescent="0.35">
      <c r="A25" s="23" t="s">
        <v>73</v>
      </c>
      <c r="B25" s="25" t="s">
        <v>92</v>
      </c>
      <c r="C25" s="17">
        <v>44696</v>
      </c>
      <c r="D25" s="15">
        <v>22</v>
      </c>
      <c r="E25" s="15">
        <v>24</v>
      </c>
      <c r="F25" s="15">
        <f>(E25/E3)*100</f>
        <v>101.69491525423729</v>
      </c>
      <c r="G25" s="49"/>
      <c r="H25" s="52"/>
      <c r="I25" s="15">
        <f>(H25*20)/1000</f>
        <v>0</v>
      </c>
      <c r="J25">
        <f t="shared" si="1"/>
        <v>0</v>
      </c>
    </row>
    <row r="26" spans="1:11" ht="30" customHeight="1" x14ac:dyDescent="0.35">
      <c r="A26" s="23" t="s">
        <v>73</v>
      </c>
      <c r="B26" s="26" t="s">
        <v>92</v>
      </c>
      <c r="C26" s="17">
        <v>44697</v>
      </c>
      <c r="D26" s="15">
        <v>23</v>
      </c>
      <c r="E26" s="15">
        <v>24</v>
      </c>
      <c r="F26" s="15">
        <f>(E26/E3)*100</f>
        <v>101.69491525423729</v>
      </c>
      <c r="G26" s="47">
        <v>128</v>
      </c>
      <c r="H26" s="56">
        <v>11</v>
      </c>
      <c r="I26" s="15">
        <f>(H26*20)/1000</f>
        <v>0.22</v>
      </c>
      <c r="J26">
        <f t="shared" si="1"/>
        <v>2.56</v>
      </c>
      <c r="K26">
        <v>11</v>
      </c>
    </row>
    <row r="27" spans="1:11" ht="30" customHeight="1" x14ac:dyDescent="0.35">
      <c r="A27" s="23" t="s">
        <v>73</v>
      </c>
      <c r="B27" s="29" t="s">
        <v>92</v>
      </c>
      <c r="C27" s="17">
        <v>44698</v>
      </c>
      <c r="D27" s="15">
        <v>24</v>
      </c>
      <c r="E27" s="15">
        <v>23.5</v>
      </c>
      <c r="F27" s="15">
        <f>(E27/E3)*100</f>
        <v>99.576271186440664</v>
      </c>
      <c r="G27" s="50">
        <f>259-128</f>
        <v>131</v>
      </c>
      <c r="H27" s="57">
        <v>12</v>
      </c>
      <c r="I27" s="15">
        <f>(H27*20)/1000</f>
        <v>0.24</v>
      </c>
      <c r="J27">
        <f t="shared" si="1"/>
        <v>2.62</v>
      </c>
      <c r="K27">
        <v>8</v>
      </c>
    </row>
    <row r="28" spans="1:11" ht="30" customHeight="1" x14ac:dyDescent="0.35">
      <c r="B28" s="30" t="s">
        <v>92</v>
      </c>
      <c r="C28" s="17">
        <v>44699</v>
      </c>
      <c r="D28" s="15">
        <v>25</v>
      </c>
      <c r="E28">
        <v>23.3</v>
      </c>
      <c r="F28" s="15">
        <f>(E28/E3)*100</f>
        <v>98.72881355932202</v>
      </c>
      <c r="G28" s="50">
        <f>410-259</f>
        <v>151</v>
      </c>
      <c r="H28" s="57">
        <v>13</v>
      </c>
      <c r="I28" s="15">
        <f t="shared" si="0"/>
        <v>0.26</v>
      </c>
      <c r="J28">
        <f t="shared" si="1"/>
        <v>3.02</v>
      </c>
      <c r="K28">
        <v>11</v>
      </c>
    </row>
    <row r="29" spans="1:11" ht="30" customHeight="1" x14ac:dyDescent="0.35"/>
    <row r="30" spans="1:11" ht="30" customHeight="1" x14ac:dyDescent="0.35"/>
    <row r="31" spans="1:11" ht="99.75" customHeight="1" x14ac:dyDescent="0.35">
      <c r="A31" t="s">
        <v>93</v>
      </c>
    </row>
  </sheetData>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16BA7D-483F-4939-8804-27DE691AA386}">
  <dimension ref="A1:K28"/>
  <sheetViews>
    <sheetView topLeftCell="A10" workbookViewId="0">
      <selection activeCell="J25" sqref="J25"/>
    </sheetView>
  </sheetViews>
  <sheetFormatPr defaultRowHeight="14.5" x14ac:dyDescent="0.35"/>
  <cols>
    <col min="1" max="9" width="20.54296875" customWidth="1"/>
  </cols>
  <sheetData>
    <row r="1" spans="1:11" ht="30" customHeight="1" x14ac:dyDescent="0.35">
      <c r="A1" s="13" t="s">
        <v>56</v>
      </c>
      <c r="B1" s="12"/>
      <c r="C1" s="12"/>
      <c r="D1" s="5"/>
      <c r="E1" s="12"/>
      <c r="F1" s="12"/>
      <c r="G1" s="12"/>
      <c r="H1" s="12"/>
      <c r="I1" s="12"/>
    </row>
    <row r="2" spans="1:11" ht="30" customHeight="1" x14ac:dyDescent="0.35">
      <c r="A2" s="13" t="s">
        <v>94</v>
      </c>
      <c r="B2" s="14" t="s">
        <v>58</v>
      </c>
      <c r="C2" s="14" t="s">
        <v>0</v>
      </c>
      <c r="D2" s="14" t="s">
        <v>1</v>
      </c>
      <c r="E2" s="14" t="s">
        <v>59</v>
      </c>
      <c r="F2" s="14" t="s">
        <v>60</v>
      </c>
      <c r="G2" s="14"/>
      <c r="H2" s="14" t="s">
        <v>61</v>
      </c>
      <c r="I2" s="14" t="s">
        <v>62</v>
      </c>
      <c r="K2" s="35" t="s">
        <v>63</v>
      </c>
    </row>
    <row r="3" spans="1:11" ht="30" customHeight="1" x14ac:dyDescent="0.35">
      <c r="A3" s="18" t="s">
        <v>64</v>
      </c>
      <c r="B3" s="24" t="s">
        <v>95</v>
      </c>
      <c r="C3" s="17">
        <v>44674</v>
      </c>
      <c r="D3" s="15">
        <v>0</v>
      </c>
      <c r="E3" s="15">
        <v>24.7</v>
      </c>
      <c r="F3" s="15"/>
      <c r="G3" s="15"/>
      <c r="H3" s="15"/>
      <c r="I3" s="15"/>
    </row>
    <row r="4" spans="1:11" ht="30" customHeight="1" x14ac:dyDescent="0.35">
      <c r="A4" s="19" t="s">
        <v>66</v>
      </c>
      <c r="B4" s="25" t="s">
        <v>95</v>
      </c>
      <c r="C4" s="17">
        <v>44675</v>
      </c>
      <c r="D4" s="15">
        <v>1</v>
      </c>
      <c r="E4" s="15">
        <v>26.6</v>
      </c>
      <c r="F4" s="15">
        <f>(E4/E3)*100</f>
        <v>107.69230769230771</v>
      </c>
      <c r="G4" s="15"/>
      <c r="H4" s="15">
        <v>316</v>
      </c>
      <c r="I4" s="15">
        <f>(H4*20)/1000</f>
        <v>6.32</v>
      </c>
    </row>
    <row r="5" spans="1:11" ht="30" customHeight="1" x14ac:dyDescent="0.35">
      <c r="A5" s="19" t="s">
        <v>66</v>
      </c>
      <c r="B5" s="26" t="s">
        <v>95</v>
      </c>
      <c r="C5" s="17">
        <v>44676</v>
      </c>
      <c r="D5" s="15">
        <v>2</v>
      </c>
      <c r="E5" s="15">
        <v>26.7</v>
      </c>
      <c r="F5" s="15">
        <f>(E5/E3)*100</f>
        <v>108.09716599190284</v>
      </c>
      <c r="G5" s="15"/>
      <c r="H5" s="15">
        <f>(576-316)</f>
        <v>260</v>
      </c>
      <c r="I5" s="15">
        <f>(H5*20)/1000</f>
        <v>5.2</v>
      </c>
    </row>
    <row r="6" spans="1:11" ht="30" customHeight="1" x14ac:dyDescent="0.35">
      <c r="A6" s="31" t="s">
        <v>68</v>
      </c>
      <c r="B6" s="25" t="s">
        <v>95</v>
      </c>
      <c r="C6" s="17">
        <v>44677</v>
      </c>
      <c r="D6" s="15">
        <v>3</v>
      </c>
      <c r="E6" s="15">
        <v>27.7</v>
      </c>
      <c r="F6" s="15">
        <f>(E6/E3)*100</f>
        <v>112.14574898785426</v>
      </c>
      <c r="G6" s="15"/>
      <c r="H6" s="15">
        <f>(767-567)</f>
        <v>200</v>
      </c>
      <c r="I6" s="15">
        <f t="shared" ref="I6:I28" si="0">(H6*20)/1000</f>
        <v>4</v>
      </c>
    </row>
    <row r="7" spans="1:11" ht="30" customHeight="1" x14ac:dyDescent="0.35">
      <c r="A7" s="22" t="s">
        <v>68</v>
      </c>
      <c r="B7" s="27" t="s">
        <v>95</v>
      </c>
      <c r="C7" s="17">
        <v>44678</v>
      </c>
      <c r="D7" s="15">
        <v>4</v>
      </c>
      <c r="E7" s="15">
        <v>26.3</v>
      </c>
      <c r="F7" s="15">
        <f>(E7/E3)*100</f>
        <v>106.47773279352228</v>
      </c>
      <c r="G7" s="15"/>
      <c r="H7" s="15">
        <v>177</v>
      </c>
      <c r="I7" s="15">
        <f t="shared" si="0"/>
        <v>3.54</v>
      </c>
    </row>
    <row r="8" spans="1:11" ht="30" customHeight="1" x14ac:dyDescent="0.35">
      <c r="A8" s="22" t="s">
        <v>68</v>
      </c>
      <c r="B8" s="25" t="s">
        <v>95</v>
      </c>
      <c r="C8" s="17">
        <v>44679</v>
      </c>
      <c r="D8" s="15">
        <v>5</v>
      </c>
      <c r="E8" s="15">
        <v>26.6</v>
      </c>
      <c r="F8" s="15">
        <f>(E8/E3)*100</f>
        <v>107.69230769230771</v>
      </c>
      <c r="G8" s="15"/>
      <c r="H8" s="15">
        <f>(370-177)</f>
        <v>193</v>
      </c>
      <c r="I8" s="15">
        <f t="shared" si="0"/>
        <v>3.86</v>
      </c>
    </row>
    <row r="9" spans="1:11" ht="30" customHeight="1" x14ac:dyDescent="0.35">
      <c r="A9" s="22" t="s">
        <v>68</v>
      </c>
      <c r="B9" s="26" t="s">
        <v>95</v>
      </c>
      <c r="C9" s="17">
        <v>44680</v>
      </c>
      <c r="D9" s="15">
        <v>6</v>
      </c>
      <c r="E9" s="15">
        <v>25.6</v>
      </c>
      <c r="F9" s="15">
        <f>(E9/E3)*100</f>
        <v>103.64372469635627</v>
      </c>
      <c r="G9" s="15"/>
      <c r="H9" s="15">
        <f>(556-370)</f>
        <v>186</v>
      </c>
      <c r="I9" s="15">
        <f t="shared" si="0"/>
        <v>3.72</v>
      </c>
    </row>
    <row r="10" spans="1:11" ht="30" customHeight="1" x14ac:dyDescent="0.35">
      <c r="A10" s="22" t="s">
        <v>68</v>
      </c>
      <c r="B10" s="25" t="s">
        <v>95</v>
      </c>
      <c r="C10" s="17">
        <v>44681</v>
      </c>
      <c r="D10" s="15">
        <v>7</v>
      </c>
      <c r="E10" s="15">
        <v>25.5</v>
      </c>
      <c r="F10" s="15">
        <f>(E10/E3)*100</f>
        <v>103.23886639676114</v>
      </c>
      <c r="G10" s="15"/>
      <c r="H10" s="15">
        <f>(723-556)</f>
        <v>167</v>
      </c>
      <c r="I10" s="15">
        <f t="shared" si="0"/>
        <v>3.34</v>
      </c>
    </row>
    <row r="11" spans="1:11" ht="30" customHeight="1" x14ac:dyDescent="0.35">
      <c r="A11" s="22" t="s">
        <v>68</v>
      </c>
      <c r="B11" s="26" t="s">
        <v>95</v>
      </c>
      <c r="C11" s="17">
        <v>44682</v>
      </c>
      <c r="D11" s="15">
        <v>8</v>
      </c>
      <c r="E11" s="15">
        <v>26.1</v>
      </c>
      <c r="F11" s="15">
        <f>(E11/E3)*100</f>
        <v>105.668016194332</v>
      </c>
      <c r="G11" s="15"/>
      <c r="H11" s="15">
        <f>(908-723)</f>
        <v>185</v>
      </c>
      <c r="I11" s="15">
        <f t="shared" si="0"/>
        <v>3.7</v>
      </c>
    </row>
    <row r="12" spans="1:11" ht="30" customHeight="1" x14ac:dyDescent="0.35">
      <c r="A12" s="22" t="s">
        <v>68</v>
      </c>
      <c r="B12" s="25" t="s">
        <v>95</v>
      </c>
      <c r="C12" s="17">
        <v>44683</v>
      </c>
      <c r="D12" s="15">
        <v>9</v>
      </c>
      <c r="E12" s="15">
        <v>25.7</v>
      </c>
      <c r="F12" s="15">
        <f>(E12/E3)*100</f>
        <v>104.04858299595141</v>
      </c>
      <c r="G12" s="15"/>
      <c r="H12" s="15">
        <f>(1107-908)</f>
        <v>199</v>
      </c>
      <c r="I12" s="15">
        <f t="shared" si="0"/>
        <v>3.98</v>
      </c>
    </row>
    <row r="13" spans="1:11" ht="30" customHeight="1" x14ac:dyDescent="0.35">
      <c r="A13" s="20" t="s">
        <v>67</v>
      </c>
      <c r="B13" s="26" t="s">
        <v>95</v>
      </c>
      <c r="C13" s="17">
        <v>44684</v>
      </c>
      <c r="D13" s="15">
        <v>10</v>
      </c>
      <c r="E13" s="15">
        <v>25.8</v>
      </c>
      <c r="F13" s="15">
        <f>(E13/E3)*100</f>
        <v>104.45344129554657</v>
      </c>
      <c r="G13" s="15"/>
      <c r="H13" s="15">
        <f>(1315-1107)</f>
        <v>208</v>
      </c>
      <c r="I13" s="15">
        <f t="shared" si="0"/>
        <v>4.16</v>
      </c>
    </row>
    <row r="14" spans="1:11" ht="30" customHeight="1" x14ac:dyDescent="0.35">
      <c r="A14" s="21" t="s">
        <v>67</v>
      </c>
      <c r="B14" s="25" t="s">
        <v>95</v>
      </c>
      <c r="C14" s="17">
        <v>44685</v>
      </c>
      <c r="D14" s="15">
        <v>11</v>
      </c>
      <c r="E14" s="15">
        <v>25.5</v>
      </c>
      <c r="F14" s="15">
        <f>(E14/E3)*100</f>
        <v>103.23886639676114</v>
      </c>
      <c r="G14" s="15"/>
      <c r="H14" s="15">
        <v>164</v>
      </c>
      <c r="I14" s="15">
        <f t="shared" si="0"/>
        <v>3.28</v>
      </c>
    </row>
    <row r="15" spans="1:11" ht="30" customHeight="1" x14ac:dyDescent="0.35">
      <c r="A15" s="21" t="s">
        <v>67</v>
      </c>
      <c r="B15" s="26" t="s">
        <v>95</v>
      </c>
      <c r="C15" s="17">
        <v>44686</v>
      </c>
      <c r="D15" s="15">
        <v>12</v>
      </c>
      <c r="E15" s="15">
        <v>25.7</v>
      </c>
      <c r="F15" s="15">
        <f>(E15/E3)*100</f>
        <v>104.04858299595141</v>
      </c>
      <c r="G15" s="15"/>
      <c r="H15" s="15">
        <f>(328-164)</f>
        <v>164</v>
      </c>
      <c r="I15" s="15">
        <f t="shared" si="0"/>
        <v>3.28</v>
      </c>
    </row>
    <row r="16" spans="1:11" ht="30" customHeight="1" x14ac:dyDescent="0.35">
      <c r="A16" s="21" t="s">
        <v>67</v>
      </c>
      <c r="B16" s="25" t="s">
        <v>95</v>
      </c>
      <c r="C16" s="17">
        <v>44687</v>
      </c>
      <c r="D16" s="15">
        <v>13</v>
      </c>
      <c r="E16" s="15">
        <v>25.6</v>
      </c>
      <c r="F16" s="15">
        <f>(E16/E3)*100</f>
        <v>103.64372469635627</v>
      </c>
      <c r="G16" s="15"/>
      <c r="H16" s="15">
        <f>(504-328)</f>
        <v>176</v>
      </c>
      <c r="I16" s="15">
        <f t="shared" si="0"/>
        <v>3.52</v>
      </c>
    </row>
    <row r="17" spans="1:10" ht="30" customHeight="1" x14ac:dyDescent="0.35">
      <c r="A17" s="21" t="s">
        <v>67</v>
      </c>
      <c r="B17" s="26" t="s">
        <v>95</v>
      </c>
      <c r="C17" s="17">
        <v>44688</v>
      </c>
      <c r="D17" s="15">
        <v>14</v>
      </c>
      <c r="E17" s="15">
        <v>25.1</v>
      </c>
      <c r="F17" s="15">
        <f>(E17/E3)*100</f>
        <v>101.61943319838058</v>
      </c>
      <c r="G17" s="15"/>
      <c r="H17" s="15">
        <f>(695-504)</f>
        <v>191</v>
      </c>
      <c r="I17" s="15">
        <f t="shared" si="0"/>
        <v>3.82</v>
      </c>
    </row>
    <row r="18" spans="1:10" ht="30" customHeight="1" x14ac:dyDescent="0.35">
      <c r="A18" s="21" t="s">
        <v>67</v>
      </c>
      <c r="B18" s="25" t="s">
        <v>95</v>
      </c>
      <c r="C18" s="17">
        <v>44689</v>
      </c>
      <c r="D18" s="15">
        <v>15</v>
      </c>
      <c r="E18" s="15">
        <v>25.5</v>
      </c>
      <c r="F18" s="15">
        <f>(E18/E3)*100</f>
        <v>103.23886639676114</v>
      </c>
      <c r="G18" s="15"/>
      <c r="H18" s="15">
        <f>896-695</f>
        <v>201</v>
      </c>
      <c r="I18" s="15">
        <f t="shared" si="0"/>
        <v>4.0199999999999996</v>
      </c>
    </row>
    <row r="19" spans="1:10" ht="30" customHeight="1" x14ac:dyDescent="0.35">
      <c r="A19" s="21" t="s">
        <v>67</v>
      </c>
      <c r="B19" s="26" t="s">
        <v>95</v>
      </c>
      <c r="C19" s="17">
        <v>44690</v>
      </c>
      <c r="D19" s="15">
        <v>16</v>
      </c>
      <c r="E19" s="15">
        <v>26.5</v>
      </c>
      <c r="F19" s="15">
        <f>(E19/E3)*100</f>
        <v>107.28744939271255</v>
      </c>
      <c r="G19" s="15"/>
      <c r="H19" s="15">
        <f>1098-896</f>
        <v>202</v>
      </c>
      <c r="I19" s="15">
        <f t="shared" si="0"/>
        <v>4.04</v>
      </c>
    </row>
    <row r="20" spans="1:10" ht="30" customHeight="1" x14ac:dyDescent="0.35">
      <c r="A20" s="21" t="s">
        <v>96</v>
      </c>
      <c r="B20" s="25" t="s">
        <v>95</v>
      </c>
      <c r="C20" s="17">
        <v>44691</v>
      </c>
      <c r="D20" s="15">
        <v>17</v>
      </c>
      <c r="E20" s="15">
        <v>25.7</v>
      </c>
      <c r="F20" s="15">
        <f>(E20/E3)*100</f>
        <v>104.04858299595141</v>
      </c>
      <c r="G20" s="15"/>
      <c r="H20" s="15">
        <f>(1278-1098)</f>
        <v>180</v>
      </c>
      <c r="I20" s="15">
        <f t="shared" si="0"/>
        <v>3.6</v>
      </c>
    </row>
    <row r="21" spans="1:10" ht="30" customHeight="1" x14ac:dyDescent="0.35">
      <c r="A21" s="21" t="s">
        <v>97</v>
      </c>
      <c r="B21" s="26" t="s">
        <v>95</v>
      </c>
      <c r="C21" s="17">
        <v>44692</v>
      </c>
      <c r="D21" s="15">
        <v>18</v>
      </c>
      <c r="E21" s="15">
        <v>24.6</v>
      </c>
      <c r="F21" s="15">
        <f>(E21/E3)*100</f>
        <v>99.595141700404866</v>
      </c>
      <c r="G21" s="15"/>
      <c r="H21" s="15">
        <v>221</v>
      </c>
      <c r="I21" s="15">
        <f t="shared" si="0"/>
        <v>4.42</v>
      </c>
    </row>
    <row r="22" spans="1:10" ht="30" customHeight="1" x14ac:dyDescent="0.35">
      <c r="A22" s="23" t="s">
        <v>73</v>
      </c>
      <c r="B22" s="25" t="s">
        <v>74</v>
      </c>
      <c r="C22" s="17">
        <v>44693</v>
      </c>
      <c r="D22" s="15">
        <v>19</v>
      </c>
      <c r="E22" s="15">
        <v>26.3</v>
      </c>
      <c r="F22" s="15">
        <f>(E22/E3)*100</f>
        <v>106.47773279352228</v>
      </c>
      <c r="G22" s="15"/>
      <c r="H22" s="15">
        <v>243</v>
      </c>
      <c r="I22" s="15">
        <f t="shared" si="0"/>
        <v>4.8600000000000003</v>
      </c>
    </row>
    <row r="23" spans="1:10" ht="30" customHeight="1" x14ac:dyDescent="0.35">
      <c r="A23" s="23" t="s">
        <v>73</v>
      </c>
      <c r="B23" s="26" t="s">
        <v>74</v>
      </c>
      <c r="C23" s="17">
        <v>44694</v>
      </c>
      <c r="D23" s="15">
        <v>20</v>
      </c>
      <c r="E23" s="15">
        <v>25.6</v>
      </c>
      <c r="F23" s="15">
        <f>(E23/E3)*100</f>
        <v>103.64372469635627</v>
      </c>
      <c r="G23" s="47">
        <v>70</v>
      </c>
      <c r="H23" s="52">
        <v>34</v>
      </c>
      <c r="I23" s="15">
        <f>(H23*20)/1000</f>
        <v>0.68</v>
      </c>
      <c r="J23">
        <f>(G23*20)/1000</f>
        <v>1.4</v>
      </c>
    </row>
    <row r="24" spans="1:10" ht="30" customHeight="1" x14ac:dyDescent="0.35">
      <c r="A24" s="23" t="s">
        <v>73</v>
      </c>
      <c r="B24" s="29" t="s">
        <v>74</v>
      </c>
      <c r="C24" s="17">
        <v>44695</v>
      </c>
      <c r="D24" s="15">
        <v>21</v>
      </c>
      <c r="E24" s="15">
        <v>25.2</v>
      </c>
      <c r="F24" s="15">
        <f>(E24/E3)*100</f>
        <v>102.02429149797571</v>
      </c>
      <c r="G24" s="48">
        <f>166-70</f>
        <v>96</v>
      </c>
      <c r="H24" s="52">
        <f>70-34</f>
        <v>36</v>
      </c>
      <c r="I24" s="15">
        <f>(H24*20)/1000</f>
        <v>0.72</v>
      </c>
      <c r="J24">
        <f>(G24*20)/1000</f>
        <v>1.92</v>
      </c>
    </row>
    <row r="25" spans="1:10" ht="30" customHeight="1" x14ac:dyDescent="0.35">
      <c r="A25" s="30"/>
      <c r="B25" s="30" t="s">
        <v>74</v>
      </c>
      <c r="C25" s="17">
        <v>44696</v>
      </c>
      <c r="D25" s="15">
        <v>22</v>
      </c>
      <c r="E25" s="15">
        <v>24.6</v>
      </c>
      <c r="F25" s="15">
        <f>(E25/E3)*100</f>
        <v>99.595141700404866</v>
      </c>
      <c r="G25" s="49">
        <f>266-166</f>
        <v>100</v>
      </c>
      <c r="H25" s="52">
        <f>106-70</f>
        <v>36</v>
      </c>
      <c r="I25" s="15">
        <f>(H25*20)/1000</f>
        <v>0.72</v>
      </c>
      <c r="J25">
        <f>(G25*20)/1000</f>
        <v>2</v>
      </c>
    </row>
    <row r="26" spans="1:10" ht="30" customHeight="1" x14ac:dyDescent="0.35">
      <c r="A26" s="32"/>
      <c r="B26" s="33"/>
      <c r="C26" s="17"/>
      <c r="D26" s="15"/>
      <c r="E26" s="15"/>
      <c r="F26" s="15"/>
      <c r="G26" s="47"/>
      <c r="H26" s="51"/>
      <c r="I26" s="15">
        <f>(H26*20)/1000</f>
        <v>0</v>
      </c>
      <c r="J26">
        <f>(G26*20)/1000</f>
        <v>0</v>
      </c>
    </row>
    <row r="27" spans="1:10" ht="30" customHeight="1" x14ac:dyDescent="0.35">
      <c r="A27" s="32"/>
      <c r="B27" s="33"/>
      <c r="C27" s="17"/>
      <c r="D27" s="15"/>
      <c r="E27" s="15"/>
      <c r="F27" s="15"/>
      <c r="G27" s="50"/>
      <c r="H27" s="53"/>
      <c r="I27" s="15">
        <f>(H27*20)/1000</f>
        <v>0</v>
      </c>
      <c r="J27">
        <f>(G27*20)/1000</f>
        <v>0</v>
      </c>
    </row>
    <row r="28" spans="1:10" ht="30" customHeight="1" x14ac:dyDescent="0.35">
      <c r="B28" s="33"/>
      <c r="C28" s="17"/>
      <c r="D28" s="15"/>
      <c r="F28" s="15"/>
      <c r="G28" s="15"/>
      <c r="I28" s="15">
        <f t="shared" si="0"/>
        <v>0</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E0A77-15AA-4EDF-AE48-73C729898812}">
  <dimension ref="A1:K28"/>
  <sheetViews>
    <sheetView topLeftCell="A13" workbookViewId="0">
      <selection activeCell="E3" sqref="E3:E25"/>
    </sheetView>
  </sheetViews>
  <sheetFormatPr defaultRowHeight="14.5" x14ac:dyDescent="0.35"/>
  <cols>
    <col min="1" max="10" width="20.54296875" customWidth="1"/>
  </cols>
  <sheetData>
    <row r="1" spans="1:11" ht="30" customHeight="1" x14ac:dyDescent="0.35">
      <c r="A1" s="13" t="s">
        <v>56</v>
      </c>
      <c r="B1" s="12"/>
      <c r="C1" s="12"/>
      <c r="D1" s="5"/>
      <c r="E1" s="12"/>
      <c r="F1" s="12"/>
      <c r="G1" s="12"/>
      <c r="H1" s="12"/>
      <c r="I1" s="12"/>
    </row>
    <row r="2" spans="1:11" ht="30" customHeight="1" x14ac:dyDescent="0.35">
      <c r="A2" s="13" t="s">
        <v>98</v>
      </c>
      <c r="B2" s="14" t="s">
        <v>58</v>
      </c>
      <c r="C2" s="14" t="s">
        <v>0</v>
      </c>
      <c r="D2" s="14" t="s">
        <v>1</v>
      </c>
      <c r="E2" s="14" t="s">
        <v>59</v>
      </c>
      <c r="F2" s="14" t="s">
        <v>60</v>
      </c>
      <c r="G2" s="14"/>
      <c r="H2" s="14" t="s">
        <v>61</v>
      </c>
      <c r="I2" s="14" t="s">
        <v>62</v>
      </c>
      <c r="K2" s="35" t="s">
        <v>63</v>
      </c>
    </row>
    <row r="3" spans="1:11" ht="30" customHeight="1" x14ac:dyDescent="0.35">
      <c r="A3" s="18" t="s">
        <v>64</v>
      </c>
      <c r="B3" s="24" t="s">
        <v>99</v>
      </c>
      <c r="C3" s="17">
        <v>44674</v>
      </c>
      <c r="D3" s="15">
        <v>0</v>
      </c>
      <c r="E3" s="15">
        <v>24.9</v>
      </c>
      <c r="F3" s="15"/>
      <c r="G3" s="15"/>
      <c r="H3" s="15"/>
      <c r="I3" s="15"/>
    </row>
    <row r="4" spans="1:11" ht="30" customHeight="1" x14ac:dyDescent="0.35">
      <c r="A4" s="19" t="s">
        <v>66</v>
      </c>
      <c r="B4" s="25" t="s">
        <v>99</v>
      </c>
      <c r="C4" s="17">
        <v>44675</v>
      </c>
      <c r="D4" s="15">
        <v>1</v>
      </c>
      <c r="E4" s="15">
        <v>26.2</v>
      </c>
      <c r="F4" s="15">
        <f>(E4/E3)*100</f>
        <v>105.22088353413655</v>
      </c>
      <c r="G4" s="15"/>
      <c r="H4" s="15">
        <v>331</v>
      </c>
      <c r="I4" s="15">
        <f>(H4*20)/1000</f>
        <v>6.62</v>
      </c>
    </row>
    <row r="5" spans="1:11" ht="30" customHeight="1" x14ac:dyDescent="0.35">
      <c r="A5" s="19" t="s">
        <v>66</v>
      </c>
      <c r="B5" s="26" t="s">
        <v>99</v>
      </c>
      <c r="C5" s="17">
        <v>44676</v>
      </c>
      <c r="D5" s="15">
        <v>2</v>
      </c>
      <c r="E5" s="15">
        <v>26.1</v>
      </c>
      <c r="F5" s="15">
        <f>(E5/E3)*100</f>
        <v>104.81927710843375</v>
      </c>
      <c r="G5" s="15"/>
      <c r="H5" s="15">
        <f>(562-331)</f>
        <v>231</v>
      </c>
      <c r="I5" s="15">
        <f>(H5*20)/1000</f>
        <v>4.62</v>
      </c>
    </row>
    <row r="6" spans="1:11" ht="30" customHeight="1" x14ac:dyDescent="0.35">
      <c r="A6" s="31" t="s">
        <v>68</v>
      </c>
      <c r="B6" s="25" t="s">
        <v>99</v>
      </c>
      <c r="C6" s="17">
        <v>44677</v>
      </c>
      <c r="D6" s="15">
        <v>3</v>
      </c>
      <c r="E6" s="15">
        <v>26.4</v>
      </c>
      <c r="F6" s="15">
        <f>(E6/E3)*100</f>
        <v>106.02409638554218</v>
      </c>
      <c r="G6" s="15"/>
      <c r="H6" s="15">
        <f>(774-562)</f>
        <v>212</v>
      </c>
      <c r="I6" s="15">
        <f t="shared" ref="I6:I28" si="0">(H6*20)/1000</f>
        <v>4.24</v>
      </c>
    </row>
    <row r="7" spans="1:11" ht="30" customHeight="1" x14ac:dyDescent="0.35">
      <c r="A7" s="22" t="s">
        <v>68</v>
      </c>
      <c r="B7" s="27" t="s">
        <v>99</v>
      </c>
      <c r="C7" s="17">
        <v>44678</v>
      </c>
      <c r="D7" s="15">
        <v>4</v>
      </c>
      <c r="E7" s="15">
        <v>25.3</v>
      </c>
      <c r="F7" s="15">
        <f>(E7/E3)*100</f>
        <v>101.60642570281124</v>
      </c>
      <c r="G7" s="15"/>
      <c r="H7" s="15">
        <v>168</v>
      </c>
      <c r="I7" s="15">
        <f t="shared" si="0"/>
        <v>3.36</v>
      </c>
    </row>
    <row r="8" spans="1:11" ht="30" customHeight="1" x14ac:dyDescent="0.35">
      <c r="A8" s="22" t="s">
        <v>68</v>
      </c>
      <c r="B8" s="25" t="s">
        <v>99</v>
      </c>
      <c r="C8" s="17">
        <v>44679</v>
      </c>
      <c r="D8" s="15">
        <v>5</v>
      </c>
      <c r="E8" s="15">
        <v>26.5</v>
      </c>
      <c r="F8" s="15">
        <f>(E8/E3)*100</f>
        <v>106.42570281124499</v>
      </c>
      <c r="G8" s="15"/>
      <c r="H8" s="15">
        <f>(382-168)</f>
        <v>214</v>
      </c>
      <c r="I8" s="15">
        <f t="shared" si="0"/>
        <v>4.28</v>
      </c>
    </row>
    <row r="9" spans="1:11" ht="30" customHeight="1" x14ac:dyDescent="0.35">
      <c r="A9" s="22" t="s">
        <v>68</v>
      </c>
      <c r="B9" s="26" t="s">
        <v>99</v>
      </c>
      <c r="C9" s="17">
        <v>44680</v>
      </c>
      <c r="D9" s="15">
        <v>6</v>
      </c>
      <c r="E9" s="15">
        <v>25.9</v>
      </c>
      <c r="F9" s="15">
        <f>(E9/E3)*100</f>
        <v>104.01606425702812</v>
      </c>
      <c r="G9" s="15"/>
      <c r="H9" s="15">
        <f>(539-382)</f>
        <v>157</v>
      </c>
      <c r="I9" s="15">
        <f t="shared" si="0"/>
        <v>3.14</v>
      </c>
    </row>
    <row r="10" spans="1:11" ht="30" customHeight="1" x14ac:dyDescent="0.35">
      <c r="A10" s="22" t="s">
        <v>68</v>
      </c>
      <c r="B10" s="25" t="s">
        <v>99</v>
      </c>
      <c r="C10" s="17">
        <v>44681</v>
      </c>
      <c r="D10" s="15">
        <v>7</v>
      </c>
      <c r="E10" s="15">
        <v>26.3</v>
      </c>
      <c r="F10" s="15">
        <f>(E10/E3)*100</f>
        <v>105.62248995983936</v>
      </c>
      <c r="G10" s="15"/>
      <c r="H10" s="15">
        <f>(766-593)</f>
        <v>173</v>
      </c>
      <c r="I10" s="15">
        <f t="shared" si="0"/>
        <v>3.46</v>
      </c>
    </row>
    <row r="11" spans="1:11" ht="30" customHeight="1" x14ac:dyDescent="0.35">
      <c r="A11" s="22" t="s">
        <v>68</v>
      </c>
      <c r="B11" s="26" t="s">
        <v>99</v>
      </c>
      <c r="C11" s="17">
        <v>44682</v>
      </c>
      <c r="D11" s="15">
        <v>8</v>
      </c>
      <c r="E11" s="15">
        <v>25.9</v>
      </c>
      <c r="F11" s="15">
        <f>(E11/E3)*100</f>
        <v>104.01606425702812</v>
      </c>
      <c r="G11" s="15"/>
      <c r="H11" s="15">
        <f>(928-766)</f>
        <v>162</v>
      </c>
      <c r="I11" s="15">
        <f t="shared" si="0"/>
        <v>3.24</v>
      </c>
    </row>
    <row r="12" spans="1:11" ht="30" customHeight="1" x14ac:dyDescent="0.35">
      <c r="A12" s="22" t="s">
        <v>68</v>
      </c>
      <c r="B12" s="25" t="s">
        <v>99</v>
      </c>
      <c r="C12" s="17">
        <v>44683</v>
      </c>
      <c r="D12" s="15">
        <v>9</v>
      </c>
      <c r="E12" s="15">
        <v>26.1</v>
      </c>
      <c r="F12" s="15">
        <f>(E12/E3)*100</f>
        <v>104.81927710843375</v>
      </c>
      <c r="G12" s="15"/>
      <c r="H12" s="15">
        <f>(1113-928)</f>
        <v>185</v>
      </c>
      <c r="I12" s="15">
        <f t="shared" si="0"/>
        <v>3.7</v>
      </c>
    </row>
    <row r="13" spans="1:11" ht="30" customHeight="1" x14ac:dyDescent="0.35">
      <c r="A13" s="20" t="s">
        <v>67</v>
      </c>
      <c r="B13" s="26" t="s">
        <v>99</v>
      </c>
      <c r="C13" s="17">
        <v>44684</v>
      </c>
      <c r="D13" s="15">
        <v>10</v>
      </c>
      <c r="E13" s="15">
        <v>26.7</v>
      </c>
      <c r="F13" s="15">
        <f>(E13/E3)*100</f>
        <v>107.22891566265061</v>
      </c>
      <c r="G13" s="15"/>
      <c r="H13" s="15">
        <f>(1295- 1113)</f>
        <v>182</v>
      </c>
      <c r="I13" s="15">
        <f t="shared" si="0"/>
        <v>3.64</v>
      </c>
    </row>
    <row r="14" spans="1:11" ht="30" customHeight="1" x14ac:dyDescent="0.35">
      <c r="A14" s="21" t="s">
        <v>67</v>
      </c>
      <c r="B14" s="25" t="s">
        <v>99</v>
      </c>
      <c r="C14" s="17">
        <v>44685</v>
      </c>
      <c r="D14" s="15">
        <v>11</v>
      </c>
      <c r="E14" s="15">
        <v>26</v>
      </c>
      <c r="F14" s="15">
        <f>(E14/E3)*100</f>
        <v>104.41767068273093</v>
      </c>
      <c r="G14" s="15"/>
      <c r="H14" s="15">
        <v>153</v>
      </c>
      <c r="I14" s="15">
        <f t="shared" si="0"/>
        <v>3.06</v>
      </c>
    </row>
    <row r="15" spans="1:11" ht="30" customHeight="1" x14ac:dyDescent="0.35">
      <c r="A15" s="21" t="s">
        <v>67</v>
      </c>
      <c r="B15" s="26" t="s">
        <v>99</v>
      </c>
      <c r="C15" s="17">
        <v>44686</v>
      </c>
      <c r="D15" s="15">
        <v>12</v>
      </c>
      <c r="E15" s="15">
        <v>25.8</v>
      </c>
      <c r="F15" s="15">
        <f>(E15/E3)*100</f>
        <v>103.6144578313253</v>
      </c>
      <c r="G15" s="15"/>
      <c r="H15" s="15">
        <f>(293-153)</f>
        <v>140</v>
      </c>
      <c r="I15" s="15">
        <f t="shared" si="0"/>
        <v>2.8</v>
      </c>
    </row>
    <row r="16" spans="1:11" ht="30" customHeight="1" x14ac:dyDescent="0.35">
      <c r="A16" s="21" t="s">
        <v>67</v>
      </c>
      <c r="B16" s="25" t="s">
        <v>99</v>
      </c>
      <c r="C16" s="17">
        <v>44687</v>
      </c>
      <c r="D16" s="15">
        <v>13</v>
      </c>
      <c r="E16" s="15">
        <v>25.8</v>
      </c>
      <c r="F16" s="15">
        <f>(E16/E3)*100</f>
        <v>103.6144578313253</v>
      </c>
      <c r="G16" s="15"/>
      <c r="H16" s="15">
        <f>(445-293)</f>
        <v>152</v>
      </c>
      <c r="I16" s="15">
        <f t="shared" si="0"/>
        <v>3.04</v>
      </c>
    </row>
    <row r="17" spans="1:10" ht="30" customHeight="1" x14ac:dyDescent="0.35">
      <c r="A17" s="21" t="s">
        <v>67</v>
      </c>
      <c r="B17" s="26" t="s">
        <v>99</v>
      </c>
      <c r="C17" s="17">
        <v>44688</v>
      </c>
      <c r="D17" s="15">
        <v>14</v>
      </c>
      <c r="E17" s="15">
        <v>26</v>
      </c>
      <c r="F17" s="15">
        <f>(E17/E3)*100</f>
        <v>104.41767068273093</v>
      </c>
      <c r="G17" s="15"/>
      <c r="H17" s="15">
        <f>(602-445)</f>
        <v>157</v>
      </c>
      <c r="I17" s="15">
        <f t="shared" si="0"/>
        <v>3.14</v>
      </c>
    </row>
    <row r="18" spans="1:10" ht="30" customHeight="1" x14ac:dyDescent="0.35">
      <c r="A18" s="21" t="s">
        <v>67</v>
      </c>
      <c r="B18" s="25" t="s">
        <v>99</v>
      </c>
      <c r="C18" s="17">
        <v>44689</v>
      </c>
      <c r="D18" s="15">
        <v>15</v>
      </c>
      <c r="E18" s="15">
        <v>25.7</v>
      </c>
      <c r="F18" s="15">
        <f>(E18/E3)*100</f>
        <v>103.21285140562249</v>
      </c>
      <c r="G18" s="15"/>
      <c r="H18" s="15">
        <f>790-602</f>
        <v>188</v>
      </c>
      <c r="I18" s="15">
        <f t="shared" si="0"/>
        <v>3.76</v>
      </c>
    </row>
    <row r="19" spans="1:10" ht="30" customHeight="1" x14ac:dyDescent="0.35">
      <c r="A19" s="21" t="s">
        <v>67</v>
      </c>
      <c r="B19" s="26" t="s">
        <v>99</v>
      </c>
      <c r="C19" s="17">
        <v>44690</v>
      </c>
      <c r="D19" s="15">
        <v>16</v>
      </c>
      <c r="E19" s="15">
        <v>25.7</v>
      </c>
      <c r="F19" s="15">
        <f>(E19/E3)*100</f>
        <v>103.21285140562249</v>
      </c>
      <c r="G19" s="15"/>
      <c r="H19" s="15">
        <f>928-790</f>
        <v>138</v>
      </c>
      <c r="I19" s="15">
        <f t="shared" si="0"/>
        <v>2.76</v>
      </c>
    </row>
    <row r="20" spans="1:10" ht="30" customHeight="1" x14ac:dyDescent="0.35">
      <c r="A20" s="21" t="s">
        <v>96</v>
      </c>
      <c r="B20" s="25" t="s">
        <v>99</v>
      </c>
      <c r="C20" s="17">
        <v>44691</v>
      </c>
      <c r="D20" s="15">
        <v>17</v>
      </c>
      <c r="E20" s="15">
        <v>25.7</v>
      </c>
      <c r="F20" s="15">
        <f>(E20/E3)*100</f>
        <v>103.21285140562249</v>
      </c>
      <c r="G20" s="15"/>
      <c r="H20" s="15">
        <f>(1098-928)</f>
        <v>170</v>
      </c>
      <c r="I20" s="15">
        <f t="shared" si="0"/>
        <v>3.4</v>
      </c>
    </row>
    <row r="21" spans="1:10" ht="30" customHeight="1" x14ac:dyDescent="0.35">
      <c r="A21" s="21" t="s">
        <v>97</v>
      </c>
      <c r="B21" s="26" t="s">
        <v>99</v>
      </c>
      <c r="C21" s="17">
        <v>44692</v>
      </c>
      <c r="D21" s="15">
        <v>18</v>
      </c>
      <c r="E21" s="15">
        <v>26</v>
      </c>
      <c r="F21" s="15">
        <f>(E21/E3)*100</f>
        <v>104.41767068273093</v>
      </c>
      <c r="G21" s="15"/>
      <c r="H21" s="15">
        <v>241</v>
      </c>
      <c r="I21" s="15">
        <f t="shared" si="0"/>
        <v>4.82</v>
      </c>
    </row>
    <row r="22" spans="1:10" ht="30" customHeight="1" x14ac:dyDescent="0.35">
      <c r="A22" s="23" t="s">
        <v>73</v>
      </c>
      <c r="B22" s="25" t="s">
        <v>77</v>
      </c>
      <c r="C22" s="17">
        <v>44693</v>
      </c>
      <c r="D22" s="15">
        <v>19</v>
      </c>
      <c r="E22" s="15">
        <v>27.7</v>
      </c>
      <c r="F22" s="15">
        <f>(E22/E3)*100</f>
        <v>111.24497991967873</v>
      </c>
      <c r="G22" s="15"/>
      <c r="H22" s="15">
        <v>245</v>
      </c>
      <c r="I22" s="15">
        <f t="shared" si="0"/>
        <v>4.9000000000000004</v>
      </c>
    </row>
    <row r="23" spans="1:10" ht="30" customHeight="1" x14ac:dyDescent="0.35">
      <c r="A23" s="23" t="s">
        <v>73</v>
      </c>
      <c r="B23" s="26" t="s">
        <v>77</v>
      </c>
      <c r="C23" s="17">
        <v>44694</v>
      </c>
      <c r="D23" s="15">
        <v>20</v>
      </c>
      <c r="E23" s="15">
        <v>27.2</v>
      </c>
      <c r="F23" s="15">
        <f>(E23/E3)*100</f>
        <v>109.23694779116467</v>
      </c>
      <c r="G23" s="47">
        <v>96</v>
      </c>
      <c r="H23" s="52">
        <v>96</v>
      </c>
      <c r="I23" s="15">
        <f>(H23*20)/1000</f>
        <v>1.92</v>
      </c>
      <c r="J23">
        <f>(G23*20)/1000</f>
        <v>1.92</v>
      </c>
    </row>
    <row r="24" spans="1:10" ht="30" customHeight="1" x14ac:dyDescent="0.35">
      <c r="A24" s="23" t="s">
        <v>73</v>
      </c>
      <c r="B24" s="29" t="s">
        <v>77</v>
      </c>
      <c r="C24" s="17">
        <v>44695</v>
      </c>
      <c r="D24" s="15">
        <v>21</v>
      </c>
      <c r="E24" s="15">
        <v>27.1</v>
      </c>
      <c r="F24" s="15">
        <f>(E24/E3)*100</f>
        <v>108.83534136546187</v>
      </c>
      <c r="G24" s="48">
        <f>215-96</f>
        <v>119</v>
      </c>
      <c r="H24" s="52">
        <f>192-96</f>
        <v>96</v>
      </c>
      <c r="I24" s="15">
        <f>(H24*20)/1000</f>
        <v>1.92</v>
      </c>
      <c r="J24">
        <f>(G24*20)/1000</f>
        <v>2.38</v>
      </c>
    </row>
    <row r="25" spans="1:10" ht="30" customHeight="1" x14ac:dyDescent="0.35">
      <c r="A25" s="30"/>
      <c r="B25" s="30" t="s">
        <v>77</v>
      </c>
      <c r="C25" s="17">
        <v>44696</v>
      </c>
      <c r="D25" s="15">
        <v>22</v>
      </c>
      <c r="E25" s="15">
        <v>27.2</v>
      </c>
      <c r="F25" s="15">
        <f>(E25/E3)*100</f>
        <v>109.23694779116467</v>
      </c>
      <c r="G25" s="49">
        <f>353-215</f>
        <v>138</v>
      </c>
      <c r="H25" s="52">
        <f>277-192</f>
        <v>85</v>
      </c>
      <c r="I25" s="15">
        <f>(H25*20)/1000</f>
        <v>1.7</v>
      </c>
      <c r="J25">
        <f>(G25*20)/1000</f>
        <v>2.76</v>
      </c>
    </row>
    <row r="26" spans="1:10" ht="30" customHeight="1" x14ac:dyDescent="0.35">
      <c r="A26" s="32"/>
      <c r="B26" s="33"/>
      <c r="C26" s="17"/>
      <c r="D26" s="15"/>
      <c r="E26" s="15"/>
      <c r="F26" s="15"/>
      <c r="G26" s="47"/>
      <c r="H26" s="51"/>
      <c r="I26" s="15">
        <f>(H26*20)/1000</f>
        <v>0</v>
      </c>
      <c r="J26">
        <f>(G26*20)/1000</f>
        <v>0</v>
      </c>
    </row>
    <row r="27" spans="1:10" ht="30" customHeight="1" x14ac:dyDescent="0.35">
      <c r="A27" s="32"/>
      <c r="B27" s="33"/>
      <c r="C27" s="17"/>
      <c r="D27" s="15"/>
      <c r="E27" s="15"/>
      <c r="F27" s="15"/>
      <c r="G27" s="50"/>
      <c r="H27" s="53"/>
      <c r="I27" s="15">
        <f>(H27*20)/1000</f>
        <v>0</v>
      </c>
      <c r="J27">
        <f>(G27*20)/1000</f>
        <v>0</v>
      </c>
    </row>
    <row r="28" spans="1:10" ht="30" customHeight="1" x14ac:dyDescent="0.35">
      <c r="B28" s="33"/>
      <c r="C28" s="17"/>
      <c r="D28" s="15"/>
      <c r="F28" s="15"/>
      <c r="G28" s="15"/>
      <c r="I28" s="15">
        <f t="shared" si="0"/>
        <v>0</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63A77-12CA-4662-944D-32F496877D68}">
  <dimension ref="A1:K28"/>
  <sheetViews>
    <sheetView topLeftCell="A10" workbookViewId="0">
      <selection activeCell="K3" sqref="K3:K25"/>
    </sheetView>
  </sheetViews>
  <sheetFormatPr defaultRowHeight="14.5" x14ac:dyDescent="0.35"/>
  <cols>
    <col min="1" max="9" width="20.54296875" customWidth="1"/>
  </cols>
  <sheetData>
    <row r="1" spans="1:11" ht="30" customHeight="1" x14ac:dyDescent="0.35">
      <c r="A1" s="13" t="s">
        <v>56</v>
      </c>
      <c r="B1" s="12"/>
      <c r="C1" s="12"/>
      <c r="D1" s="5"/>
      <c r="E1" s="12"/>
      <c r="F1" s="12"/>
      <c r="G1" s="12"/>
      <c r="H1" s="12"/>
      <c r="I1" s="12"/>
    </row>
    <row r="2" spans="1:11" ht="30" customHeight="1" thickBot="1" x14ac:dyDescent="0.4">
      <c r="A2" s="13" t="s">
        <v>100</v>
      </c>
      <c r="B2" s="14" t="s">
        <v>58</v>
      </c>
      <c r="C2" s="14" t="s">
        <v>0</v>
      </c>
      <c r="D2" s="14" t="s">
        <v>1</v>
      </c>
      <c r="E2" s="14" t="s">
        <v>59</v>
      </c>
      <c r="F2" s="14" t="s">
        <v>60</v>
      </c>
      <c r="G2" s="14"/>
      <c r="H2" s="14" t="s">
        <v>61</v>
      </c>
      <c r="I2" s="14" t="s">
        <v>62</v>
      </c>
      <c r="K2" s="35" t="s">
        <v>63</v>
      </c>
    </row>
    <row r="3" spans="1:11" ht="30" customHeight="1" thickTop="1" thickBot="1" x14ac:dyDescent="0.4">
      <c r="A3" s="18" t="s">
        <v>64</v>
      </c>
      <c r="B3" s="24" t="s">
        <v>101</v>
      </c>
      <c r="C3" s="17">
        <v>44674</v>
      </c>
      <c r="D3" s="15">
        <v>0</v>
      </c>
      <c r="E3" s="15">
        <v>24.1</v>
      </c>
      <c r="F3" s="15"/>
      <c r="G3" s="15"/>
      <c r="H3" s="15"/>
      <c r="I3" s="15"/>
    </row>
    <row r="4" spans="1:11" ht="30" customHeight="1" thickTop="1" thickBot="1" x14ac:dyDescent="0.4">
      <c r="A4" s="19" t="s">
        <v>66</v>
      </c>
      <c r="B4" s="25" t="s">
        <v>101</v>
      </c>
      <c r="C4" s="17">
        <v>44675</v>
      </c>
      <c r="D4" s="15">
        <v>1</v>
      </c>
      <c r="E4" s="15">
        <v>25.4</v>
      </c>
      <c r="F4" s="15">
        <f>(E4/E3)*100</f>
        <v>105.39419087136928</v>
      </c>
      <c r="G4" s="15"/>
      <c r="H4" s="15">
        <v>326</v>
      </c>
      <c r="I4" s="15">
        <f>(H4*20)/1000</f>
        <v>6.52</v>
      </c>
    </row>
    <row r="5" spans="1:11" ht="30" customHeight="1" thickTop="1" thickBot="1" x14ac:dyDescent="0.4">
      <c r="A5" s="19" t="s">
        <v>66</v>
      </c>
      <c r="B5" s="26" t="s">
        <v>101</v>
      </c>
      <c r="C5" s="17">
        <v>44676</v>
      </c>
      <c r="D5" s="15">
        <v>2</v>
      </c>
      <c r="E5" s="15">
        <v>25</v>
      </c>
      <c r="F5" s="15">
        <f>(E5/E3)*100</f>
        <v>103.73443983402488</v>
      </c>
      <c r="G5" s="15"/>
      <c r="H5" s="15">
        <f>(511-326)</f>
        <v>185</v>
      </c>
      <c r="I5" s="15">
        <f>(H5*20)/1000</f>
        <v>3.7</v>
      </c>
    </row>
    <row r="6" spans="1:11" ht="30" customHeight="1" thickTop="1" thickBot="1" x14ac:dyDescent="0.4">
      <c r="A6" s="31" t="s">
        <v>68</v>
      </c>
      <c r="B6" s="25" t="s">
        <v>101</v>
      </c>
      <c r="C6" s="17">
        <v>44677</v>
      </c>
      <c r="D6" s="15">
        <v>3</v>
      </c>
      <c r="E6" s="15">
        <v>25.1</v>
      </c>
      <c r="F6" s="15">
        <f>(E6/E3)*100</f>
        <v>104.14937759336101</v>
      </c>
      <c r="G6" s="15"/>
      <c r="H6" s="15">
        <f>(705-511)</f>
        <v>194</v>
      </c>
      <c r="I6" s="15">
        <f t="shared" ref="I6:I22" si="0">(H6*20)/1000</f>
        <v>3.88</v>
      </c>
    </row>
    <row r="7" spans="1:11" ht="30" customHeight="1" thickTop="1" thickBot="1" x14ac:dyDescent="0.4">
      <c r="A7" s="22" t="s">
        <v>68</v>
      </c>
      <c r="B7" s="27" t="s">
        <v>101</v>
      </c>
      <c r="C7" s="17">
        <v>44678</v>
      </c>
      <c r="D7" s="15">
        <v>4</v>
      </c>
      <c r="E7" s="15">
        <v>24.3</v>
      </c>
      <c r="F7" s="15">
        <f>(E7/E3)*100</f>
        <v>100.8298755186722</v>
      </c>
      <c r="G7" s="15"/>
      <c r="H7" s="15">
        <v>164</v>
      </c>
      <c r="I7" s="15">
        <f t="shared" si="0"/>
        <v>3.28</v>
      </c>
    </row>
    <row r="8" spans="1:11" ht="30" customHeight="1" thickTop="1" thickBot="1" x14ac:dyDescent="0.4">
      <c r="A8" s="22" t="s">
        <v>68</v>
      </c>
      <c r="B8" s="25" t="s">
        <v>101</v>
      </c>
      <c r="C8" s="17">
        <v>44679</v>
      </c>
      <c r="D8" s="15">
        <v>5</v>
      </c>
      <c r="E8" s="15">
        <v>24.9</v>
      </c>
      <c r="F8" s="15">
        <f>(E8/E3)*100</f>
        <v>103.31950207468878</v>
      </c>
      <c r="G8" s="15"/>
      <c r="H8" s="15">
        <f>(333-164)</f>
        <v>169</v>
      </c>
      <c r="I8" s="15">
        <f t="shared" si="0"/>
        <v>3.38</v>
      </c>
    </row>
    <row r="9" spans="1:11" ht="30" customHeight="1" thickTop="1" thickBot="1" x14ac:dyDescent="0.4">
      <c r="A9" s="22" t="s">
        <v>68</v>
      </c>
      <c r="B9" s="26" t="s">
        <v>101</v>
      </c>
      <c r="C9" s="17">
        <v>44680</v>
      </c>
      <c r="D9" s="15">
        <v>6</v>
      </c>
      <c r="E9" s="15">
        <v>24.5</v>
      </c>
      <c r="F9" s="15">
        <f>(E9/E3)*100</f>
        <v>101.65975103734439</v>
      </c>
      <c r="G9" s="15"/>
      <c r="H9" s="15">
        <f>(511-333)</f>
        <v>178</v>
      </c>
      <c r="I9" s="15">
        <f t="shared" si="0"/>
        <v>3.56</v>
      </c>
    </row>
    <row r="10" spans="1:11" ht="30" customHeight="1" thickTop="1" thickBot="1" x14ac:dyDescent="0.4">
      <c r="A10" s="22" t="s">
        <v>68</v>
      </c>
      <c r="B10" s="25" t="s">
        <v>101</v>
      </c>
      <c r="C10" s="17">
        <v>44681</v>
      </c>
      <c r="D10" s="15">
        <v>7</v>
      </c>
      <c r="E10" s="15">
        <v>24.5</v>
      </c>
      <c r="F10" s="15">
        <f>(E10/E3)*100</f>
        <v>101.65975103734439</v>
      </c>
      <c r="G10" s="15"/>
      <c r="H10" s="15">
        <f>(710-511)</f>
        <v>199</v>
      </c>
      <c r="I10" s="15">
        <f t="shared" si="0"/>
        <v>3.98</v>
      </c>
    </row>
    <row r="11" spans="1:11" ht="30" customHeight="1" thickTop="1" thickBot="1" x14ac:dyDescent="0.4">
      <c r="A11" s="22" t="s">
        <v>68</v>
      </c>
      <c r="B11" s="26" t="s">
        <v>101</v>
      </c>
      <c r="C11" s="17">
        <v>44682</v>
      </c>
      <c r="D11" s="15">
        <v>8</v>
      </c>
      <c r="E11" s="15">
        <v>24.7</v>
      </c>
      <c r="F11" s="15">
        <f>(E11/E3)*100</f>
        <v>102.48962655601659</v>
      </c>
      <c r="G11" s="15"/>
      <c r="H11" s="15">
        <f>(913-710)</f>
        <v>203</v>
      </c>
      <c r="I11" s="15">
        <f t="shared" si="0"/>
        <v>4.0599999999999996</v>
      </c>
    </row>
    <row r="12" spans="1:11" ht="30" customHeight="1" thickTop="1" thickBot="1" x14ac:dyDescent="0.4">
      <c r="A12" s="22" t="s">
        <v>68</v>
      </c>
      <c r="B12" s="25" t="s">
        <v>101</v>
      </c>
      <c r="C12" s="17">
        <v>44683</v>
      </c>
      <c r="D12" s="15">
        <v>9</v>
      </c>
      <c r="E12" s="15">
        <v>25.1</v>
      </c>
      <c r="F12" s="15">
        <f>(E12/E3)*100</f>
        <v>104.14937759336101</v>
      </c>
      <c r="G12" s="15"/>
      <c r="H12" s="15">
        <f>(1099-913)</f>
        <v>186</v>
      </c>
      <c r="I12" s="15">
        <f t="shared" si="0"/>
        <v>3.72</v>
      </c>
    </row>
    <row r="13" spans="1:11" ht="30" customHeight="1" thickTop="1" thickBot="1" x14ac:dyDescent="0.4">
      <c r="A13" s="20" t="s">
        <v>67</v>
      </c>
      <c r="B13" s="26" t="s">
        <v>101</v>
      </c>
      <c r="C13" s="17">
        <v>44684</v>
      </c>
      <c r="D13" s="15">
        <v>10</v>
      </c>
      <c r="E13" s="15">
        <v>25</v>
      </c>
      <c r="F13" s="15">
        <f>(E13/E3)*100</f>
        <v>103.73443983402488</v>
      </c>
      <c r="G13" s="15"/>
      <c r="H13" s="15">
        <f>(1328-1099)</f>
        <v>229</v>
      </c>
      <c r="I13" s="15">
        <f t="shared" si="0"/>
        <v>4.58</v>
      </c>
    </row>
    <row r="14" spans="1:11" ht="30" customHeight="1" thickTop="1" thickBot="1" x14ac:dyDescent="0.4">
      <c r="A14" s="21" t="s">
        <v>67</v>
      </c>
      <c r="B14" s="25" t="s">
        <v>101</v>
      </c>
      <c r="C14" s="17">
        <v>44685</v>
      </c>
      <c r="D14" s="15">
        <v>11</v>
      </c>
      <c r="E14" s="15">
        <v>24.5</v>
      </c>
      <c r="F14" s="15">
        <f>(E14/E3)*100</f>
        <v>101.65975103734439</v>
      </c>
      <c r="G14" s="15"/>
      <c r="H14" s="15">
        <v>175</v>
      </c>
      <c r="I14" s="15">
        <f t="shared" si="0"/>
        <v>3.5</v>
      </c>
    </row>
    <row r="15" spans="1:11" ht="30" customHeight="1" thickTop="1" thickBot="1" x14ac:dyDescent="0.4">
      <c r="A15" s="21" t="s">
        <v>67</v>
      </c>
      <c r="B15" s="26" t="s">
        <v>101</v>
      </c>
      <c r="C15" s="17">
        <v>44686</v>
      </c>
      <c r="D15" s="15">
        <v>12</v>
      </c>
      <c r="E15" s="15">
        <v>24.3</v>
      </c>
      <c r="F15" s="15">
        <f>(E15/E3)*100</f>
        <v>100.8298755186722</v>
      </c>
      <c r="G15" s="15"/>
      <c r="H15" s="15">
        <f>(355-175)</f>
        <v>180</v>
      </c>
      <c r="I15" s="15">
        <f t="shared" si="0"/>
        <v>3.6</v>
      </c>
    </row>
    <row r="16" spans="1:11" ht="30" customHeight="1" thickTop="1" thickBot="1" x14ac:dyDescent="0.4">
      <c r="A16" s="21" t="s">
        <v>67</v>
      </c>
      <c r="B16" s="25" t="s">
        <v>101</v>
      </c>
      <c r="C16" s="17">
        <v>44687</v>
      </c>
      <c r="D16" s="15">
        <v>13</v>
      </c>
      <c r="E16" s="15">
        <v>24.9</v>
      </c>
      <c r="F16" s="15">
        <f>(E16/E3)*100</f>
        <v>103.31950207468878</v>
      </c>
      <c r="G16" s="15"/>
      <c r="H16" s="34">
        <f>(564-355)-5</f>
        <v>204</v>
      </c>
      <c r="I16" s="15">
        <f t="shared" si="0"/>
        <v>4.08</v>
      </c>
      <c r="K16">
        <v>5</v>
      </c>
    </row>
    <row r="17" spans="1:11" ht="30" customHeight="1" thickTop="1" thickBot="1" x14ac:dyDescent="0.4">
      <c r="A17" s="21" t="s">
        <v>67</v>
      </c>
      <c r="B17" s="26" t="s">
        <v>101</v>
      </c>
      <c r="C17" s="17">
        <v>44688</v>
      </c>
      <c r="D17" s="15">
        <v>14</v>
      </c>
      <c r="E17" s="15">
        <v>24.9</v>
      </c>
      <c r="F17" s="15">
        <f>(E17/E3)*100</f>
        <v>103.31950207468878</v>
      </c>
      <c r="G17" s="15"/>
      <c r="H17" s="34">
        <f>(778-564)-7</f>
        <v>207</v>
      </c>
      <c r="I17" s="15">
        <f t="shared" si="0"/>
        <v>4.1399999999999997</v>
      </c>
      <c r="K17">
        <v>7</v>
      </c>
    </row>
    <row r="18" spans="1:11" ht="30" customHeight="1" thickTop="1" thickBot="1" x14ac:dyDescent="0.4">
      <c r="A18" s="21" t="s">
        <v>67</v>
      </c>
      <c r="B18" s="25" t="s">
        <v>101</v>
      </c>
      <c r="C18" s="17">
        <v>44689</v>
      </c>
      <c r="D18" s="15">
        <v>15</v>
      </c>
      <c r="E18" s="15">
        <v>24.9</v>
      </c>
      <c r="F18" s="15">
        <f>(E18/E3)*100</f>
        <v>103.31950207468878</v>
      </c>
      <c r="G18" s="15"/>
      <c r="H18" s="34">
        <f>(1019-778)-27</f>
        <v>214</v>
      </c>
      <c r="I18" s="15">
        <f t="shared" si="0"/>
        <v>4.28</v>
      </c>
      <c r="K18">
        <v>27</v>
      </c>
    </row>
    <row r="19" spans="1:11" ht="30" customHeight="1" thickTop="1" thickBot="1" x14ac:dyDescent="0.4">
      <c r="A19" s="21" t="s">
        <v>67</v>
      </c>
      <c r="B19" s="26" t="s">
        <v>101</v>
      </c>
      <c r="C19" s="17">
        <v>44690</v>
      </c>
      <c r="D19" s="15">
        <v>16</v>
      </c>
      <c r="E19" s="15">
        <v>24.3</v>
      </c>
      <c r="F19" s="15">
        <f>(E19/E3)*100</f>
        <v>100.8298755186722</v>
      </c>
      <c r="G19" s="15"/>
      <c r="H19" s="34">
        <f>(1248-1019)-15</f>
        <v>214</v>
      </c>
      <c r="I19" s="15">
        <f t="shared" si="0"/>
        <v>4.28</v>
      </c>
      <c r="K19">
        <v>15</v>
      </c>
    </row>
    <row r="20" spans="1:11" ht="30" customHeight="1" thickTop="1" thickBot="1" x14ac:dyDescent="0.4">
      <c r="A20" s="21" t="s">
        <v>96</v>
      </c>
      <c r="B20" s="25" t="s">
        <v>101</v>
      </c>
      <c r="C20" s="17">
        <v>44691</v>
      </c>
      <c r="D20" s="15">
        <v>17</v>
      </c>
      <c r="E20" s="15">
        <v>25.5</v>
      </c>
      <c r="F20" s="15">
        <f>(E20/E3)*100</f>
        <v>105.8091286307054</v>
      </c>
      <c r="G20" s="15"/>
      <c r="H20" s="34">
        <f>(1443-1248)-3</f>
        <v>192</v>
      </c>
      <c r="I20" s="15">
        <f t="shared" si="0"/>
        <v>3.84</v>
      </c>
      <c r="K20">
        <v>3</v>
      </c>
    </row>
    <row r="21" spans="1:11" ht="30" customHeight="1" thickTop="1" thickBot="1" x14ac:dyDescent="0.4">
      <c r="A21" s="21" t="s">
        <v>97</v>
      </c>
      <c r="B21" s="26" t="s">
        <v>101</v>
      </c>
      <c r="C21" s="17">
        <v>44692</v>
      </c>
      <c r="D21" s="15">
        <v>18</v>
      </c>
      <c r="E21" s="15">
        <v>25.9</v>
      </c>
      <c r="F21" s="15">
        <f>(E21/E3)*100</f>
        <v>107.46887966804979</v>
      </c>
      <c r="G21" s="15"/>
      <c r="H21" s="15">
        <v>167</v>
      </c>
      <c r="I21" s="15">
        <f t="shared" si="0"/>
        <v>3.34</v>
      </c>
    </row>
    <row r="22" spans="1:11" ht="30" customHeight="1" thickTop="1" thickBot="1" x14ac:dyDescent="0.4">
      <c r="A22" s="23" t="s">
        <v>73</v>
      </c>
      <c r="B22" s="25" t="s">
        <v>80</v>
      </c>
      <c r="C22" s="17">
        <v>44693</v>
      </c>
      <c r="D22" s="15">
        <v>19</v>
      </c>
      <c r="E22" s="15">
        <v>27</v>
      </c>
      <c r="F22" s="15">
        <f>(E22/E3)*100</f>
        <v>112.03319502074689</v>
      </c>
      <c r="G22" s="15"/>
      <c r="H22" s="15">
        <v>216</v>
      </c>
      <c r="I22" s="15">
        <f t="shared" si="0"/>
        <v>4.32</v>
      </c>
    </row>
    <row r="23" spans="1:11" ht="30" customHeight="1" thickTop="1" thickBot="1" x14ac:dyDescent="0.4">
      <c r="A23" s="23" t="s">
        <v>73</v>
      </c>
      <c r="B23" s="26" t="s">
        <v>80</v>
      </c>
      <c r="C23" s="17">
        <v>44694</v>
      </c>
      <c r="D23" s="15">
        <v>20</v>
      </c>
      <c r="E23" s="15">
        <v>25.1</v>
      </c>
      <c r="F23" s="15">
        <f>(E23/E3)*100</f>
        <v>104.14937759336101</v>
      </c>
      <c r="G23" s="47">
        <v>85</v>
      </c>
      <c r="H23" s="54">
        <v>6</v>
      </c>
      <c r="I23" s="15">
        <f>(H23*20)/1000</f>
        <v>0.12</v>
      </c>
      <c r="J23">
        <f>(G23*20)/1000</f>
        <v>1.7</v>
      </c>
      <c r="K23">
        <v>11</v>
      </c>
    </row>
    <row r="24" spans="1:11" ht="30" customHeight="1" thickTop="1" thickBot="1" x14ac:dyDescent="0.4">
      <c r="A24" s="23" t="s">
        <v>73</v>
      </c>
      <c r="B24" s="29" t="s">
        <v>80</v>
      </c>
      <c r="C24" s="17">
        <v>44695</v>
      </c>
      <c r="D24" s="15">
        <v>21</v>
      </c>
      <c r="E24" s="15">
        <v>25.1</v>
      </c>
      <c r="F24" s="15">
        <f>(E24/E3)*100</f>
        <v>104.14937759336101</v>
      </c>
      <c r="G24" s="48">
        <f>196-85</f>
        <v>111</v>
      </c>
      <c r="H24" s="54">
        <v>17</v>
      </c>
      <c r="I24" s="15">
        <f>(H24*20)/1000</f>
        <v>0.34</v>
      </c>
      <c r="J24">
        <f>(G24*20)/1000</f>
        <v>2.2200000000000002</v>
      </c>
      <c r="K24">
        <v>2</v>
      </c>
    </row>
    <row r="25" spans="1:11" ht="30" customHeight="1" thickTop="1" x14ac:dyDescent="0.35">
      <c r="A25" s="30"/>
      <c r="B25" s="30" t="s">
        <v>80</v>
      </c>
      <c r="C25" s="17">
        <v>44696</v>
      </c>
      <c r="D25" s="15">
        <v>22</v>
      </c>
      <c r="E25" s="15">
        <v>25.1</v>
      </c>
      <c r="F25" s="15">
        <f>(E25/E3)*100</f>
        <v>104.14937759336101</v>
      </c>
      <c r="G25" s="49">
        <f>303-196</f>
        <v>107</v>
      </c>
      <c r="H25" s="52">
        <f>55-36</f>
        <v>19</v>
      </c>
      <c r="I25" s="15">
        <f>(H25*20)/1000</f>
        <v>0.38</v>
      </c>
      <c r="J25">
        <f>(G25*20)/1000</f>
        <v>2.14</v>
      </c>
    </row>
    <row r="26" spans="1:11" ht="30" customHeight="1" x14ac:dyDescent="0.35">
      <c r="A26" s="32"/>
      <c r="B26" s="33"/>
      <c r="C26" s="17"/>
      <c r="D26" s="15"/>
      <c r="E26" s="15"/>
      <c r="F26" s="15"/>
      <c r="G26" s="47"/>
      <c r="H26" s="51"/>
      <c r="I26" s="15">
        <f>(H26*20)/1000</f>
        <v>0</v>
      </c>
      <c r="J26">
        <f>(G26*20)/1000</f>
        <v>0</v>
      </c>
    </row>
    <row r="27" spans="1:11" ht="30" customHeight="1" x14ac:dyDescent="0.35">
      <c r="A27" s="32"/>
      <c r="B27" s="33"/>
      <c r="C27" s="17"/>
      <c r="D27" s="15"/>
      <c r="E27" s="15"/>
      <c r="F27" s="15"/>
      <c r="G27" s="50"/>
      <c r="H27" s="53"/>
      <c r="I27" s="15">
        <f>(H27*20)/1000</f>
        <v>0</v>
      </c>
      <c r="J27">
        <f>(G27*20)/1000</f>
        <v>0</v>
      </c>
    </row>
    <row r="28" spans="1:11" ht="30" customHeight="1" x14ac:dyDescent="0.35">
      <c r="B28" s="33"/>
      <c r="C28" s="17"/>
      <c r="D28" s="15"/>
      <c r="F28" s="15"/>
      <c r="G28" s="15"/>
      <c r="I28" s="15">
        <f t="shared" ref="I28" si="1">(H28*20)/1000</f>
        <v>0</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77E27-CB40-46C3-9F72-F1B7AA2D473B}">
  <dimension ref="A1:K28"/>
  <sheetViews>
    <sheetView topLeftCell="A10" workbookViewId="0">
      <selection activeCell="E3" sqref="E3:E25"/>
    </sheetView>
  </sheetViews>
  <sheetFormatPr defaultRowHeight="14.5" x14ac:dyDescent="0.35"/>
  <cols>
    <col min="1" max="10" width="20.54296875" customWidth="1"/>
  </cols>
  <sheetData>
    <row r="1" spans="1:11" ht="30" customHeight="1" x14ac:dyDescent="0.35">
      <c r="A1" s="13" t="s">
        <v>56</v>
      </c>
      <c r="B1" s="12"/>
      <c r="C1" s="12"/>
      <c r="D1" s="5"/>
      <c r="E1" s="12"/>
      <c r="F1" s="12"/>
      <c r="G1" s="12"/>
      <c r="H1" s="12"/>
      <c r="I1" s="12"/>
    </row>
    <row r="2" spans="1:11" ht="30" customHeight="1" thickBot="1" x14ac:dyDescent="0.4">
      <c r="A2" s="13" t="s">
        <v>102</v>
      </c>
      <c r="B2" s="14" t="s">
        <v>58</v>
      </c>
      <c r="C2" s="14" t="s">
        <v>0</v>
      </c>
      <c r="D2" s="14" t="s">
        <v>1</v>
      </c>
      <c r="E2" s="14" t="s">
        <v>59</v>
      </c>
      <c r="F2" s="14" t="s">
        <v>60</v>
      </c>
      <c r="G2" s="14"/>
      <c r="H2" s="14" t="s">
        <v>61</v>
      </c>
      <c r="I2" s="14" t="s">
        <v>62</v>
      </c>
      <c r="K2" s="35" t="s">
        <v>63</v>
      </c>
    </row>
    <row r="3" spans="1:11" ht="30" customHeight="1" x14ac:dyDescent="0.35">
      <c r="A3" s="18" t="s">
        <v>64</v>
      </c>
      <c r="B3" s="24" t="s">
        <v>103</v>
      </c>
      <c r="C3" s="17">
        <v>44674</v>
      </c>
      <c r="D3" s="15">
        <v>0</v>
      </c>
      <c r="E3" s="15">
        <v>24.9</v>
      </c>
      <c r="F3" s="15"/>
      <c r="G3" s="15"/>
      <c r="H3" s="15"/>
      <c r="I3" s="15"/>
    </row>
    <row r="4" spans="1:11" ht="30" customHeight="1" x14ac:dyDescent="0.35">
      <c r="A4" s="19" t="s">
        <v>66</v>
      </c>
      <c r="B4" s="25" t="s">
        <v>103</v>
      </c>
      <c r="C4" s="17">
        <v>44675</v>
      </c>
      <c r="D4" s="15">
        <v>1</v>
      </c>
      <c r="E4" s="15">
        <v>26</v>
      </c>
      <c r="F4" s="15">
        <f>(E4/E3)*100</f>
        <v>104.41767068273093</v>
      </c>
      <c r="G4" s="15"/>
      <c r="H4" s="15">
        <v>222</v>
      </c>
      <c r="I4" s="15">
        <f>(H4*20)/1000</f>
        <v>4.4400000000000004</v>
      </c>
    </row>
    <row r="5" spans="1:11" ht="30" customHeight="1" x14ac:dyDescent="0.35">
      <c r="A5" s="19" t="s">
        <v>66</v>
      </c>
      <c r="B5" s="26" t="s">
        <v>103</v>
      </c>
      <c r="C5" s="17">
        <v>44676</v>
      </c>
      <c r="D5" s="15">
        <v>2</v>
      </c>
      <c r="E5" s="15">
        <v>26.2</v>
      </c>
      <c r="F5" s="15">
        <f>(E5/E3)*100</f>
        <v>105.22088353413655</v>
      </c>
      <c r="G5" s="15"/>
      <c r="H5" s="15">
        <f>(481-222)</f>
        <v>259</v>
      </c>
      <c r="I5" s="15">
        <f>(H5*20)/1000</f>
        <v>5.18</v>
      </c>
    </row>
    <row r="6" spans="1:11" ht="30" customHeight="1" x14ac:dyDescent="0.35">
      <c r="A6" s="31" t="s">
        <v>68</v>
      </c>
      <c r="B6" s="25" t="s">
        <v>103</v>
      </c>
      <c r="C6" s="17">
        <v>44677</v>
      </c>
      <c r="D6" s="15">
        <v>3</v>
      </c>
      <c r="E6" s="15">
        <v>26.3</v>
      </c>
      <c r="F6" s="15">
        <f>(E6/E3)*100</f>
        <v>105.62248995983936</v>
      </c>
      <c r="G6" s="15"/>
      <c r="H6" s="15">
        <f>(695-481)</f>
        <v>214</v>
      </c>
      <c r="I6" s="15">
        <f t="shared" ref="I6:I28" si="0">(H6*20)/1000</f>
        <v>4.28</v>
      </c>
    </row>
    <row r="7" spans="1:11" ht="30" customHeight="1" x14ac:dyDescent="0.35">
      <c r="A7" s="22" t="s">
        <v>68</v>
      </c>
      <c r="B7" s="27" t="s">
        <v>103</v>
      </c>
      <c r="C7" s="17">
        <v>44678</v>
      </c>
      <c r="D7" s="15">
        <v>4</v>
      </c>
      <c r="E7" s="15">
        <v>25.2</v>
      </c>
      <c r="F7" s="15">
        <f>(E7/E3)*100</f>
        <v>101.20481927710843</v>
      </c>
      <c r="G7" s="15"/>
      <c r="H7" s="15">
        <v>183</v>
      </c>
      <c r="I7" s="15">
        <f t="shared" si="0"/>
        <v>3.66</v>
      </c>
    </row>
    <row r="8" spans="1:11" ht="30" customHeight="1" x14ac:dyDescent="0.35">
      <c r="A8" s="22" t="s">
        <v>68</v>
      </c>
      <c r="B8" s="25" t="s">
        <v>103</v>
      </c>
      <c r="C8" s="17">
        <v>44679</v>
      </c>
      <c r="D8" s="15">
        <v>5</v>
      </c>
      <c r="E8" s="15">
        <v>25.7</v>
      </c>
      <c r="F8" s="15">
        <f>(E8/E3)*100</f>
        <v>103.21285140562249</v>
      </c>
      <c r="G8" s="15"/>
      <c r="H8" s="15">
        <f>(376-183)</f>
        <v>193</v>
      </c>
      <c r="I8" s="15">
        <f t="shared" si="0"/>
        <v>3.86</v>
      </c>
    </row>
    <row r="9" spans="1:11" ht="30" customHeight="1" x14ac:dyDescent="0.35">
      <c r="A9" s="22" t="s">
        <v>68</v>
      </c>
      <c r="B9" s="26" t="s">
        <v>103</v>
      </c>
      <c r="C9" s="17">
        <v>44680</v>
      </c>
      <c r="D9" s="15">
        <v>6</v>
      </c>
      <c r="E9" s="15">
        <v>25.9</v>
      </c>
      <c r="F9" s="15">
        <f>(E9/E3)*100</f>
        <v>104.01606425702812</v>
      </c>
      <c r="G9" s="15"/>
      <c r="H9" s="15">
        <f>(589-376)</f>
        <v>213</v>
      </c>
      <c r="I9" s="15">
        <f t="shared" si="0"/>
        <v>4.26</v>
      </c>
    </row>
    <row r="10" spans="1:11" ht="30" customHeight="1" x14ac:dyDescent="0.35">
      <c r="A10" s="22" t="s">
        <v>68</v>
      </c>
      <c r="B10" s="25" t="s">
        <v>103</v>
      </c>
      <c r="C10" s="17">
        <v>44681</v>
      </c>
      <c r="D10" s="15">
        <v>7</v>
      </c>
      <c r="E10" s="15">
        <v>25.4</v>
      </c>
      <c r="F10" s="15">
        <f>(E10/E3)*100</f>
        <v>102.00803212851406</v>
      </c>
      <c r="G10" s="15"/>
      <c r="H10" s="15">
        <f>(891-589)</f>
        <v>302</v>
      </c>
      <c r="I10" s="15">
        <f t="shared" si="0"/>
        <v>6.04</v>
      </c>
    </row>
    <row r="11" spans="1:11" ht="30" customHeight="1" x14ac:dyDescent="0.35">
      <c r="A11" s="22" t="s">
        <v>68</v>
      </c>
      <c r="B11" s="26" t="s">
        <v>103</v>
      </c>
      <c r="C11" s="17">
        <v>44682</v>
      </c>
      <c r="D11" s="15">
        <v>8</v>
      </c>
      <c r="E11" s="15">
        <v>26</v>
      </c>
      <c r="F11" s="15">
        <f>(E11/E3)*100</f>
        <v>104.41767068273093</v>
      </c>
      <c r="G11" s="15"/>
      <c r="H11" s="15">
        <f>(1005-891)</f>
        <v>114</v>
      </c>
      <c r="I11" s="15">
        <f t="shared" si="0"/>
        <v>2.2799999999999998</v>
      </c>
    </row>
    <row r="12" spans="1:11" ht="30" customHeight="1" x14ac:dyDescent="0.35">
      <c r="A12" s="22" t="s">
        <v>68</v>
      </c>
      <c r="B12" s="25" t="s">
        <v>103</v>
      </c>
      <c r="C12" s="17">
        <v>44683</v>
      </c>
      <c r="D12" s="15">
        <v>9</v>
      </c>
      <c r="E12" s="15">
        <v>25.4</v>
      </c>
      <c r="F12" s="15">
        <f>(E12/E3)*100</f>
        <v>102.00803212851406</v>
      </c>
      <c r="G12" s="15"/>
      <c r="H12" s="15">
        <f>(1214-1005)</f>
        <v>209</v>
      </c>
      <c r="I12" s="15">
        <f t="shared" si="0"/>
        <v>4.18</v>
      </c>
    </row>
    <row r="13" spans="1:11" ht="30" customHeight="1" thickTop="1" thickBot="1" x14ac:dyDescent="0.4">
      <c r="A13" s="20" t="s">
        <v>67</v>
      </c>
      <c r="B13" s="26" t="s">
        <v>103</v>
      </c>
      <c r="C13" s="17">
        <v>44684</v>
      </c>
      <c r="D13" s="15">
        <v>10</v>
      </c>
      <c r="E13" s="15">
        <v>25</v>
      </c>
      <c r="F13" s="15">
        <f>(E13/E3)*100</f>
        <v>100.40160642570282</v>
      </c>
      <c r="G13" s="15"/>
      <c r="H13" s="15">
        <f>( 1415 - 1214)</f>
        <v>201</v>
      </c>
      <c r="I13" s="15">
        <f t="shared" si="0"/>
        <v>4.0199999999999996</v>
      </c>
    </row>
    <row r="14" spans="1:11" ht="30" customHeight="1" thickTop="1" thickBot="1" x14ac:dyDescent="0.4">
      <c r="A14" s="21" t="s">
        <v>67</v>
      </c>
      <c r="B14" s="25" t="s">
        <v>103</v>
      </c>
      <c r="C14" s="17">
        <v>44685</v>
      </c>
      <c r="D14" s="15">
        <v>11</v>
      </c>
      <c r="E14" s="15">
        <v>25</v>
      </c>
      <c r="F14" s="15">
        <f>(E14/E3)*100</f>
        <v>100.40160642570282</v>
      </c>
      <c r="G14" s="15"/>
      <c r="H14" s="15">
        <v>165</v>
      </c>
      <c r="I14" s="15">
        <f t="shared" si="0"/>
        <v>3.3</v>
      </c>
    </row>
    <row r="15" spans="1:11" ht="30" customHeight="1" thickTop="1" thickBot="1" x14ac:dyDescent="0.4">
      <c r="A15" s="21" t="s">
        <v>67</v>
      </c>
      <c r="B15" s="26" t="s">
        <v>103</v>
      </c>
      <c r="C15" s="17">
        <v>44686</v>
      </c>
      <c r="D15" s="15">
        <v>12</v>
      </c>
      <c r="E15" s="15">
        <v>24.6</v>
      </c>
      <c r="F15" s="15">
        <f>(E15/E3)*100</f>
        <v>98.795180722891573</v>
      </c>
      <c r="G15" s="15"/>
      <c r="H15" s="15">
        <f>(330-165)</f>
        <v>165</v>
      </c>
      <c r="I15" s="15">
        <f t="shared" si="0"/>
        <v>3.3</v>
      </c>
    </row>
    <row r="16" spans="1:11" ht="30" customHeight="1" thickTop="1" thickBot="1" x14ac:dyDescent="0.4">
      <c r="A16" s="21" t="s">
        <v>67</v>
      </c>
      <c r="B16" s="25" t="s">
        <v>103</v>
      </c>
      <c r="C16" s="17">
        <v>44687</v>
      </c>
      <c r="D16" s="15">
        <v>13</v>
      </c>
      <c r="E16" s="15">
        <v>25.1</v>
      </c>
      <c r="F16" s="15">
        <f>(E16/E3)*100</f>
        <v>100.80321285140563</v>
      </c>
      <c r="G16" s="15"/>
      <c r="H16" s="15">
        <f>(521-330)</f>
        <v>191</v>
      </c>
      <c r="I16" s="15">
        <f t="shared" si="0"/>
        <v>3.82</v>
      </c>
    </row>
    <row r="17" spans="1:10" ht="30" customHeight="1" thickTop="1" thickBot="1" x14ac:dyDescent="0.4">
      <c r="A17" s="21" t="s">
        <v>67</v>
      </c>
      <c r="B17" s="26" t="s">
        <v>103</v>
      </c>
      <c r="C17" s="17">
        <v>44688</v>
      </c>
      <c r="D17" s="15">
        <v>14</v>
      </c>
      <c r="E17" s="15">
        <v>25.1</v>
      </c>
      <c r="F17" s="15">
        <f>(E17/E3)*100</f>
        <v>100.80321285140563</v>
      </c>
      <c r="G17" s="15"/>
      <c r="H17" s="15">
        <f>707-521</f>
        <v>186</v>
      </c>
      <c r="I17" s="15">
        <f t="shared" si="0"/>
        <v>3.72</v>
      </c>
    </row>
    <row r="18" spans="1:10" ht="30" customHeight="1" thickTop="1" thickBot="1" x14ac:dyDescent="0.4">
      <c r="A18" s="21" t="s">
        <v>67</v>
      </c>
      <c r="B18" s="25" t="s">
        <v>103</v>
      </c>
      <c r="C18" s="17">
        <v>44689</v>
      </c>
      <c r="D18" s="15">
        <v>15</v>
      </c>
      <c r="E18" s="15">
        <v>24.3</v>
      </c>
      <c r="F18" s="15">
        <f>(E18/E3)*100</f>
        <v>97.590361445783131</v>
      </c>
      <c r="G18" s="15"/>
      <c r="H18" s="15">
        <f>(906-707)</f>
        <v>199</v>
      </c>
      <c r="I18" s="15">
        <f t="shared" si="0"/>
        <v>3.98</v>
      </c>
    </row>
    <row r="19" spans="1:10" ht="30" customHeight="1" thickTop="1" thickBot="1" x14ac:dyDescent="0.4">
      <c r="A19" s="21" t="s">
        <v>67</v>
      </c>
      <c r="B19" s="26" t="s">
        <v>103</v>
      </c>
      <c r="C19" s="17">
        <v>44690</v>
      </c>
      <c r="D19" s="15">
        <v>16</v>
      </c>
      <c r="E19" s="15">
        <v>23.5</v>
      </c>
      <c r="F19" s="15">
        <f>(E19/E3)*100</f>
        <v>94.377510040160644</v>
      </c>
      <c r="G19" s="15"/>
      <c r="H19" s="15">
        <f>(1102-906)</f>
        <v>196</v>
      </c>
      <c r="I19" s="15">
        <f t="shared" si="0"/>
        <v>3.92</v>
      </c>
    </row>
    <row r="20" spans="1:10" ht="30" customHeight="1" thickTop="1" thickBot="1" x14ac:dyDescent="0.4">
      <c r="A20" s="21" t="s">
        <v>96</v>
      </c>
      <c r="B20" s="25" t="s">
        <v>103</v>
      </c>
      <c r="C20" s="17">
        <v>44691</v>
      </c>
      <c r="D20" s="15">
        <v>17</v>
      </c>
      <c r="E20" s="15">
        <v>25.4</v>
      </c>
      <c r="F20" s="15">
        <f>(E20/E3)*100</f>
        <v>102.00803212851406</v>
      </c>
      <c r="G20" s="15"/>
      <c r="H20" s="15">
        <f>(1293-1102)</f>
        <v>191</v>
      </c>
      <c r="I20" s="15">
        <f t="shared" si="0"/>
        <v>3.82</v>
      </c>
    </row>
    <row r="21" spans="1:10" ht="30" customHeight="1" thickTop="1" thickBot="1" x14ac:dyDescent="0.4">
      <c r="A21" s="21" t="s">
        <v>97</v>
      </c>
      <c r="B21" s="26" t="s">
        <v>103</v>
      </c>
      <c r="C21" s="17">
        <v>44692</v>
      </c>
      <c r="D21" s="15">
        <v>18</v>
      </c>
      <c r="E21" s="15">
        <v>24.1</v>
      </c>
      <c r="F21" s="15">
        <f>(E21/E3)*100</f>
        <v>96.787148594377527</v>
      </c>
      <c r="G21" s="15"/>
      <c r="H21" s="15">
        <v>179</v>
      </c>
      <c r="I21" s="15">
        <f t="shared" si="0"/>
        <v>3.58</v>
      </c>
    </row>
    <row r="22" spans="1:10" ht="30" customHeight="1" thickTop="1" thickBot="1" x14ac:dyDescent="0.4">
      <c r="A22" s="23" t="s">
        <v>73</v>
      </c>
      <c r="B22" s="25" t="s">
        <v>84</v>
      </c>
      <c r="C22" s="17">
        <v>44693</v>
      </c>
      <c r="D22" s="15">
        <v>19</v>
      </c>
      <c r="E22" s="15">
        <v>26.3</v>
      </c>
      <c r="F22" s="15">
        <f>(E22/E3)*100</f>
        <v>105.62248995983936</v>
      </c>
      <c r="G22" s="15"/>
      <c r="H22" s="15">
        <v>200</v>
      </c>
      <c r="I22" s="15">
        <f t="shared" si="0"/>
        <v>4</v>
      </c>
    </row>
    <row r="23" spans="1:10" ht="30" customHeight="1" thickTop="1" thickBot="1" x14ac:dyDescent="0.4">
      <c r="A23" s="23" t="s">
        <v>73</v>
      </c>
      <c r="B23" s="26" t="s">
        <v>84</v>
      </c>
      <c r="C23" s="17">
        <v>44694</v>
      </c>
      <c r="D23" s="15">
        <v>20</v>
      </c>
      <c r="E23" s="15">
        <v>25.4</v>
      </c>
      <c r="F23" s="15">
        <f>(E23/E3)*100</f>
        <v>102.00803212851406</v>
      </c>
      <c r="G23" s="47">
        <v>62</v>
      </c>
      <c r="H23" s="52">
        <v>49</v>
      </c>
      <c r="I23" s="15">
        <f>(H23*20)/1000</f>
        <v>0.98</v>
      </c>
      <c r="J23">
        <f>(G23*20)/1000</f>
        <v>1.24</v>
      </c>
    </row>
    <row r="24" spans="1:10" ht="30" customHeight="1" thickTop="1" thickBot="1" x14ac:dyDescent="0.4">
      <c r="A24" s="23" t="s">
        <v>73</v>
      </c>
      <c r="B24" s="29" t="s">
        <v>84</v>
      </c>
      <c r="C24" s="17">
        <v>44695</v>
      </c>
      <c r="D24" s="15">
        <v>21</v>
      </c>
      <c r="E24" s="15">
        <v>25</v>
      </c>
      <c r="F24" s="15">
        <f>(E24/E3)*100</f>
        <v>100.40160642570282</v>
      </c>
      <c r="G24" s="48">
        <f>177-62</f>
        <v>115</v>
      </c>
      <c r="H24" s="52">
        <f>95-49</f>
        <v>46</v>
      </c>
      <c r="I24" s="15">
        <f>(H24*20)/1000</f>
        <v>0.92</v>
      </c>
      <c r="J24">
        <f>(G24*20)/1000</f>
        <v>2.2999999999999998</v>
      </c>
    </row>
    <row r="25" spans="1:10" ht="30" customHeight="1" thickTop="1" x14ac:dyDescent="0.35">
      <c r="A25" s="30"/>
      <c r="B25" s="30" t="s">
        <v>84</v>
      </c>
      <c r="C25" s="17">
        <v>44696</v>
      </c>
      <c r="D25" s="15">
        <v>22</v>
      </c>
      <c r="E25" s="15">
        <v>24.8</v>
      </c>
      <c r="F25" s="15">
        <f>(E25/E3)*100</f>
        <v>99.598393574297191</v>
      </c>
      <c r="G25" s="49">
        <f>307-177</f>
        <v>130</v>
      </c>
      <c r="H25" s="52">
        <f>141-95</f>
        <v>46</v>
      </c>
      <c r="I25" s="15">
        <f>(H25*20)/1000</f>
        <v>0.92</v>
      </c>
      <c r="J25">
        <f>(G25*20)/1000</f>
        <v>2.6</v>
      </c>
    </row>
    <row r="26" spans="1:10" ht="30" customHeight="1" x14ac:dyDescent="0.35">
      <c r="A26" s="32"/>
      <c r="B26" s="33"/>
      <c r="C26" s="17"/>
      <c r="D26" s="15"/>
      <c r="E26" s="15"/>
      <c r="F26" s="15"/>
      <c r="G26" s="47"/>
      <c r="H26" s="51"/>
      <c r="I26" s="15">
        <f>(H26*20)/1000</f>
        <v>0</v>
      </c>
      <c r="J26">
        <f>(G26*20)/1000</f>
        <v>0</v>
      </c>
    </row>
    <row r="27" spans="1:10" ht="30" customHeight="1" x14ac:dyDescent="0.35">
      <c r="A27" s="32"/>
      <c r="B27" s="33"/>
      <c r="C27" s="17"/>
      <c r="D27" s="15"/>
      <c r="E27" s="15"/>
      <c r="F27" s="15"/>
      <c r="G27" s="50"/>
      <c r="H27" s="53"/>
      <c r="I27" s="15">
        <f>(H27*20)/1000</f>
        <v>0</v>
      </c>
      <c r="J27">
        <f>(G27*20)/1000</f>
        <v>0</v>
      </c>
    </row>
    <row r="28" spans="1:10" ht="30" customHeight="1" x14ac:dyDescent="0.35">
      <c r="B28" s="33"/>
      <c r="C28" s="17"/>
      <c r="D28" s="15"/>
      <c r="F28" s="15"/>
      <c r="G28" s="15"/>
      <c r="I28" s="15">
        <f t="shared" si="0"/>
        <v>0</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07272-9616-4072-BADB-F04B9ABC4B27}">
  <dimension ref="A1:K29"/>
  <sheetViews>
    <sheetView workbookViewId="0">
      <selection activeCell="K25" sqref="K3:K25"/>
    </sheetView>
  </sheetViews>
  <sheetFormatPr defaultRowHeight="14.5" x14ac:dyDescent="0.35"/>
  <cols>
    <col min="1" max="1" width="30.7265625" customWidth="1"/>
    <col min="2" max="10" width="20.54296875" customWidth="1"/>
  </cols>
  <sheetData>
    <row r="1" spans="1:11" ht="30" customHeight="1" x14ac:dyDescent="0.35">
      <c r="A1" s="13" t="s">
        <v>56</v>
      </c>
      <c r="B1" s="12"/>
      <c r="C1" s="12"/>
      <c r="D1" s="5"/>
      <c r="E1" s="12"/>
      <c r="F1" s="12"/>
      <c r="G1" s="12"/>
      <c r="H1" s="12"/>
      <c r="I1" s="12"/>
    </row>
    <row r="2" spans="1:11" ht="30" customHeight="1" thickBot="1" x14ac:dyDescent="0.4">
      <c r="A2" s="13" t="s">
        <v>104</v>
      </c>
      <c r="B2" s="14" t="s">
        <v>58</v>
      </c>
      <c r="C2" s="14" t="s">
        <v>0</v>
      </c>
      <c r="D2" s="14" t="s">
        <v>1</v>
      </c>
      <c r="E2" s="14" t="s">
        <v>59</v>
      </c>
      <c r="F2" s="14" t="s">
        <v>60</v>
      </c>
      <c r="G2" s="14"/>
      <c r="H2" s="14" t="s">
        <v>61</v>
      </c>
      <c r="I2" s="14" t="s">
        <v>62</v>
      </c>
      <c r="K2" s="35" t="s">
        <v>63</v>
      </c>
    </row>
    <row r="3" spans="1:11" ht="30" customHeight="1" thickTop="1" thickBot="1" x14ac:dyDescent="0.4">
      <c r="A3" s="18" t="s">
        <v>64</v>
      </c>
      <c r="B3" s="24" t="s">
        <v>105</v>
      </c>
      <c r="C3" s="17">
        <v>44674</v>
      </c>
      <c r="D3" s="15">
        <v>0</v>
      </c>
      <c r="E3" s="15">
        <v>26.1</v>
      </c>
      <c r="F3" s="15"/>
      <c r="G3" s="15"/>
      <c r="H3" s="15"/>
      <c r="I3" s="15"/>
    </row>
    <row r="4" spans="1:11" ht="30" customHeight="1" thickTop="1" thickBot="1" x14ac:dyDescent="0.4">
      <c r="A4" s="19" t="s">
        <v>66</v>
      </c>
      <c r="B4" s="25" t="s">
        <v>105</v>
      </c>
      <c r="C4" s="17">
        <v>44675</v>
      </c>
      <c r="D4" s="15">
        <v>1</v>
      </c>
      <c r="E4" s="15">
        <v>27.2</v>
      </c>
      <c r="F4" s="15">
        <f>(E4/E3)*100</f>
        <v>104.21455938697318</v>
      </c>
      <c r="G4" s="15"/>
      <c r="H4" s="34">
        <v>348</v>
      </c>
      <c r="I4" s="15">
        <f>(H4*20)/1000</f>
        <v>6.96</v>
      </c>
      <c r="K4">
        <v>15</v>
      </c>
    </row>
    <row r="5" spans="1:11" ht="30" customHeight="1" thickTop="1" thickBot="1" x14ac:dyDescent="0.4">
      <c r="A5" s="19" t="s">
        <v>66</v>
      </c>
      <c r="B5" s="26" t="s">
        <v>105</v>
      </c>
      <c r="C5" s="17">
        <v>44676</v>
      </c>
      <c r="D5" s="15">
        <v>2</v>
      </c>
      <c r="E5" s="15">
        <v>26.9</v>
      </c>
      <c r="F5" s="15">
        <f>(E5/E3)*100</f>
        <v>103.06513409961684</v>
      </c>
      <c r="G5" s="15"/>
      <c r="H5" s="15">
        <f>(588-348)</f>
        <v>240</v>
      </c>
      <c r="I5" s="15">
        <f>(H5*20)/1000</f>
        <v>4.8</v>
      </c>
    </row>
    <row r="6" spans="1:11" ht="30" customHeight="1" thickTop="1" thickBot="1" x14ac:dyDescent="0.4">
      <c r="A6" s="31" t="s">
        <v>68</v>
      </c>
      <c r="B6" s="25" t="s">
        <v>105</v>
      </c>
      <c r="C6" s="17">
        <v>44677</v>
      </c>
      <c r="D6" s="15">
        <v>3</v>
      </c>
      <c r="E6" s="15">
        <v>27.1</v>
      </c>
      <c r="F6" s="15">
        <f>(E6/E3)*100</f>
        <v>103.83141762452108</v>
      </c>
      <c r="G6" s="15"/>
      <c r="H6" s="15">
        <f>(801-588)</f>
        <v>213</v>
      </c>
      <c r="I6" s="15">
        <f t="shared" ref="I6:I28" si="0">(H6*20)/1000</f>
        <v>4.26</v>
      </c>
    </row>
    <row r="7" spans="1:11" ht="30" customHeight="1" thickTop="1" thickBot="1" x14ac:dyDescent="0.4">
      <c r="A7" s="22" t="s">
        <v>68</v>
      </c>
      <c r="B7" s="27" t="s">
        <v>105</v>
      </c>
      <c r="C7" s="17">
        <v>44678</v>
      </c>
      <c r="D7" s="15">
        <v>4</v>
      </c>
      <c r="E7" s="15">
        <v>26.4</v>
      </c>
      <c r="F7" s="15">
        <f>(E7/E3)*100</f>
        <v>101.14942528735631</v>
      </c>
      <c r="G7" s="15"/>
      <c r="H7" s="15">
        <v>211</v>
      </c>
      <c r="I7" s="15">
        <f t="shared" si="0"/>
        <v>4.22</v>
      </c>
    </row>
    <row r="8" spans="1:11" ht="30" customHeight="1" thickTop="1" thickBot="1" x14ac:dyDescent="0.4">
      <c r="A8" s="22" t="s">
        <v>68</v>
      </c>
      <c r="B8" s="25" t="s">
        <v>105</v>
      </c>
      <c r="C8" s="17">
        <v>44679</v>
      </c>
      <c r="D8" s="15">
        <v>5</v>
      </c>
      <c r="E8" s="15">
        <v>26.1</v>
      </c>
      <c r="F8" s="15">
        <f>(E8/E3)*100</f>
        <v>100</v>
      </c>
      <c r="G8" s="15"/>
      <c r="H8" s="15">
        <f>(376-211)</f>
        <v>165</v>
      </c>
      <c r="I8" s="15">
        <f t="shared" si="0"/>
        <v>3.3</v>
      </c>
    </row>
    <row r="9" spans="1:11" ht="30" customHeight="1" thickTop="1" thickBot="1" x14ac:dyDescent="0.4">
      <c r="A9" s="22" t="s">
        <v>68</v>
      </c>
      <c r="B9" s="26" t="s">
        <v>105</v>
      </c>
      <c r="C9" s="17">
        <v>44680</v>
      </c>
      <c r="D9" s="15">
        <v>6</v>
      </c>
      <c r="E9" s="15">
        <v>26.4</v>
      </c>
      <c r="F9" s="15">
        <f>(E9/E3)*100</f>
        <v>101.14942528735631</v>
      </c>
      <c r="G9" s="15"/>
      <c r="H9" s="15">
        <f>(578-376)</f>
        <v>202</v>
      </c>
      <c r="I9" s="15">
        <f t="shared" si="0"/>
        <v>4.04</v>
      </c>
    </row>
    <row r="10" spans="1:11" ht="30" customHeight="1" thickTop="1" thickBot="1" x14ac:dyDescent="0.4">
      <c r="A10" s="22" t="s">
        <v>68</v>
      </c>
      <c r="B10" s="25" t="s">
        <v>105</v>
      </c>
      <c r="C10" s="17">
        <v>44681</v>
      </c>
      <c r="D10" s="15">
        <v>7</v>
      </c>
      <c r="E10" s="15">
        <v>26.4</v>
      </c>
      <c r="F10" s="15">
        <f>(E10/E3)*100</f>
        <v>101.14942528735631</v>
      </c>
      <c r="G10" s="15"/>
      <c r="H10" s="15">
        <f>(797-578)</f>
        <v>219</v>
      </c>
      <c r="I10" s="15">
        <f t="shared" si="0"/>
        <v>4.38</v>
      </c>
    </row>
    <row r="11" spans="1:11" ht="30" customHeight="1" thickTop="1" thickBot="1" x14ac:dyDescent="0.4">
      <c r="A11" s="22" t="s">
        <v>68</v>
      </c>
      <c r="B11" s="26" t="s">
        <v>105</v>
      </c>
      <c r="C11" s="17">
        <v>44682</v>
      </c>
      <c r="D11" s="15">
        <v>8</v>
      </c>
      <c r="E11" s="15">
        <v>26.3</v>
      </c>
      <c r="F11" s="15">
        <f>(E11/E3)*100</f>
        <v>100.76628352490422</v>
      </c>
      <c r="G11" s="15"/>
      <c r="H11" s="15">
        <f>(989-797)</f>
        <v>192</v>
      </c>
      <c r="I11" s="15">
        <f t="shared" si="0"/>
        <v>3.84</v>
      </c>
    </row>
    <row r="12" spans="1:11" ht="30" customHeight="1" thickTop="1" thickBot="1" x14ac:dyDescent="0.4">
      <c r="A12" s="22" t="s">
        <v>68</v>
      </c>
      <c r="B12" s="25" t="s">
        <v>105</v>
      </c>
      <c r="C12" s="17">
        <v>44683</v>
      </c>
      <c r="D12" s="15">
        <v>9</v>
      </c>
      <c r="E12" s="15">
        <v>26.4</v>
      </c>
      <c r="F12" s="15">
        <f>(E12/E3)*100</f>
        <v>101.14942528735631</v>
      </c>
      <c r="G12" s="15"/>
      <c r="H12" s="15">
        <f>(1164-989)</f>
        <v>175</v>
      </c>
      <c r="I12" s="15">
        <f t="shared" si="0"/>
        <v>3.5</v>
      </c>
    </row>
    <row r="13" spans="1:11" ht="30" customHeight="1" thickTop="1" thickBot="1" x14ac:dyDescent="0.4">
      <c r="A13" s="20" t="s">
        <v>67</v>
      </c>
      <c r="B13" s="26" t="s">
        <v>105</v>
      </c>
      <c r="C13" s="17">
        <v>44684</v>
      </c>
      <c r="D13" s="15">
        <v>10</v>
      </c>
      <c r="E13" s="15">
        <v>26.3</v>
      </c>
      <c r="F13" s="15">
        <f>(E13/E3)*100</f>
        <v>100.76628352490422</v>
      </c>
      <c r="G13" s="15"/>
      <c r="H13" s="15">
        <f>(1373-1164)</f>
        <v>209</v>
      </c>
      <c r="I13" s="15">
        <f t="shared" si="0"/>
        <v>4.18</v>
      </c>
    </row>
    <row r="14" spans="1:11" ht="30" customHeight="1" thickTop="1" thickBot="1" x14ac:dyDescent="0.4">
      <c r="A14" s="21" t="s">
        <v>67</v>
      </c>
      <c r="B14" s="25" t="s">
        <v>105</v>
      </c>
      <c r="C14" s="17">
        <v>44685</v>
      </c>
      <c r="D14" s="15">
        <v>11</v>
      </c>
      <c r="E14" s="15">
        <v>26.2</v>
      </c>
      <c r="F14" s="15">
        <f>(E14/E3)*100</f>
        <v>100.38314176245208</v>
      </c>
      <c r="G14" s="15"/>
      <c r="H14" s="15">
        <v>171</v>
      </c>
      <c r="I14" s="15">
        <f t="shared" si="0"/>
        <v>3.42</v>
      </c>
    </row>
    <row r="15" spans="1:11" ht="30" customHeight="1" thickTop="1" thickBot="1" x14ac:dyDescent="0.4">
      <c r="A15" s="21" t="s">
        <v>67</v>
      </c>
      <c r="B15" s="26" t="s">
        <v>105</v>
      </c>
      <c r="C15" s="17">
        <v>44686</v>
      </c>
      <c r="D15" s="15">
        <v>12</v>
      </c>
      <c r="E15" s="15">
        <v>24.4</v>
      </c>
      <c r="F15" s="15">
        <f>(E15/E3)*100</f>
        <v>93.486590038314162</v>
      </c>
      <c r="G15" s="15"/>
      <c r="H15" s="36">
        <v>232</v>
      </c>
      <c r="I15" s="15">
        <f t="shared" si="0"/>
        <v>4.6399999999999997</v>
      </c>
    </row>
    <row r="16" spans="1:11" ht="30" customHeight="1" thickTop="1" thickBot="1" x14ac:dyDescent="0.4">
      <c r="A16" s="21" t="s">
        <v>67</v>
      </c>
      <c r="B16" s="25" t="s">
        <v>105</v>
      </c>
      <c r="C16" s="17">
        <v>44687</v>
      </c>
      <c r="D16" s="15">
        <v>13</v>
      </c>
      <c r="E16" s="15">
        <v>25.9</v>
      </c>
      <c r="F16" s="15">
        <f>(E16/E3)*100</f>
        <v>99.233716475095775</v>
      </c>
      <c r="G16" s="15"/>
      <c r="H16" s="15">
        <v>239</v>
      </c>
      <c r="I16" s="15">
        <f t="shared" si="0"/>
        <v>4.78</v>
      </c>
    </row>
    <row r="17" spans="1:11" ht="30" customHeight="1" thickTop="1" thickBot="1" x14ac:dyDescent="0.4">
      <c r="A17" s="21" t="s">
        <v>67</v>
      </c>
      <c r="B17" s="26" t="s">
        <v>105</v>
      </c>
      <c r="C17" s="17">
        <v>44688</v>
      </c>
      <c r="D17" s="15">
        <v>14</v>
      </c>
      <c r="E17" s="15">
        <v>26.4</v>
      </c>
      <c r="F17" s="15">
        <f>(E17/E3)*100</f>
        <v>101.14942528735631</v>
      </c>
      <c r="G17" s="15"/>
      <c r="H17" s="15">
        <f>476-239</f>
        <v>237</v>
      </c>
      <c r="I17" s="15">
        <f t="shared" si="0"/>
        <v>4.74</v>
      </c>
    </row>
    <row r="18" spans="1:11" ht="30" customHeight="1" thickTop="1" thickBot="1" x14ac:dyDescent="0.4">
      <c r="A18" s="21" t="s">
        <v>67</v>
      </c>
      <c r="B18" s="25" t="s">
        <v>105</v>
      </c>
      <c r="C18" s="17">
        <v>44689</v>
      </c>
      <c r="D18" s="15">
        <v>15</v>
      </c>
      <c r="E18" s="15">
        <v>26.5</v>
      </c>
      <c r="F18" s="15">
        <f>(E18/E3)*100</f>
        <v>101.53256704980842</v>
      </c>
      <c r="G18" s="15"/>
      <c r="H18" s="34">
        <f>(698-476)-2</f>
        <v>220</v>
      </c>
      <c r="I18" s="15">
        <f t="shared" si="0"/>
        <v>4.4000000000000004</v>
      </c>
      <c r="K18">
        <v>2</v>
      </c>
    </row>
    <row r="19" spans="1:11" ht="30" customHeight="1" thickTop="1" thickBot="1" x14ac:dyDescent="0.4">
      <c r="A19" s="21" t="s">
        <v>67</v>
      </c>
      <c r="B19" s="26" t="s">
        <v>105</v>
      </c>
      <c r="C19" s="17">
        <v>44690</v>
      </c>
      <c r="D19" s="15">
        <v>16</v>
      </c>
      <c r="E19" s="15">
        <v>27.3</v>
      </c>
      <c r="F19" s="15">
        <f>(E19/E3)*100</f>
        <v>104.59770114942528</v>
      </c>
      <c r="G19" s="15"/>
      <c r="H19" s="34">
        <f>(937-698)-4</f>
        <v>235</v>
      </c>
      <c r="I19" s="15">
        <f t="shared" si="0"/>
        <v>4.7</v>
      </c>
      <c r="K19">
        <v>4</v>
      </c>
    </row>
    <row r="20" spans="1:11" ht="30" customHeight="1" thickTop="1" thickBot="1" x14ac:dyDescent="0.4">
      <c r="A20" s="21" t="s">
        <v>96</v>
      </c>
      <c r="B20" s="25" t="s">
        <v>105</v>
      </c>
      <c r="C20" s="17">
        <v>44691</v>
      </c>
      <c r="D20" s="15">
        <v>17</v>
      </c>
      <c r="E20" s="15">
        <v>27</v>
      </c>
      <c r="F20" s="15">
        <f>(E20/E3)*100</f>
        <v>103.44827586206895</v>
      </c>
      <c r="G20" s="15"/>
      <c r="H20" s="15">
        <f>(1170-937)</f>
        <v>233</v>
      </c>
      <c r="I20" s="15">
        <f t="shared" si="0"/>
        <v>4.66</v>
      </c>
    </row>
    <row r="21" spans="1:11" ht="30" customHeight="1" thickTop="1" thickBot="1" x14ac:dyDescent="0.4">
      <c r="A21" s="21" t="s">
        <v>97</v>
      </c>
      <c r="B21" s="26" t="s">
        <v>105</v>
      </c>
      <c r="C21" s="17">
        <v>44692</v>
      </c>
      <c r="D21" s="15">
        <v>18</v>
      </c>
      <c r="E21" s="15">
        <v>26.9</v>
      </c>
      <c r="F21" s="15">
        <f>(E21/E3)*100</f>
        <v>103.06513409961684</v>
      </c>
      <c r="G21" s="15"/>
      <c r="H21" s="15">
        <v>156</v>
      </c>
      <c r="I21" s="15">
        <f t="shared" si="0"/>
        <v>3.12</v>
      </c>
    </row>
    <row r="22" spans="1:11" ht="30" customHeight="1" thickTop="1" thickBot="1" x14ac:dyDescent="0.4">
      <c r="A22" s="23" t="s">
        <v>73</v>
      </c>
      <c r="B22" s="25" t="s">
        <v>106</v>
      </c>
      <c r="C22" s="17">
        <v>44693</v>
      </c>
      <c r="D22" s="15">
        <v>19</v>
      </c>
      <c r="E22" s="15">
        <v>27.1</v>
      </c>
      <c r="F22" s="15">
        <f>(E22/E3)*100</f>
        <v>103.83141762452108</v>
      </c>
      <c r="G22" s="15"/>
      <c r="H22" s="15">
        <v>184</v>
      </c>
      <c r="I22" s="15">
        <f t="shared" si="0"/>
        <v>3.68</v>
      </c>
    </row>
    <row r="23" spans="1:11" ht="30" customHeight="1" thickTop="1" thickBot="1" x14ac:dyDescent="0.4">
      <c r="A23" s="23" t="s">
        <v>73</v>
      </c>
      <c r="B23" s="26" t="s">
        <v>106</v>
      </c>
      <c r="C23" s="17">
        <v>44694</v>
      </c>
      <c r="D23" s="15">
        <v>20</v>
      </c>
      <c r="E23" s="15">
        <v>26.8</v>
      </c>
      <c r="F23" s="15">
        <f>(E23/E3)*100</f>
        <v>102.68199233716476</v>
      </c>
      <c r="G23" s="47">
        <v>64</v>
      </c>
      <c r="H23" s="54">
        <v>26</v>
      </c>
      <c r="I23" s="15">
        <f>(H23*20)/1000</f>
        <v>0.52</v>
      </c>
      <c r="J23">
        <f>(G23*20)/1000</f>
        <v>1.28</v>
      </c>
      <c r="K23">
        <v>5</v>
      </c>
    </row>
    <row r="24" spans="1:11" ht="30" customHeight="1" thickTop="1" thickBot="1" x14ac:dyDescent="0.4">
      <c r="A24" s="23" t="s">
        <v>73</v>
      </c>
      <c r="B24" s="29" t="s">
        <v>106</v>
      </c>
      <c r="C24" s="17">
        <v>44695</v>
      </c>
      <c r="D24" s="15">
        <v>21</v>
      </c>
      <c r="E24" s="15">
        <v>26.7</v>
      </c>
      <c r="F24" s="15">
        <f>(E24/E3)*100</f>
        <v>102.29885057471265</v>
      </c>
      <c r="G24" s="48">
        <f>182-64</f>
        <v>118</v>
      </c>
      <c r="H24" s="52">
        <f>62-31</f>
        <v>31</v>
      </c>
      <c r="I24" s="15">
        <f>(H24*20)/1000</f>
        <v>0.62</v>
      </c>
      <c r="J24">
        <f>(G24*20)/1000</f>
        <v>2.36</v>
      </c>
    </row>
    <row r="25" spans="1:11" ht="30" customHeight="1" thickTop="1" x14ac:dyDescent="0.35">
      <c r="A25" s="30"/>
      <c r="B25" s="30" t="s">
        <v>106</v>
      </c>
      <c r="C25" s="17">
        <v>44696</v>
      </c>
      <c r="D25" s="15">
        <v>22</v>
      </c>
      <c r="E25" s="15">
        <v>26.6</v>
      </c>
      <c r="F25" s="15">
        <f>(E25/E3)*100</f>
        <v>101.91570881226053</v>
      </c>
      <c r="G25" s="49">
        <f>298-182</f>
        <v>116</v>
      </c>
      <c r="H25" s="52">
        <f>104-62</f>
        <v>42</v>
      </c>
      <c r="I25" s="15">
        <f>(H25*20)/1000</f>
        <v>0.84</v>
      </c>
      <c r="J25">
        <f>(G25*20)/1000</f>
        <v>2.3199999999999998</v>
      </c>
    </row>
    <row r="26" spans="1:11" ht="30" customHeight="1" x14ac:dyDescent="0.35">
      <c r="A26" s="32"/>
      <c r="B26" s="33"/>
      <c r="C26" s="17"/>
      <c r="D26" s="15"/>
      <c r="E26" s="15"/>
      <c r="F26" s="15"/>
      <c r="G26" s="47"/>
      <c r="H26" s="51"/>
      <c r="I26" s="15">
        <f>(H26*20)/1000</f>
        <v>0</v>
      </c>
      <c r="J26">
        <f>(G26*20)/1000</f>
        <v>0</v>
      </c>
    </row>
    <row r="27" spans="1:11" ht="30" customHeight="1" x14ac:dyDescent="0.35">
      <c r="A27" s="32"/>
      <c r="B27" s="33"/>
      <c r="C27" s="17"/>
      <c r="D27" s="15"/>
      <c r="E27" s="15"/>
      <c r="F27" s="15"/>
      <c r="G27" s="50"/>
      <c r="H27" s="53"/>
      <c r="I27" s="15">
        <f>(H27*20)/1000</f>
        <v>0</v>
      </c>
      <c r="J27">
        <f>(G27*20)/1000</f>
        <v>0</v>
      </c>
    </row>
    <row r="28" spans="1:11" ht="30" customHeight="1" x14ac:dyDescent="0.35">
      <c r="B28" s="33"/>
      <c r="C28" s="17"/>
      <c r="D28" s="15"/>
      <c r="F28" s="15"/>
      <c r="G28" s="15"/>
      <c r="I28" s="15">
        <f t="shared" si="0"/>
        <v>0</v>
      </c>
    </row>
    <row r="29" spans="1:11" ht="99.75" customHeight="1" x14ac:dyDescent="0.35">
      <c r="A29" t="s">
        <v>107</v>
      </c>
    </row>
  </sheetData>
  <pageMargins left="0.7" right="0.7" top="0.75" bottom="0.75" header="0.3" footer="0.3"/>
  <pageSetup paperSize="9" orientation="portrait"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A0D9D-3E47-4237-9952-E4DCBBD812F0}">
  <dimension ref="A1:K28"/>
  <sheetViews>
    <sheetView topLeftCell="A7" workbookViewId="0">
      <selection activeCell="K3" sqref="K3:K25"/>
    </sheetView>
  </sheetViews>
  <sheetFormatPr defaultRowHeight="14.5" x14ac:dyDescent="0.35"/>
  <cols>
    <col min="1" max="10" width="20.54296875" customWidth="1"/>
  </cols>
  <sheetData>
    <row r="1" spans="1:11" ht="30" customHeight="1" x14ac:dyDescent="0.35">
      <c r="A1" s="13" t="s">
        <v>56</v>
      </c>
      <c r="B1" s="12"/>
      <c r="C1" s="12"/>
      <c r="D1" s="5"/>
      <c r="E1" s="12"/>
      <c r="F1" s="12"/>
      <c r="G1" s="12"/>
      <c r="H1" s="12"/>
      <c r="I1" s="12"/>
    </row>
    <row r="2" spans="1:11" ht="30" customHeight="1" thickBot="1" x14ac:dyDescent="0.4">
      <c r="A2" s="13" t="s">
        <v>108</v>
      </c>
      <c r="B2" s="14" t="s">
        <v>58</v>
      </c>
      <c r="C2" s="14" t="s">
        <v>0</v>
      </c>
      <c r="D2" s="14" t="s">
        <v>1</v>
      </c>
      <c r="E2" s="14" t="s">
        <v>59</v>
      </c>
      <c r="F2" s="14" t="s">
        <v>60</v>
      </c>
      <c r="G2" s="14"/>
      <c r="H2" s="14" t="s">
        <v>61</v>
      </c>
      <c r="I2" s="14" t="s">
        <v>62</v>
      </c>
      <c r="K2" s="35" t="s">
        <v>63</v>
      </c>
    </row>
    <row r="3" spans="1:11" ht="30" customHeight="1" thickTop="1" thickBot="1" x14ac:dyDescent="0.4">
      <c r="A3" s="18" t="s">
        <v>64</v>
      </c>
      <c r="B3" s="24" t="s">
        <v>109</v>
      </c>
      <c r="C3" s="17">
        <v>44674</v>
      </c>
      <c r="D3" s="15">
        <v>0</v>
      </c>
      <c r="E3" s="15">
        <v>23.3</v>
      </c>
      <c r="F3" s="15"/>
      <c r="G3" s="15"/>
      <c r="H3" s="15"/>
      <c r="I3" s="15"/>
    </row>
    <row r="4" spans="1:11" ht="30" customHeight="1" thickTop="1" thickBot="1" x14ac:dyDescent="0.4">
      <c r="A4" s="19" t="s">
        <v>66</v>
      </c>
      <c r="B4" s="25" t="s">
        <v>109</v>
      </c>
      <c r="C4" s="17">
        <v>44675</v>
      </c>
      <c r="D4" s="15">
        <v>1</v>
      </c>
      <c r="E4" s="15">
        <v>24</v>
      </c>
      <c r="F4" s="15">
        <f>(E4/E3)*100</f>
        <v>103.00429184549355</v>
      </c>
      <c r="G4" s="15"/>
      <c r="H4" s="15">
        <v>260</v>
      </c>
      <c r="I4" s="15">
        <f>(H4*20)/1000</f>
        <v>5.2</v>
      </c>
    </row>
    <row r="5" spans="1:11" ht="30" customHeight="1" thickTop="1" thickBot="1" x14ac:dyDescent="0.4">
      <c r="A5" s="19" t="s">
        <v>66</v>
      </c>
      <c r="B5" s="26" t="s">
        <v>109</v>
      </c>
      <c r="C5" s="17">
        <v>44676</v>
      </c>
      <c r="D5" s="15">
        <v>2</v>
      </c>
      <c r="E5" s="15">
        <v>24.1</v>
      </c>
      <c r="F5" s="15">
        <f>(E5/E3)*100</f>
        <v>103.43347639484979</v>
      </c>
      <c r="G5" s="15"/>
      <c r="H5" s="15">
        <f>(461-260)</f>
        <v>201</v>
      </c>
      <c r="I5" s="15">
        <f>(H5*20)/1000</f>
        <v>4.0199999999999996</v>
      </c>
    </row>
    <row r="6" spans="1:11" ht="30" customHeight="1" thickTop="1" thickBot="1" x14ac:dyDescent="0.4">
      <c r="A6" s="31" t="s">
        <v>68</v>
      </c>
      <c r="B6" s="25" t="s">
        <v>109</v>
      </c>
      <c r="C6" s="17">
        <v>44677</v>
      </c>
      <c r="D6" s="15">
        <v>3</v>
      </c>
      <c r="E6" s="15">
        <v>24.1</v>
      </c>
      <c r="F6" s="15">
        <f>(E6/E3)*100</f>
        <v>103.43347639484979</v>
      </c>
      <c r="G6" s="15"/>
      <c r="H6" s="15">
        <f>(689-461)</f>
        <v>228</v>
      </c>
      <c r="I6" s="15">
        <f t="shared" ref="I6:I22" si="0">(H6*20)/1000</f>
        <v>4.5599999999999996</v>
      </c>
    </row>
    <row r="7" spans="1:11" ht="30" customHeight="1" thickTop="1" thickBot="1" x14ac:dyDescent="0.4">
      <c r="A7" s="22" t="s">
        <v>68</v>
      </c>
      <c r="B7" s="27" t="s">
        <v>109</v>
      </c>
      <c r="C7" s="17">
        <v>44678</v>
      </c>
      <c r="D7" s="15">
        <v>4</v>
      </c>
      <c r="E7" s="15">
        <v>24</v>
      </c>
      <c r="F7" s="15">
        <f>(E7/E3)*100</f>
        <v>103.00429184549355</v>
      </c>
      <c r="G7" s="15"/>
      <c r="H7" s="15">
        <v>201</v>
      </c>
      <c r="I7" s="15">
        <f t="shared" si="0"/>
        <v>4.0199999999999996</v>
      </c>
    </row>
    <row r="8" spans="1:11" ht="30" customHeight="1" thickTop="1" thickBot="1" x14ac:dyDescent="0.4">
      <c r="A8" s="22" t="s">
        <v>68</v>
      </c>
      <c r="B8" s="25" t="s">
        <v>109</v>
      </c>
      <c r="C8" s="17">
        <v>44679</v>
      </c>
      <c r="D8" s="15">
        <v>5</v>
      </c>
      <c r="E8" s="15">
        <v>23.8</v>
      </c>
      <c r="F8" s="15">
        <f>(E8/E3)*100</f>
        <v>102.14592274678111</v>
      </c>
      <c r="G8" s="15"/>
      <c r="H8" s="15">
        <f>(398-201)</f>
        <v>197</v>
      </c>
      <c r="I8" s="15">
        <f t="shared" si="0"/>
        <v>3.94</v>
      </c>
    </row>
    <row r="9" spans="1:11" ht="30" customHeight="1" thickTop="1" thickBot="1" x14ac:dyDescent="0.4">
      <c r="A9" s="22" t="s">
        <v>68</v>
      </c>
      <c r="B9" s="26" t="s">
        <v>109</v>
      </c>
      <c r="C9" s="17">
        <v>44680</v>
      </c>
      <c r="D9" s="15">
        <v>6</v>
      </c>
      <c r="E9" s="15">
        <v>23.6</v>
      </c>
      <c r="F9" s="15">
        <f>(E9/E3)*100</f>
        <v>101.28755364806867</v>
      </c>
      <c r="G9" s="15"/>
      <c r="H9" s="15">
        <f>(597-398)</f>
        <v>199</v>
      </c>
      <c r="I9" s="15">
        <f t="shared" si="0"/>
        <v>3.98</v>
      </c>
    </row>
    <row r="10" spans="1:11" ht="30" customHeight="1" thickTop="1" thickBot="1" x14ac:dyDescent="0.4">
      <c r="A10" s="22" t="s">
        <v>68</v>
      </c>
      <c r="B10" s="25" t="s">
        <v>109</v>
      </c>
      <c r="C10" s="17">
        <v>44681</v>
      </c>
      <c r="D10" s="15">
        <v>7</v>
      </c>
      <c r="E10" s="15">
        <v>23.9</v>
      </c>
      <c r="F10" s="15">
        <f>(E10/E3)*100</f>
        <v>102.57510729613732</v>
      </c>
      <c r="G10" s="15"/>
      <c r="H10" s="15">
        <f>(795-597)</f>
        <v>198</v>
      </c>
      <c r="I10" s="15">
        <f t="shared" si="0"/>
        <v>3.96</v>
      </c>
    </row>
    <row r="11" spans="1:11" ht="30" customHeight="1" thickTop="1" thickBot="1" x14ac:dyDescent="0.4">
      <c r="A11" s="22" t="s">
        <v>68</v>
      </c>
      <c r="B11" s="26" t="s">
        <v>109</v>
      </c>
      <c r="C11" s="17">
        <v>44682</v>
      </c>
      <c r="D11" s="15">
        <v>8</v>
      </c>
      <c r="E11" s="15">
        <v>23.8</v>
      </c>
      <c r="F11" s="15">
        <f>(E11/E3)*100</f>
        <v>102.14592274678111</v>
      </c>
      <c r="G11" s="15"/>
      <c r="H11" s="15">
        <f>(977-795)</f>
        <v>182</v>
      </c>
      <c r="I11" s="15">
        <f t="shared" si="0"/>
        <v>3.64</v>
      </c>
    </row>
    <row r="12" spans="1:11" ht="30" customHeight="1" thickTop="1" thickBot="1" x14ac:dyDescent="0.4">
      <c r="A12" s="22" t="s">
        <v>68</v>
      </c>
      <c r="B12" s="25" t="s">
        <v>109</v>
      </c>
      <c r="C12" s="17">
        <v>44683</v>
      </c>
      <c r="D12" s="15">
        <v>9</v>
      </c>
      <c r="E12" s="15">
        <v>24</v>
      </c>
      <c r="F12" s="15">
        <f>(E12/E3)*100</f>
        <v>103.00429184549355</v>
      </c>
      <c r="G12" s="15"/>
      <c r="H12" s="34">
        <f>(1206-977)-3</f>
        <v>226</v>
      </c>
      <c r="I12" s="15">
        <f t="shared" si="0"/>
        <v>4.5199999999999996</v>
      </c>
      <c r="K12">
        <v>3</v>
      </c>
    </row>
    <row r="13" spans="1:11" ht="30" customHeight="1" thickTop="1" thickBot="1" x14ac:dyDescent="0.4">
      <c r="A13" s="20" t="s">
        <v>67</v>
      </c>
      <c r="B13" s="26" t="s">
        <v>109</v>
      </c>
      <c r="C13" s="17">
        <v>44684</v>
      </c>
      <c r="D13" s="15">
        <v>10</v>
      </c>
      <c r="E13" s="15">
        <v>24</v>
      </c>
      <c r="F13" s="15">
        <f>(E13/E3)*100</f>
        <v>103.00429184549355</v>
      </c>
      <c r="G13" s="15"/>
      <c r="H13" s="15">
        <f>(1429-1206)</f>
        <v>223</v>
      </c>
      <c r="I13" s="15">
        <f t="shared" si="0"/>
        <v>4.46</v>
      </c>
    </row>
    <row r="14" spans="1:11" ht="30" customHeight="1" thickTop="1" thickBot="1" x14ac:dyDescent="0.4">
      <c r="A14" s="21" t="s">
        <v>67</v>
      </c>
      <c r="B14" s="25" t="s">
        <v>109</v>
      </c>
      <c r="C14" s="17">
        <v>44685</v>
      </c>
      <c r="D14" s="15">
        <v>11</v>
      </c>
      <c r="E14" s="15">
        <v>23.8</v>
      </c>
      <c r="F14" s="15">
        <f>(E14/E3)*100</f>
        <v>102.14592274678111</v>
      </c>
      <c r="G14" s="15"/>
      <c r="H14" s="34">
        <v>169</v>
      </c>
      <c r="I14" s="15">
        <f t="shared" si="0"/>
        <v>3.38</v>
      </c>
      <c r="K14">
        <v>40</v>
      </c>
    </row>
    <row r="15" spans="1:11" ht="30" customHeight="1" thickTop="1" thickBot="1" x14ac:dyDescent="0.4">
      <c r="A15" s="21" t="s">
        <v>67</v>
      </c>
      <c r="B15" s="26" t="s">
        <v>109</v>
      </c>
      <c r="C15" s="17">
        <v>44686</v>
      </c>
      <c r="D15" s="15">
        <v>12</v>
      </c>
      <c r="E15" s="15">
        <v>24</v>
      </c>
      <c r="F15" s="15">
        <f>(E15/E3)*100</f>
        <v>103.00429184549355</v>
      </c>
      <c r="G15" s="15"/>
      <c r="H15" s="34">
        <f>(420-209)- 40</f>
        <v>171</v>
      </c>
      <c r="I15" s="15">
        <f t="shared" si="0"/>
        <v>3.42</v>
      </c>
      <c r="K15">
        <v>40</v>
      </c>
    </row>
    <row r="16" spans="1:11" ht="30" customHeight="1" thickTop="1" thickBot="1" x14ac:dyDescent="0.4">
      <c r="A16" s="21" t="s">
        <v>67</v>
      </c>
      <c r="B16" s="25" t="s">
        <v>109</v>
      </c>
      <c r="C16" s="17">
        <v>44687</v>
      </c>
      <c r="D16" s="15">
        <v>13</v>
      </c>
      <c r="E16" s="15">
        <v>24</v>
      </c>
      <c r="F16" s="15">
        <f>(E16/E3)*100</f>
        <v>103.00429184549355</v>
      </c>
      <c r="G16" s="15"/>
      <c r="H16" s="34">
        <f>(697-420)-34</f>
        <v>243</v>
      </c>
      <c r="I16" s="15">
        <f t="shared" si="0"/>
        <v>4.8600000000000003</v>
      </c>
      <c r="K16">
        <v>34</v>
      </c>
    </row>
    <row r="17" spans="1:11" ht="30" customHeight="1" thickTop="1" thickBot="1" x14ac:dyDescent="0.4">
      <c r="A17" s="21" t="s">
        <v>67</v>
      </c>
      <c r="B17" s="26" t="s">
        <v>109</v>
      </c>
      <c r="C17" s="17">
        <v>44688</v>
      </c>
      <c r="D17" s="15">
        <v>14</v>
      </c>
      <c r="E17" s="15">
        <v>24.3</v>
      </c>
      <c r="F17" s="15">
        <f>(E17/E3)*100</f>
        <v>104.29184549356223</v>
      </c>
      <c r="G17" s="15"/>
      <c r="H17" s="34">
        <f>(961-697)-40</f>
        <v>224</v>
      </c>
      <c r="I17" s="15">
        <f t="shared" si="0"/>
        <v>4.4800000000000004</v>
      </c>
      <c r="K17">
        <v>40</v>
      </c>
    </row>
    <row r="18" spans="1:11" ht="30" customHeight="1" thickTop="1" thickBot="1" x14ac:dyDescent="0.4">
      <c r="A18" s="21" t="s">
        <v>67</v>
      </c>
      <c r="B18" s="25" t="s">
        <v>109</v>
      </c>
      <c r="C18" s="17">
        <v>44689</v>
      </c>
      <c r="D18" s="15">
        <v>15</v>
      </c>
      <c r="E18" s="15">
        <v>25.8</v>
      </c>
      <c r="F18" s="15">
        <f>(E18/E3)*100</f>
        <v>110.72961373390558</v>
      </c>
      <c r="G18" s="15"/>
      <c r="H18" s="34">
        <f>(1190-961)-32</f>
        <v>197</v>
      </c>
      <c r="I18" s="15">
        <f t="shared" si="0"/>
        <v>3.94</v>
      </c>
      <c r="K18">
        <v>32</v>
      </c>
    </row>
    <row r="19" spans="1:11" ht="30" customHeight="1" thickTop="1" thickBot="1" x14ac:dyDescent="0.4">
      <c r="A19" s="21" t="s">
        <v>67</v>
      </c>
      <c r="B19" s="26" t="s">
        <v>109</v>
      </c>
      <c r="C19" s="17">
        <v>44690</v>
      </c>
      <c r="D19" s="15">
        <v>16</v>
      </c>
      <c r="E19" s="15">
        <v>24.7</v>
      </c>
      <c r="F19" s="15">
        <f>(E19/E3)*100</f>
        <v>106.00858369098711</v>
      </c>
      <c r="G19" s="15"/>
      <c r="H19" s="34">
        <f>(1394-1190)-28</f>
        <v>176</v>
      </c>
      <c r="I19" s="15">
        <f t="shared" si="0"/>
        <v>3.52</v>
      </c>
      <c r="K19">
        <v>28</v>
      </c>
    </row>
    <row r="20" spans="1:11" ht="30" customHeight="1" thickTop="1" thickBot="1" x14ac:dyDescent="0.4">
      <c r="A20" s="21" t="s">
        <v>96</v>
      </c>
      <c r="B20" s="25" t="s">
        <v>109</v>
      </c>
      <c r="C20" s="17">
        <v>44691</v>
      </c>
      <c r="D20" s="15">
        <v>17</v>
      </c>
      <c r="E20" s="15">
        <v>24.7</v>
      </c>
      <c r="F20" s="15">
        <f>(E20/E3)*100</f>
        <v>106.00858369098711</v>
      </c>
      <c r="G20" s="15"/>
      <c r="H20" s="34">
        <f>250-32</f>
        <v>218</v>
      </c>
      <c r="I20" s="15">
        <f t="shared" si="0"/>
        <v>4.3600000000000003</v>
      </c>
      <c r="K20">
        <v>30</v>
      </c>
    </row>
    <row r="21" spans="1:11" ht="30" customHeight="1" thickTop="1" thickBot="1" x14ac:dyDescent="0.4">
      <c r="A21" s="21" t="s">
        <v>97</v>
      </c>
      <c r="B21" s="26" t="s">
        <v>109</v>
      </c>
      <c r="C21" s="17">
        <v>44692</v>
      </c>
      <c r="D21" s="15">
        <v>18</v>
      </c>
      <c r="E21" s="15">
        <v>24.9</v>
      </c>
      <c r="F21" s="15">
        <f>(E21/E3)*100</f>
        <v>106.86695278969955</v>
      </c>
      <c r="G21" s="15"/>
      <c r="H21" s="15">
        <v>136</v>
      </c>
      <c r="I21" s="15">
        <f t="shared" si="0"/>
        <v>2.72</v>
      </c>
    </row>
    <row r="22" spans="1:11" ht="30" customHeight="1" thickTop="1" thickBot="1" x14ac:dyDescent="0.4">
      <c r="A22" s="23" t="s">
        <v>73</v>
      </c>
      <c r="B22" s="25" t="s">
        <v>110</v>
      </c>
      <c r="C22" s="17">
        <v>44693</v>
      </c>
      <c r="D22" s="15">
        <v>19</v>
      </c>
      <c r="E22" s="15">
        <v>25.4</v>
      </c>
      <c r="F22" s="15">
        <f>(E22/E3)*100</f>
        <v>109.01287553648066</v>
      </c>
      <c r="G22" s="15"/>
      <c r="H22" s="15">
        <v>198</v>
      </c>
      <c r="I22" s="15">
        <f t="shared" si="0"/>
        <v>3.96</v>
      </c>
    </row>
    <row r="23" spans="1:11" ht="30" customHeight="1" thickTop="1" thickBot="1" x14ac:dyDescent="0.4">
      <c r="A23" s="23" t="s">
        <v>73</v>
      </c>
      <c r="B23" s="26" t="s">
        <v>110</v>
      </c>
      <c r="C23" s="17">
        <v>44694</v>
      </c>
      <c r="D23" s="15">
        <v>20</v>
      </c>
      <c r="E23" s="15">
        <v>24.7</v>
      </c>
      <c r="F23" s="15">
        <f>(E23/E3)*100</f>
        <v>106.00858369098711</v>
      </c>
      <c r="G23" s="47">
        <v>77</v>
      </c>
      <c r="H23" s="52">
        <v>34</v>
      </c>
      <c r="I23" s="15">
        <f t="shared" ref="I23:I28" si="1">(H23*20)/1000</f>
        <v>0.68</v>
      </c>
      <c r="J23">
        <f>(G23*20)/1000</f>
        <v>1.54</v>
      </c>
    </row>
    <row r="24" spans="1:11" ht="30" customHeight="1" thickTop="1" thickBot="1" x14ac:dyDescent="0.4">
      <c r="A24" s="23" t="s">
        <v>73</v>
      </c>
      <c r="B24" s="29" t="s">
        <v>110</v>
      </c>
      <c r="C24" s="17">
        <v>44695</v>
      </c>
      <c r="D24" s="15">
        <v>21</v>
      </c>
      <c r="E24" s="15">
        <v>24.5</v>
      </c>
      <c r="F24" s="15">
        <f>(E24/E3)*100</f>
        <v>105.15021459227466</v>
      </c>
      <c r="G24" s="48">
        <f>182-77</f>
        <v>105</v>
      </c>
      <c r="H24" s="52">
        <f>75-34</f>
        <v>41</v>
      </c>
      <c r="I24" s="15">
        <f t="shared" si="1"/>
        <v>0.82</v>
      </c>
      <c r="J24">
        <f>(G24*20)/1000</f>
        <v>2.1</v>
      </c>
    </row>
    <row r="25" spans="1:11" ht="30" customHeight="1" thickTop="1" x14ac:dyDescent="0.35">
      <c r="A25" s="30"/>
      <c r="B25" s="30" t="s">
        <v>110</v>
      </c>
      <c r="C25" s="17">
        <v>44696</v>
      </c>
      <c r="D25" s="15">
        <v>22</v>
      </c>
      <c r="E25" s="15">
        <v>24.8</v>
      </c>
      <c r="F25" s="15">
        <f>(E25/E3)*100</f>
        <v>106.43776824034335</v>
      </c>
      <c r="G25" s="49">
        <f>289-182</f>
        <v>107</v>
      </c>
      <c r="H25" s="52">
        <f>117-75</f>
        <v>42</v>
      </c>
      <c r="I25" s="15">
        <f t="shared" si="1"/>
        <v>0.84</v>
      </c>
      <c r="J25">
        <f>(G25*20)/1000</f>
        <v>2.14</v>
      </c>
    </row>
    <row r="26" spans="1:11" ht="30" customHeight="1" x14ac:dyDescent="0.35">
      <c r="A26" s="32"/>
      <c r="B26" s="33"/>
      <c r="C26" s="17"/>
      <c r="D26" s="15"/>
      <c r="E26" s="15"/>
      <c r="F26" s="15"/>
      <c r="G26" s="47"/>
      <c r="H26" s="51"/>
      <c r="I26" s="15">
        <f t="shared" si="1"/>
        <v>0</v>
      </c>
      <c r="J26">
        <f>(G26*20)/1000</f>
        <v>0</v>
      </c>
    </row>
    <row r="27" spans="1:11" ht="30" customHeight="1" x14ac:dyDescent="0.35">
      <c r="A27" s="32"/>
      <c r="B27" s="33"/>
      <c r="C27" s="17"/>
      <c r="D27" s="15"/>
      <c r="E27" s="15"/>
      <c r="F27" s="15"/>
      <c r="G27" s="50"/>
      <c r="H27" s="53"/>
      <c r="I27" s="15">
        <f t="shared" si="1"/>
        <v>0</v>
      </c>
      <c r="J27">
        <f>(G27*20)/1000</f>
        <v>0</v>
      </c>
    </row>
    <row r="28" spans="1:11" ht="30" customHeight="1" x14ac:dyDescent="0.35">
      <c r="B28" s="33"/>
      <c r="C28" s="17"/>
      <c r="D28" s="15"/>
      <c r="F28" s="15"/>
      <c r="G28" s="15"/>
      <c r="I28" s="15">
        <f t="shared" si="1"/>
        <v>0</v>
      </c>
    </row>
  </sheetData>
  <pageMargins left="0.7" right="0.7" top="0.75" bottom="0.75" header="0.3" footer="0.3"/>
  <pageSetup paperSize="9"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9B89AB-D48F-402A-AD50-4F0DC5085E14}">
  <dimension ref="A1:BF95"/>
  <sheetViews>
    <sheetView topLeftCell="O19" workbookViewId="0">
      <selection activeCell="O19" sqref="O19"/>
    </sheetView>
  </sheetViews>
  <sheetFormatPr defaultRowHeight="14.5" x14ac:dyDescent="0.35"/>
  <cols>
    <col min="2" max="2" width="8.7265625" customWidth="1"/>
    <col min="3" max="8" width="11.453125" bestFit="1" customWidth="1"/>
    <col min="10" max="15" width="11.453125" bestFit="1" customWidth="1"/>
    <col min="19" max="19" width="13.54296875" customWidth="1"/>
    <col min="21" max="21" width="16.1796875" customWidth="1"/>
    <col min="24" max="24" width="13.1796875" customWidth="1"/>
    <col min="26" max="26" width="12.26953125" customWidth="1"/>
    <col min="50" max="50" width="14.7265625" customWidth="1"/>
    <col min="52" max="52" width="13.54296875" customWidth="1"/>
  </cols>
  <sheetData>
    <row r="1" spans="1:52" x14ac:dyDescent="0.35">
      <c r="A1" s="5"/>
      <c r="B1" s="60" t="s">
        <v>111</v>
      </c>
      <c r="C1" s="60"/>
      <c r="D1" s="60"/>
      <c r="E1" s="60"/>
      <c r="F1" s="60"/>
      <c r="G1" s="60"/>
      <c r="H1" s="60"/>
      <c r="I1" s="60" t="s">
        <v>112</v>
      </c>
      <c r="J1" s="60"/>
      <c r="K1" s="60"/>
      <c r="L1" s="60"/>
      <c r="M1" s="60"/>
      <c r="N1" s="60"/>
      <c r="O1" s="60"/>
      <c r="P1" s="5"/>
      <c r="Q1" s="5"/>
      <c r="R1" s="5"/>
      <c r="S1" s="5" t="s">
        <v>113</v>
      </c>
      <c r="T1" s="5"/>
      <c r="U1" s="5" t="s">
        <v>114</v>
      </c>
      <c r="AG1">
        <f t="shared" ref="AG1:AG19" si="0">A1</f>
        <v>0</v>
      </c>
      <c r="AH1" s="61" t="str">
        <f t="shared" ref="AH1" si="1">B1</f>
        <v>PR-NR Pellets Taken</v>
      </c>
      <c r="AI1" s="61"/>
      <c r="AJ1" s="61"/>
      <c r="AK1" s="61"/>
      <c r="AL1" s="61"/>
      <c r="AM1" s="61"/>
      <c r="AN1" s="61"/>
      <c r="AO1" s="61" t="str">
        <f t="shared" ref="AO1" si="2">I1</f>
        <v>NR-PR Pellets Taken</v>
      </c>
      <c r="AP1" s="61"/>
      <c r="AQ1" s="61"/>
      <c r="AR1" s="61"/>
      <c r="AS1" s="61"/>
      <c r="AT1" s="61"/>
      <c r="AU1" s="61"/>
      <c r="AX1" t="s">
        <v>115</v>
      </c>
      <c r="AZ1" t="s">
        <v>116</v>
      </c>
    </row>
    <row r="2" spans="1:52" x14ac:dyDescent="0.35">
      <c r="A2" s="5" t="s">
        <v>117</v>
      </c>
      <c r="B2" s="5"/>
      <c r="C2" s="5" t="s">
        <v>57</v>
      </c>
      <c r="D2" s="5" t="s">
        <v>75</v>
      </c>
      <c r="E2" s="5" t="s">
        <v>78</v>
      </c>
      <c r="F2" s="5" t="s">
        <v>82</v>
      </c>
      <c r="G2" s="5" t="s">
        <v>86</v>
      </c>
      <c r="H2" s="5" t="s">
        <v>90</v>
      </c>
      <c r="I2" s="5"/>
      <c r="J2" s="5" t="s">
        <v>94</v>
      </c>
      <c r="K2" s="5" t="s">
        <v>98</v>
      </c>
      <c r="L2" s="5" t="s">
        <v>100</v>
      </c>
      <c r="M2" s="5" t="s">
        <v>102</v>
      </c>
      <c r="N2" s="5" t="s">
        <v>104</v>
      </c>
      <c r="O2" s="5" t="s">
        <v>108</v>
      </c>
      <c r="P2" s="5"/>
      <c r="Q2" s="5"/>
      <c r="R2" s="5"/>
      <c r="S2" s="5"/>
      <c r="T2" s="5"/>
      <c r="U2" s="5"/>
      <c r="AG2" t="str">
        <f t="shared" si="0"/>
        <v>DAY</v>
      </c>
      <c r="AI2" t="str">
        <f t="shared" ref="AI2" si="3">C2</f>
        <v>FEDXA01</v>
      </c>
      <c r="AJ2" t="str">
        <f t="shared" ref="AJ2" si="4">D2</f>
        <v>FEDXA02</v>
      </c>
      <c r="AK2" t="str">
        <f t="shared" ref="AK2" si="5">E2</f>
        <v>FEDXA03</v>
      </c>
      <c r="AL2" t="str">
        <f t="shared" ref="AL2" si="6">F2</f>
        <v>FEDXA04</v>
      </c>
      <c r="AM2" t="str">
        <f t="shared" ref="AM2" si="7">G2</f>
        <v>FEDXA05</v>
      </c>
      <c r="AN2" t="str">
        <f t="shared" ref="AN2" si="8">H2</f>
        <v>FEDXA06</v>
      </c>
      <c r="AP2" t="str">
        <f t="shared" ref="AP2" si="9">J2</f>
        <v>FEDXA07</v>
      </c>
      <c r="AQ2" t="str">
        <f t="shared" ref="AQ2" si="10">K2</f>
        <v>FEDXA08</v>
      </c>
      <c r="AR2" t="str">
        <f t="shared" ref="AR2" si="11">L2</f>
        <v>FEDXA09</v>
      </c>
      <c r="AS2" t="str">
        <f t="shared" ref="AS2" si="12">M2</f>
        <v>FEDXA10</v>
      </c>
      <c r="AT2" t="str">
        <f t="shared" ref="AT2" si="13">N2</f>
        <v>FEDXA11</v>
      </c>
      <c r="AU2" t="str">
        <f t="shared" ref="AU2" si="14">O2</f>
        <v>FEDXA12</v>
      </c>
    </row>
    <row r="3" spans="1:52" x14ac:dyDescent="0.35">
      <c r="A3" s="5">
        <v>1</v>
      </c>
      <c r="B3" s="5"/>
      <c r="C3" s="38" cm="1">
        <f t="array" ref="C3:C19">FEDXA01!H4:H20</f>
        <v>374</v>
      </c>
      <c r="D3" s="38" cm="1">
        <f t="array" ref="D3:D19">FEDXA02!H4:H20</f>
        <v>322</v>
      </c>
      <c r="E3" s="38" cm="1">
        <f t="array" ref="E3:E19">FEDXA03!H4:H20</f>
        <v>268</v>
      </c>
      <c r="F3" s="38" cm="1">
        <f t="array" ref="F3:F19">FEDXA04!H4:H20</f>
        <v>317</v>
      </c>
      <c r="G3" s="38" cm="1">
        <f t="array" ref="G3:G19">FEDXA05!H4:H20</f>
        <v>271</v>
      </c>
      <c r="H3" s="38" cm="1">
        <f t="array" ref="H3:H19">FEDXA06!H4:H20</f>
        <v>0</v>
      </c>
      <c r="I3" s="5"/>
      <c r="J3" s="38" cm="1">
        <f t="array" ref="J3:J19">FEDXA07!H4:H20</f>
        <v>316</v>
      </c>
      <c r="K3" s="38" cm="1">
        <f t="array" ref="K3:K19">FEDXA08!H4:H20</f>
        <v>331</v>
      </c>
      <c r="L3" s="38" cm="1">
        <f t="array" ref="L3:L19">FEDXA09!H4:H20</f>
        <v>326</v>
      </c>
      <c r="M3" s="38" cm="1">
        <f t="array" ref="M3:M19">FEDXA10!H4:H20</f>
        <v>222</v>
      </c>
      <c r="N3" s="38" cm="1">
        <f t="array" ref="N3:N19">FEDXA11!H4:H20</f>
        <v>348</v>
      </c>
      <c r="O3" s="38" cm="1">
        <f t="array" ref="O3:O19">FEDXA12!H4:H20</f>
        <v>260</v>
      </c>
      <c r="P3" s="5"/>
      <c r="Q3" s="5"/>
      <c r="R3" s="5"/>
      <c r="S3" s="44">
        <f>AVERAGE(C3:H3)</f>
        <v>258.66666666666669</v>
      </c>
      <c r="T3" s="43"/>
      <c r="U3" s="44">
        <f>AVERAGE(J3:O3)</f>
        <v>300.5</v>
      </c>
      <c r="AG3">
        <f t="shared" si="0"/>
        <v>1</v>
      </c>
      <c r="AI3" s="9">
        <f>C3*0.067</f>
        <v>25.058</v>
      </c>
      <c r="AJ3" s="9">
        <f t="shared" ref="AJ3:AN3" si="15">D3*0.067</f>
        <v>21.574000000000002</v>
      </c>
      <c r="AK3" s="9">
        <f t="shared" si="15"/>
        <v>17.956</v>
      </c>
      <c r="AL3" s="9">
        <f t="shared" si="15"/>
        <v>21.239000000000001</v>
      </c>
      <c r="AM3" s="9">
        <f t="shared" si="15"/>
        <v>18.157</v>
      </c>
      <c r="AN3" s="9">
        <f t="shared" si="15"/>
        <v>0</v>
      </c>
      <c r="AP3" s="9">
        <f t="shared" ref="AP3" si="16">J3*0.067</f>
        <v>21.172000000000001</v>
      </c>
      <c r="AQ3" s="9">
        <f t="shared" ref="AQ3" si="17">K3*0.067</f>
        <v>22.177</v>
      </c>
      <c r="AR3" s="9">
        <f t="shared" ref="AR3" si="18">L3*0.067</f>
        <v>21.842000000000002</v>
      </c>
      <c r="AS3" s="9">
        <f t="shared" ref="AS3" si="19">M3*0.067</f>
        <v>14.874000000000001</v>
      </c>
      <c r="AT3" s="9">
        <f t="shared" ref="AT3" si="20">N3*0.067</f>
        <v>23.316000000000003</v>
      </c>
      <c r="AU3" s="9">
        <f t="shared" ref="AU3" si="21">O3*0.067</f>
        <v>17.420000000000002</v>
      </c>
      <c r="AX3" s="41">
        <f>AVERAGEA(AI3:AN3)</f>
        <v>17.330666666666669</v>
      </c>
      <c r="AY3" s="41"/>
      <c r="AZ3" s="41">
        <f>AVERAGE(AP3:AU3)</f>
        <v>20.133500000000002</v>
      </c>
    </row>
    <row r="4" spans="1:52" x14ac:dyDescent="0.35">
      <c r="A4" s="5">
        <v>2</v>
      </c>
      <c r="B4" s="5"/>
      <c r="C4" s="38">
        <v>258</v>
      </c>
      <c r="D4" s="38">
        <v>208</v>
      </c>
      <c r="E4" s="38">
        <v>234</v>
      </c>
      <c r="F4" s="38">
        <v>250</v>
      </c>
      <c r="G4" s="38">
        <v>220</v>
      </c>
      <c r="H4" s="38">
        <v>254</v>
      </c>
      <c r="I4" s="5"/>
      <c r="J4" s="38">
        <v>260</v>
      </c>
      <c r="K4" s="38">
        <v>231</v>
      </c>
      <c r="L4" s="38">
        <v>185</v>
      </c>
      <c r="M4" s="38">
        <v>259</v>
      </c>
      <c r="N4" s="38">
        <v>240</v>
      </c>
      <c r="O4" s="38">
        <v>201</v>
      </c>
      <c r="P4" s="5"/>
      <c r="Q4" s="5"/>
      <c r="R4" s="5"/>
      <c r="S4" s="44">
        <f t="shared" ref="S4:S19" si="22">AVERAGE(C4:H4)</f>
        <v>237.33333333333334</v>
      </c>
      <c r="T4" s="43"/>
      <c r="U4" s="44">
        <f t="shared" ref="U4:U19" si="23">AVERAGE(J4:O4)</f>
        <v>229.33333333333334</v>
      </c>
      <c r="AG4">
        <f t="shared" si="0"/>
        <v>2</v>
      </c>
      <c r="AI4" s="9">
        <f t="shared" ref="AI4:AI5" si="24">C4*0.067</f>
        <v>17.286000000000001</v>
      </c>
      <c r="AJ4" s="9">
        <f t="shared" ref="AJ4:AJ5" si="25">D4*0.067</f>
        <v>13.936</v>
      </c>
      <c r="AK4" s="9">
        <f t="shared" ref="AK4:AK5" si="26">E4*0.067</f>
        <v>15.678000000000001</v>
      </c>
      <c r="AL4" s="9">
        <f t="shared" ref="AL4:AL5" si="27">F4*0.067</f>
        <v>16.75</v>
      </c>
      <c r="AM4" s="9">
        <f t="shared" ref="AM4:AM5" si="28">G4*0.067</f>
        <v>14.74</v>
      </c>
      <c r="AN4" s="9">
        <f t="shared" ref="AN4:AN5" si="29">H4*0.067</f>
        <v>17.018000000000001</v>
      </c>
      <c r="AP4" s="9">
        <f t="shared" ref="AP4:AP5" si="30">J4*0.067</f>
        <v>17.420000000000002</v>
      </c>
      <c r="AQ4" s="9">
        <f t="shared" ref="AQ4:AQ5" si="31">K4*0.067</f>
        <v>15.477</v>
      </c>
      <c r="AR4" s="9">
        <f t="shared" ref="AR4:AR5" si="32">L4*0.067</f>
        <v>12.395000000000001</v>
      </c>
      <c r="AS4" s="9">
        <f t="shared" ref="AS4:AS5" si="33">M4*0.067</f>
        <v>17.353000000000002</v>
      </c>
      <c r="AT4" s="9">
        <f t="shared" ref="AT4:AT5" si="34">N4*0.067</f>
        <v>16.080000000000002</v>
      </c>
      <c r="AU4" s="9">
        <f t="shared" ref="AU4:AU5" si="35">O4*0.067</f>
        <v>13.467000000000001</v>
      </c>
      <c r="AX4" s="41">
        <f t="shared" ref="AX4:AX5" si="36">AVERAGEA(AI4:AN4)</f>
        <v>15.901333333333334</v>
      </c>
      <c r="AY4" s="41"/>
      <c r="AZ4" s="41">
        <f t="shared" ref="AZ4:AZ19" si="37">AVERAGE(AP4:AU4)</f>
        <v>15.365333333333334</v>
      </c>
    </row>
    <row r="5" spans="1:52" x14ac:dyDescent="0.35">
      <c r="A5" s="5">
        <v>3</v>
      </c>
      <c r="B5" s="5"/>
      <c r="C5" s="38">
        <v>192</v>
      </c>
      <c r="D5" s="38">
        <v>192</v>
      </c>
      <c r="E5" s="38">
        <v>209</v>
      </c>
      <c r="F5" s="38">
        <v>188</v>
      </c>
      <c r="G5" s="38">
        <v>224</v>
      </c>
      <c r="H5" s="38">
        <v>310</v>
      </c>
      <c r="I5" s="5"/>
      <c r="J5" s="38">
        <v>200</v>
      </c>
      <c r="K5" s="38">
        <v>212</v>
      </c>
      <c r="L5" s="38">
        <v>194</v>
      </c>
      <c r="M5" s="38">
        <v>214</v>
      </c>
      <c r="N5" s="38">
        <v>213</v>
      </c>
      <c r="O5" s="38">
        <v>228</v>
      </c>
      <c r="P5" s="5"/>
      <c r="Q5" s="5"/>
      <c r="R5" s="5"/>
      <c r="S5" s="44">
        <f t="shared" si="22"/>
        <v>219.16666666666666</v>
      </c>
      <c r="T5" s="43"/>
      <c r="U5" s="44">
        <f t="shared" si="23"/>
        <v>210.16666666666666</v>
      </c>
      <c r="AG5">
        <f t="shared" si="0"/>
        <v>3</v>
      </c>
      <c r="AI5" s="9">
        <f t="shared" si="24"/>
        <v>12.864000000000001</v>
      </c>
      <c r="AJ5" s="9">
        <f t="shared" si="25"/>
        <v>12.864000000000001</v>
      </c>
      <c r="AK5" s="9">
        <f t="shared" si="26"/>
        <v>14.003</v>
      </c>
      <c r="AL5" s="9">
        <f t="shared" si="27"/>
        <v>12.596</v>
      </c>
      <c r="AM5" s="9">
        <f t="shared" si="28"/>
        <v>15.008000000000001</v>
      </c>
      <c r="AN5" s="9">
        <f t="shared" si="29"/>
        <v>20.77</v>
      </c>
      <c r="AP5" s="9">
        <f t="shared" si="30"/>
        <v>13.4</v>
      </c>
      <c r="AQ5" s="9">
        <f t="shared" si="31"/>
        <v>14.204000000000001</v>
      </c>
      <c r="AR5" s="9">
        <f t="shared" si="32"/>
        <v>12.998000000000001</v>
      </c>
      <c r="AS5" s="9">
        <f t="shared" si="33"/>
        <v>14.338000000000001</v>
      </c>
      <c r="AT5" s="9">
        <f t="shared" si="34"/>
        <v>14.271000000000001</v>
      </c>
      <c r="AU5" s="9">
        <f t="shared" si="35"/>
        <v>15.276000000000002</v>
      </c>
      <c r="AX5" s="41">
        <f t="shared" si="36"/>
        <v>14.684166666666664</v>
      </c>
      <c r="AY5" s="41"/>
      <c r="AZ5" s="41">
        <f t="shared" si="37"/>
        <v>14.081166666666668</v>
      </c>
    </row>
    <row r="6" spans="1:52" x14ac:dyDescent="0.35">
      <c r="A6" s="5">
        <v>4</v>
      </c>
      <c r="B6" s="5"/>
      <c r="C6" s="6">
        <v>168</v>
      </c>
      <c r="D6" s="6">
        <v>154</v>
      </c>
      <c r="E6" s="6">
        <v>152</v>
      </c>
      <c r="F6" s="6">
        <v>164</v>
      </c>
      <c r="G6" s="6">
        <v>157</v>
      </c>
      <c r="H6" s="6">
        <v>216</v>
      </c>
      <c r="I6" s="5"/>
      <c r="J6" s="39">
        <v>177</v>
      </c>
      <c r="K6" s="39">
        <v>168</v>
      </c>
      <c r="L6" s="39">
        <v>164</v>
      </c>
      <c r="M6" s="39">
        <v>183</v>
      </c>
      <c r="N6" s="39">
        <v>211</v>
      </c>
      <c r="O6" s="39">
        <v>201</v>
      </c>
      <c r="P6" s="5"/>
      <c r="Q6" s="5"/>
      <c r="R6" s="5"/>
      <c r="S6" s="45">
        <f t="shared" si="22"/>
        <v>168.5</v>
      </c>
      <c r="T6" s="43"/>
      <c r="U6" s="46">
        <f t="shared" si="23"/>
        <v>184</v>
      </c>
      <c r="AG6">
        <f t="shared" si="0"/>
        <v>4</v>
      </c>
      <c r="AI6" s="40">
        <f>C6*0.08</f>
        <v>13.44</v>
      </c>
      <c r="AJ6" s="40">
        <f t="shared" ref="AJ6:AN6" si="38">D6*0.08</f>
        <v>12.32</v>
      </c>
      <c r="AK6" s="40">
        <f t="shared" si="38"/>
        <v>12.16</v>
      </c>
      <c r="AL6" s="40">
        <f t="shared" si="38"/>
        <v>13.120000000000001</v>
      </c>
      <c r="AM6" s="40">
        <f t="shared" si="38"/>
        <v>12.56</v>
      </c>
      <c r="AN6" s="40">
        <f t="shared" si="38"/>
        <v>17.28</v>
      </c>
      <c r="AP6" s="42">
        <f t="shared" ref="AP6" si="39">J6*0.08</f>
        <v>14.16</v>
      </c>
      <c r="AQ6" s="42">
        <f t="shared" ref="AQ6" si="40">K6*0.08</f>
        <v>13.44</v>
      </c>
      <c r="AR6" s="42">
        <f t="shared" ref="AR6" si="41">L6*0.08</f>
        <v>13.120000000000001</v>
      </c>
      <c r="AS6" s="42">
        <f t="shared" ref="AS6" si="42">M6*0.08</f>
        <v>14.64</v>
      </c>
      <c r="AT6" s="42">
        <f t="shared" ref="AT6" si="43">N6*0.08</f>
        <v>16.88</v>
      </c>
      <c r="AU6" s="42">
        <f t="shared" ref="AU6" si="44">O6*0.08</f>
        <v>16.080000000000002</v>
      </c>
      <c r="AX6" s="41">
        <f>AVERAGE(AI6:AN6)</f>
        <v>13.480000000000002</v>
      </c>
      <c r="AY6" s="41"/>
      <c r="AZ6" s="41">
        <f t="shared" si="37"/>
        <v>14.719999999999999</v>
      </c>
    </row>
    <row r="7" spans="1:52" x14ac:dyDescent="0.35">
      <c r="A7" s="5">
        <v>5</v>
      </c>
      <c r="B7" s="5"/>
      <c r="C7" s="6">
        <v>150</v>
      </c>
      <c r="D7" s="6">
        <v>153</v>
      </c>
      <c r="E7" s="6">
        <v>144</v>
      </c>
      <c r="F7" s="6">
        <v>149</v>
      </c>
      <c r="G7" s="6">
        <v>166</v>
      </c>
      <c r="H7" s="6">
        <v>182</v>
      </c>
      <c r="I7" s="5"/>
      <c r="J7" s="39">
        <v>193</v>
      </c>
      <c r="K7" s="39">
        <v>214</v>
      </c>
      <c r="L7" s="39">
        <v>169</v>
      </c>
      <c r="M7" s="39">
        <v>193</v>
      </c>
      <c r="N7" s="39">
        <v>165</v>
      </c>
      <c r="O7" s="39">
        <v>197</v>
      </c>
      <c r="P7" s="5"/>
      <c r="Q7" s="5"/>
      <c r="R7" s="5"/>
      <c r="S7" s="45">
        <f t="shared" si="22"/>
        <v>157.33333333333334</v>
      </c>
      <c r="T7" s="43"/>
      <c r="U7" s="46">
        <f t="shared" si="23"/>
        <v>188.5</v>
      </c>
      <c r="AG7">
        <f t="shared" si="0"/>
        <v>5</v>
      </c>
      <c r="AI7" s="40">
        <f t="shared" ref="AI7:AI19" si="45">C7*0.08</f>
        <v>12</v>
      </c>
      <c r="AJ7" s="40">
        <f t="shared" ref="AJ7:AJ19" si="46">D7*0.08</f>
        <v>12.24</v>
      </c>
      <c r="AK7" s="40">
        <f t="shared" ref="AK7:AK19" si="47">E7*0.08</f>
        <v>11.52</v>
      </c>
      <c r="AL7" s="40">
        <f t="shared" ref="AL7:AL19" si="48">F7*0.08</f>
        <v>11.92</v>
      </c>
      <c r="AM7" s="40">
        <f t="shared" ref="AM7:AM19" si="49">G7*0.08</f>
        <v>13.280000000000001</v>
      </c>
      <c r="AN7" s="40">
        <f t="shared" ref="AN7:AN19" si="50">H7*0.08</f>
        <v>14.56</v>
      </c>
      <c r="AP7" s="42">
        <f t="shared" ref="AP7:AP19" si="51">J7*0.08</f>
        <v>15.44</v>
      </c>
      <c r="AQ7" s="42">
        <f t="shared" ref="AQ7:AQ19" si="52">K7*0.08</f>
        <v>17.12</v>
      </c>
      <c r="AR7" s="42">
        <f t="shared" ref="AR7:AR19" si="53">L7*0.08</f>
        <v>13.52</v>
      </c>
      <c r="AS7" s="42">
        <f t="shared" ref="AS7:AS19" si="54">M7*0.08</f>
        <v>15.44</v>
      </c>
      <c r="AT7" s="42">
        <f t="shared" ref="AT7:AT19" si="55">N7*0.08</f>
        <v>13.200000000000001</v>
      </c>
      <c r="AU7" s="42">
        <f t="shared" ref="AU7:AU19" si="56">O7*0.08</f>
        <v>15.76</v>
      </c>
      <c r="AX7" s="41">
        <f t="shared" ref="AX7:AX19" si="57">AVERAGE(AI7:AN7)</f>
        <v>12.586666666666668</v>
      </c>
      <c r="AY7" s="41"/>
      <c r="AZ7" s="41">
        <f t="shared" si="37"/>
        <v>15.08</v>
      </c>
    </row>
    <row r="8" spans="1:52" x14ac:dyDescent="0.35">
      <c r="A8" s="5">
        <v>6</v>
      </c>
      <c r="B8" s="5"/>
      <c r="C8" s="6">
        <v>177</v>
      </c>
      <c r="D8" s="6">
        <v>214</v>
      </c>
      <c r="E8" s="6">
        <v>184</v>
      </c>
      <c r="F8" s="6">
        <v>163</v>
      </c>
      <c r="G8" s="6">
        <v>210</v>
      </c>
      <c r="H8" s="6">
        <v>207</v>
      </c>
      <c r="I8" s="5"/>
      <c r="J8" s="39">
        <v>186</v>
      </c>
      <c r="K8" s="39">
        <v>157</v>
      </c>
      <c r="L8" s="39">
        <v>178</v>
      </c>
      <c r="M8" s="39">
        <v>213</v>
      </c>
      <c r="N8" s="39">
        <v>202</v>
      </c>
      <c r="O8" s="39">
        <v>199</v>
      </c>
      <c r="P8" s="5"/>
      <c r="Q8" s="5"/>
      <c r="R8" s="5"/>
      <c r="S8" s="45">
        <f t="shared" si="22"/>
        <v>192.5</v>
      </c>
      <c r="T8" s="43"/>
      <c r="U8" s="46">
        <f t="shared" si="23"/>
        <v>189.16666666666666</v>
      </c>
      <c r="AG8">
        <f t="shared" si="0"/>
        <v>6</v>
      </c>
      <c r="AI8" s="40">
        <f t="shared" si="45"/>
        <v>14.16</v>
      </c>
      <c r="AJ8" s="40">
        <f t="shared" si="46"/>
        <v>17.12</v>
      </c>
      <c r="AK8" s="40">
        <f t="shared" si="47"/>
        <v>14.72</v>
      </c>
      <c r="AL8" s="40">
        <f t="shared" si="48"/>
        <v>13.040000000000001</v>
      </c>
      <c r="AM8" s="40">
        <f t="shared" si="49"/>
        <v>16.8</v>
      </c>
      <c r="AN8" s="40">
        <f t="shared" si="50"/>
        <v>16.559999999999999</v>
      </c>
      <c r="AP8" s="42">
        <f t="shared" si="51"/>
        <v>14.88</v>
      </c>
      <c r="AQ8" s="42">
        <f t="shared" si="52"/>
        <v>12.56</v>
      </c>
      <c r="AR8" s="42">
        <f t="shared" si="53"/>
        <v>14.24</v>
      </c>
      <c r="AS8" s="42">
        <f t="shared" si="54"/>
        <v>17.04</v>
      </c>
      <c r="AT8" s="42">
        <f t="shared" si="55"/>
        <v>16.16</v>
      </c>
      <c r="AU8" s="42">
        <f t="shared" si="56"/>
        <v>15.92</v>
      </c>
      <c r="AX8" s="41">
        <f t="shared" si="57"/>
        <v>15.4</v>
      </c>
      <c r="AY8" s="41"/>
      <c r="AZ8" s="41">
        <f t="shared" si="37"/>
        <v>15.133333333333333</v>
      </c>
    </row>
    <row r="9" spans="1:52" x14ac:dyDescent="0.35">
      <c r="A9" s="5">
        <v>7</v>
      </c>
      <c r="B9" s="5"/>
      <c r="C9" s="6">
        <v>190</v>
      </c>
      <c r="D9" s="6">
        <v>213</v>
      </c>
      <c r="E9" s="6">
        <v>222</v>
      </c>
      <c r="F9" s="6">
        <v>188</v>
      </c>
      <c r="G9" s="6">
        <v>201</v>
      </c>
      <c r="H9" s="6">
        <v>201</v>
      </c>
      <c r="I9" s="5"/>
      <c r="J9" s="39">
        <v>167</v>
      </c>
      <c r="K9" s="39">
        <v>173</v>
      </c>
      <c r="L9" s="39">
        <v>199</v>
      </c>
      <c r="M9" s="39">
        <v>302</v>
      </c>
      <c r="N9" s="39">
        <v>219</v>
      </c>
      <c r="O9" s="39">
        <v>198</v>
      </c>
      <c r="P9" s="5"/>
      <c r="Q9" s="5"/>
      <c r="R9" s="5"/>
      <c r="S9" s="45">
        <f t="shared" si="22"/>
        <v>202.5</v>
      </c>
      <c r="T9" s="43"/>
      <c r="U9" s="46">
        <f t="shared" si="23"/>
        <v>209.66666666666666</v>
      </c>
      <c r="AG9">
        <f t="shared" si="0"/>
        <v>7</v>
      </c>
      <c r="AI9" s="40">
        <f t="shared" si="45"/>
        <v>15.200000000000001</v>
      </c>
      <c r="AJ9" s="40">
        <f t="shared" si="46"/>
        <v>17.04</v>
      </c>
      <c r="AK9" s="40">
        <f t="shared" si="47"/>
        <v>17.760000000000002</v>
      </c>
      <c r="AL9" s="40">
        <f t="shared" si="48"/>
        <v>15.040000000000001</v>
      </c>
      <c r="AM9" s="40">
        <f t="shared" si="49"/>
        <v>16.080000000000002</v>
      </c>
      <c r="AN9" s="40">
        <f t="shared" si="50"/>
        <v>16.080000000000002</v>
      </c>
      <c r="AP9" s="42">
        <f t="shared" si="51"/>
        <v>13.36</v>
      </c>
      <c r="AQ9" s="42">
        <f t="shared" si="52"/>
        <v>13.84</v>
      </c>
      <c r="AR9" s="42">
        <f t="shared" si="53"/>
        <v>15.92</v>
      </c>
      <c r="AS9" s="42">
        <f t="shared" si="54"/>
        <v>24.16</v>
      </c>
      <c r="AT9" s="42">
        <f t="shared" si="55"/>
        <v>17.52</v>
      </c>
      <c r="AU9" s="42">
        <f t="shared" si="56"/>
        <v>15.84</v>
      </c>
      <c r="AX9" s="41">
        <f t="shared" si="57"/>
        <v>16.2</v>
      </c>
      <c r="AY9" s="41"/>
      <c r="AZ9" s="41">
        <f t="shared" si="37"/>
        <v>16.773333333333333</v>
      </c>
    </row>
    <row r="10" spans="1:52" x14ac:dyDescent="0.35">
      <c r="A10" s="5">
        <v>8</v>
      </c>
      <c r="B10" s="5"/>
      <c r="C10" s="6">
        <v>209</v>
      </c>
      <c r="D10" s="6">
        <v>204</v>
      </c>
      <c r="E10" s="6">
        <v>277</v>
      </c>
      <c r="F10" s="6">
        <v>226</v>
      </c>
      <c r="G10" s="6">
        <v>224</v>
      </c>
      <c r="H10" s="6">
        <v>223</v>
      </c>
      <c r="I10" s="5"/>
      <c r="J10" s="39">
        <v>185</v>
      </c>
      <c r="K10" s="39">
        <v>162</v>
      </c>
      <c r="L10" s="39">
        <v>203</v>
      </c>
      <c r="M10" s="39">
        <v>114</v>
      </c>
      <c r="N10" s="39">
        <v>192</v>
      </c>
      <c r="O10" s="39">
        <v>182</v>
      </c>
      <c r="P10" s="5"/>
      <c r="Q10" s="5"/>
      <c r="R10" s="5"/>
      <c r="S10" s="45">
        <f t="shared" si="22"/>
        <v>227.16666666666666</v>
      </c>
      <c r="T10" s="43"/>
      <c r="U10" s="46">
        <f t="shared" si="23"/>
        <v>173</v>
      </c>
      <c r="AG10">
        <f t="shared" si="0"/>
        <v>8</v>
      </c>
      <c r="AI10" s="40">
        <f t="shared" si="45"/>
        <v>16.72</v>
      </c>
      <c r="AJ10" s="40">
        <f t="shared" si="46"/>
        <v>16.32</v>
      </c>
      <c r="AK10" s="40">
        <f t="shared" si="47"/>
        <v>22.16</v>
      </c>
      <c r="AL10" s="40">
        <f t="shared" si="48"/>
        <v>18.080000000000002</v>
      </c>
      <c r="AM10" s="40">
        <f t="shared" si="49"/>
        <v>17.920000000000002</v>
      </c>
      <c r="AN10" s="40">
        <f t="shared" si="50"/>
        <v>17.84</v>
      </c>
      <c r="AP10" s="42">
        <f t="shared" si="51"/>
        <v>14.8</v>
      </c>
      <c r="AQ10" s="42">
        <f t="shared" si="52"/>
        <v>12.96</v>
      </c>
      <c r="AR10" s="42">
        <f t="shared" si="53"/>
        <v>16.240000000000002</v>
      </c>
      <c r="AS10" s="42">
        <f t="shared" si="54"/>
        <v>9.120000000000001</v>
      </c>
      <c r="AT10" s="42">
        <f t="shared" si="55"/>
        <v>15.36</v>
      </c>
      <c r="AU10" s="42">
        <f t="shared" si="56"/>
        <v>14.56</v>
      </c>
      <c r="AX10" s="41">
        <f t="shared" si="57"/>
        <v>18.173333333333336</v>
      </c>
      <c r="AY10" s="41"/>
      <c r="AZ10" s="41">
        <f t="shared" si="37"/>
        <v>13.840000000000002</v>
      </c>
    </row>
    <row r="11" spans="1:52" x14ac:dyDescent="0.35">
      <c r="A11" s="5">
        <v>9</v>
      </c>
      <c r="B11" s="5"/>
      <c r="C11" s="6">
        <v>222</v>
      </c>
      <c r="D11" s="6">
        <v>225</v>
      </c>
      <c r="E11" s="6">
        <v>251</v>
      </c>
      <c r="F11" s="6">
        <v>250</v>
      </c>
      <c r="G11" s="6">
        <v>217</v>
      </c>
      <c r="H11" s="6">
        <v>245</v>
      </c>
      <c r="I11" s="5"/>
      <c r="J11" s="39">
        <v>199</v>
      </c>
      <c r="K11" s="39">
        <v>185</v>
      </c>
      <c r="L11" s="39">
        <v>186</v>
      </c>
      <c r="M11" s="39">
        <v>209</v>
      </c>
      <c r="N11" s="39">
        <v>175</v>
      </c>
      <c r="O11" s="39">
        <v>226</v>
      </c>
      <c r="P11" s="5"/>
      <c r="Q11" s="5"/>
      <c r="R11" s="5"/>
      <c r="S11" s="45">
        <f t="shared" si="22"/>
        <v>235</v>
      </c>
      <c r="T11" s="43"/>
      <c r="U11" s="46">
        <f t="shared" si="23"/>
        <v>196.66666666666666</v>
      </c>
      <c r="AG11">
        <f t="shared" si="0"/>
        <v>9</v>
      </c>
      <c r="AI11" s="40">
        <f t="shared" si="45"/>
        <v>17.760000000000002</v>
      </c>
      <c r="AJ11" s="40">
        <f t="shared" si="46"/>
        <v>18</v>
      </c>
      <c r="AK11" s="40">
        <f t="shared" si="47"/>
        <v>20.080000000000002</v>
      </c>
      <c r="AL11" s="40">
        <f t="shared" si="48"/>
        <v>20</v>
      </c>
      <c r="AM11" s="40">
        <f t="shared" si="49"/>
        <v>17.36</v>
      </c>
      <c r="AN11" s="40">
        <f t="shared" si="50"/>
        <v>19.600000000000001</v>
      </c>
      <c r="AP11" s="42">
        <f t="shared" si="51"/>
        <v>15.92</v>
      </c>
      <c r="AQ11" s="42">
        <f t="shared" si="52"/>
        <v>14.8</v>
      </c>
      <c r="AR11" s="42">
        <f t="shared" si="53"/>
        <v>14.88</v>
      </c>
      <c r="AS11" s="42">
        <f t="shared" si="54"/>
        <v>16.72</v>
      </c>
      <c r="AT11" s="42">
        <f t="shared" si="55"/>
        <v>14</v>
      </c>
      <c r="AU11" s="42">
        <f t="shared" si="56"/>
        <v>18.080000000000002</v>
      </c>
      <c r="AX11" s="41">
        <f t="shared" si="57"/>
        <v>18.8</v>
      </c>
      <c r="AY11" s="41"/>
      <c r="AZ11" s="41">
        <f t="shared" si="37"/>
        <v>15.733333333333333</v>
      </c>
    </row>
    <row r="12" spans="1:52" x14ac:dyDescent="0.35">
      <c r="A12" s="5">
        <v>10</v>
      </c>
      <c r="B12" s="5"/>
      <c r="C12" s="6">
        <v>246</v>
      </c>
      <c r="D12" s="6">
        <v>223</v>
      </c>
      <c r="E12" s="6">
        <v>290</v>
      </c>
      <c r="F12" s="6">
        <v>232</v>
      </c>
      <c r="G12" s="6">
        <v>268</v>
      </c>
      <c r="H12" s="6">
        <v>243</v>
      </c>
      <c r="I12" s="5"/>
      <c r="J12" s="39">
        <v>208</v>
      </c>
      <c r="K12" s="39">
        <v>182</v>
      </c>
      <c r="L12" s="39">
        <v>229</v>
      </c>
      <c r="M12" s="39">
        <v>201</v>
      </c>
      <c r="N12" s="39">
        <v>209</v>
      </c>
      <c r="O12" s="39">
        <v>223</v>
      </c>
      <c r="P12" s="5"/>
      <c r="Q12" s="5"/>
      <c r="R12" s="5"/>
      <c r="S12" s="45">
        <f t="shared" si="22"/>
        <v>250.33333333333334</v>
      </c>
      <c r="T12" s="43"/>
      <c r="U12" s="46">
        <f t="shared" si="23"/>
        <v>208.66666666666666</v>
      </c>
      <c r="AG12">
        <f t="shared" si="0"/>
        <v>10</v>
      </c>
      <c r="AI12" s="40">
        <f t="shared" si="45"/>
        <v>19.68</v>
      </c>
      <c r="AJ12" s="40">
        <f t="shared" si="46"/>
        <v>17.84</v>
      </c>
      <c r="AK12" s="40">
        <f t="shared" si="47"/>
        <v>23.2</v>
      </c>
      <c r="AL12" s="40">
        <f t="shared" si="48"/>
        <v>18.559999999999999</v>
      </c>
      <c r="AM12" s="40">
        <f t="shared" si="49"/>
        <v>21.44</v>
      </c>
      <c r="AN12" s="40">
        <f t="shared" si="50"/>
        <v>19.440000000000001</v>
      </c>
      <c r="AP12" s="42">
        <f t="shared" si="51"/>
        <v>16.64</v>
      </c>
      <c r="AQ12" s="42">
        <f t="shared" si="52"/>
        <v>14.56</v>
      </c>
      <c r="AR12" s="42">
        <f t="shared" si="53"/>
        <v>18.32</v>
      </c>
      <c r="AS12" s="42">
        <f t="shared" si="54"/>
        <v>16.080000000000002</v>
      </c>
      <c r="AT12" s="42">
        <f t="shared" si="55"/>
        <v>16.72</v>
      </c>
      <c r="AU12" s="42">
        <f t="shared" si="56"/>
        <v>17.84</v>
      </c>
      <c r="AX12" s="41">
        <f t="shared" si="57"/>
        <v>20.026666666666667</v>
      </c>
      <c r="AY12" s="41"/>
      <c r="AZ12" s="41">
        <f t="shared" si="37"/>
        <v>16.693333333333335</v>
      </c>
    </row>
    <row r="13" spans="1:52" x14ac:dyDescent="0.35">
      <c r="A13" s="5">
        <v>11</v>
      </c>
      <c r="B13" s="5"/>
      <c r="C13" s="39">
        <v>263</v>
      </c>
      <c r="D13" s="39">
        <v>242</v>
      </c>
      <c r="E13" s="39">
        <v>351</v>
      </c>
      <c r="F13" s="39">
        <v>275</v>
      </c>
      <c r="G13" s="39">
        <v>222</v>
      </c>
      <c r="H13" s="39">
        <v>242</v>
      </c>
      <c r="I13" s="5"/>
      <c r="J13" s="6">
        <v>164</v>
      </c>
      <c r="K13" s="6">
        <v>153</v>
      </c>
      <c r="L13" s="6">
        <v>175</v>
      </c>
      <c r="M13" s="6">
        <v>165</v>
      </c>
      <c r="N13" s="6">
        <v>171</v>
      </c>
      <c r="O13" s="6">
        <v>169</v>
      </c>
      <c r="P13" s="5"/>
      <c r="Q13" s="5"/>
      <c r="R13" s="5"/>
      <c r="S13" s="46">
        <f t="shared" si="22"/>
        <v>265.83333333333331</v>
      </c>
      <c r="T13" s="43"/>
      <c r="U13" s="45">
        <f t="shared" si="23"/>
        <v>166.16666666666666</v>
      </c>
      <c r="AG13">
        <f t="shared" si="0"/>
        <v>11</v>
      </c>
      <c r="AI13" s="42">
        <f t="shared" si="45"/>
        <v>21.04</v>
      </c>
      <c r="AJ13" s="42">
        <f t="shared" si="46"/>
        <v>19.36</v>
      </c>
      <c r="AK13" s="42">
        <f t="shared" si="47"/>
        <v>28.080000000000002</v>
      </c>
      <c r="AL13" s="42">
        <f t="shared" si="48"/>
        <v>22</v>
      </c>
      <c r="AM13" s="42">
        <f t="shared" si="49"/>
        <v>17.760000000000002</v>
      </c>
      <c r="AN13" s="42">
        <f t="shared" si="50"/>
        <v>19.36</v>
      </c>
      <c r="AP13" s="40">
        <f t="shared" si="51"/>
        <v>13.120000000000001</v>
      </c>
      <c r="AQ13" s="40">
        <f t="shared" si="52"/>
        <v>12.24</v>
      </c>
      <c r="AR13" s="40">
        <f t="shared" si="53"/>
        <v>14</v>
      </c>
      <c r="AS13" s="40">
        <f t="shared" si="54"/>
        <v>13.200000000000001</v>
      </c>
      <c r="AT13" s="40">
        <f t="shared" si="55"/>
        <v>13.68</v>
      </c>
      <c r="AU13" s="40">
        <f t="shared" si="56"/>
        <v>13.52</v>
      </c>
      <c r="AX13" s="41">
        <f t="shared" si="57"/>
        <v>21.266666666666669</v>
      </c>
      <c r="AY13" s="41"/>
      <c r="AZ13" s="41">
        <f t="shared" si="37"/>
        <v>13.293333333333335</v>
      </c>
    </row>
    <row r="14" spans="1:52" x14ac:dyDescent="0.35">
      <c r="A14" s="5">
        <v>12</v>
      </c>
      <c r="B14" s="5"/>
      <c r="C14" s="39">
        <v>212</v>
      </c>
      <c r="D14" s="39">
        <v>160</v>
      </c>
      <c r="E14" s="39">
        <v>256</v>
      </c>
      <c r="F14" s="39">
        <v>233</v>
      </c>
      <c r="G14" s="39">
        <v>241</v>
      </c>
      <c r="H14" s="39">
        <v>206</v>
      </c>
      <c r="I14" s="5"/>
      <c r="J14" s="6">
        <v>164</v>
      </c>
      <c r="K14" s="6">
        <v>140</v>
      </c>
      <c r="L14" s="6">
        <v>180</v>
      </c>
      <c r="M14" s="6">
        <v>165</v>
      </c>
      <c r="N14" s="6">
        <v>232</v>
      </c>
      <c r="O14" s="6">
        <v>171</v>
      </c>
      <c r="P14" s="5"/>
      <c r="Q14" s="5"/>
      <c r="R14" s="5"/>
      <c r="S14" s="46">
        <f t="shared" si="22"/>
        <v>218</v>
      </c>
      <c r="T14" s="43"/>
      <c r="U14" s="45">
        <f t="shared" si="23"/>
        <v>175.33333333333334</v>
      </c>
      <c r="AG14">
        <f t="shared" si="0"/>
        <v>12</v>
      </c>
      <c r="AI14" s="42">
        <f t="shared" si="45"/>
        <v>16.96</v>
      </c>
      <c r="AJ14" s="42">
        <f t="shared" si="46"/>
        <v>12.8</v>
      </c>
      <c r="AK14" s="42">
        <f t="shared" si="47"/>
        <v>20.48</v>
      </c>
      <c r="AL14" s="42">
        <f t="shared" si="48"/>
        <v>18.64</v>
      </c>
      <c r="AM14" s="42">
        <f t="shared" si="49"/>
        <v>19.28</v>
      </c>
      <c r="AN14" s="42">
        <f t="shared" si="50"/>
        <v>16.48</v>
      </c>
      <c r="AP14" s="40">
        <f t="shared" si="51"/>
        <v>13.120000000000001</v>
      </c>
      <c r="AQ14" s="40">
        <f t="shared" si="52"/>
        <v>11.200000000000001</v>
      </c>
      <c r="AR14" s="40">
        <f t="shared" si="53"/>
        <v>14.4</v>
      </c>
      <c r="AS14" s="40">
        <f t="shared" si="54"/>
        <v>13.200000000000001</v>
      </c>
      <c r="AT14" s="40">
        <f t="shared" si="55"/>
        <v>18.559999999999999</v>
      </c>
      <c r="AU14" s="40">
        <f t="shared" si="56"/>
        <v>13.68</v>
      </c>
      <c r="AX14" s="41">
        <f t="shared" si="57"/>
        <v>17.440000000000001</v>
      </c>
      <c r="AY14" s="41"/>
      <c r="AZ14" s="41">
        <f t="shared" si="37"/>
        <v>14.026666666666666</v>
      </c>
    </row>
    <row r="15" spans="1:52" x14ac:dyDescent="0.35">
      <c r="A15" s="5">
        <v>13</v>
      </c>
      <c r="B15" s="5"/>
      <c r="C15" s="39">
        <v>208</v>
      </c>
      <c r="D15" s="39">
        <v>195</v>
      </c>
      <c r="E15" s="39">
        <v>242</v>
      </c>
      <c r="F15" s="39">
        <v>217</v>
      </c>
      <c r="G15" s="39">
        <v>224</v>
      </c>
      <c r="H15" s="39">
        <v>195</v>
      </c>
      <c r="I15" s="5"/>
      <c r="J15" s="6">
        <v>176</v>
      </c>
      <c r="K15" s="6">
        <v>152</v>
      </c>
      <c r="L15" s="6">
        <v>204</v>
      </c>
      <c r="M15" s="6">
        <v>191</v>
      </c>
      <c r="N15" s="6">
        <v>239</v>
      </c>
      <c r="O15" s="6">
        <v>243</v>
      </c>
      <c r="P15" s="5"/>
      <c r="Q15" s="5"/>
      <c r="R15" s="5"/>
      <c r="S15" s="46">
        <f t="shared" si="22"/>
        <v>213.5</v>
      </c>
      <c r="T15" s="43"/>
      <c r="U15" s="45">
        <f t="shared" si="23"/>
        <v>200.83333333333334</v>
      </c>
      <c r="AG15">
        <f t="shared" si="0"/>
        <v>13</v>
      </c>
      <c r="AI15" s="42">
        <f t="shared" si="45"/>
        <v>16.64</v>
      </c>
      <c r="AJ15" s="42">
        <f t="shared" si="46"/>
        <v>15.6</v>
      </c>
      <c r="AK15" s="42">
        <f t="shared" si="47"/>
        <v>19.36</v>
      </c>
      <c r="AL15" s="42">
        <f t="shared" si="48"/>
        <v>17.36</v>
      </c>
      <c r="AM15" s="42">
        <f t="shared" si="49"/>
        <v>17.920000000000002</v>
      </c>
      <c r="AN15" s="42">
        <f t="shared" si="50"/>
        <v>15.6</v>
      </c>
      <c r="AP15" s="40">
        <f t="shared" si="51"/>
        <v>14.08</v>
      </c>
      <c r="AQ15" s="40">
        <f t="shared" si="52"/>
        <v>12.16</v>
      </c>
      <c r="AR15" s="40">
        <f t="shared" si="53"/>
        <v>16.32</v>
      </c>
      <c r="AS15" s="40">
        <f t="shared" si="54"/>
        <v>15.280000000000001</v>
      </c>
      <c r="AT15" s="40">
        <f t="shared" si="55"/>
        <v>19.12</v>
      </c>
      <c r="AU15" s="40">
        <f t="shared" si="56"/>
        <v>19.440000000000001</v>
      </c>
      <c r="AX15" s="41">
        <f t="shared" si="57"/>
        <v>17.080000000000002</v>
      </c>
      <c r="AY15" s="41"/>
      <c r="AZ15" s="41">
        <f t="shared" si="37"/>
        <v>16.066666666666666</v>
      </c>
    </row>
    <row r="16" spans="1:52" x14ac:dyDescent="0.35">
      <c r="A16" s="5">
        <v>14</v>
      </c>
      <c r="B16" s="5"/>
      <c r="C16" s="39">
        <v>210</v>
      </c>
      <c r="D16" s="39">
        <v>185</v>
      </c>
      <c r="E16" s="39">
        <v>240</v>
      </c>
      <c r="F16" s="39">
        <v>208</v>
      </c>
      <c r="G16" s="39">
        <v>254</v>
      </c>
      <c r="H16" s="39">
        <v>194</v>
      </c>
      <c r="I16" s="5"/>
      <c r="J16" s="6">
        <v>191</v>
      </c>
      <c r="K16" s="6">
        <v>157</v>
      </c>
      <c r="L16" s="6">
        <v>207</v>
      </c>
      <c r="M16" s="6">
        <v>186</v>
      </c>
      <c r="N16" s="6">
        <v>237</v>
      </c>
      <c r="O16" s="6">
        <v>224</v>
      </c>
      <c r="P16" s="5"/>
      <c r="Q16" s="5"/>
      <c r="R16" s="5"/>
      <c r="S16" s="46">
        <f t="shared" si="22"/>
        <v>215.16666666666666</v>
      </c>
      <c r="T16" s="43"/>
      <c r="U16" s="45">
        <f t="shared" si="23"/>
        <v>200.33333333333334</v>
      </c>
      <c r="AG16">
        <f t="shared" si="0"/>
        <v>14</v>
      </c>
      <c r="AI16" s="42">
        <f t="shared" si="45"/>
        <v>16.8</v>
      </c>
      <c r="AJ16" s="42">
        <f t="shared" si="46"/>
        <v>14.8</v>
      </c>
      <c r="AK16" s="42">
        <f t="shared" si="47"/>
        <v>19.2</v>
      </c>
      <c r="AL16" s="42">
        <f t="shared" si="48"/>
        <v>16.64</v>
      </c>
      <c r="AM16" s="42">
        <f t="shared" si="49"/>
        <v>20.32</v>
      </c>
      <c r="AN16" s="42">
        <f t="shared" si="50"/>
        <v>15.52</v>
      </c>
      <c r="AP16" s="40">
        <f t="shared" si="51"/>
        <v>15.280000000000001</v>
      </c>
      <c r="AQ16" s="40">
        <f t="shared" si="52"/>
        <v>12.56</v>
      </c>
      <c r="AR16" s="40">
        <f t="shared" si="53"/>
        <v>16.559999999999999</v>
      </c>
      <c r="AS16" s="40">
        <f t="shared" si="54"/>
        <v>14.88</v>
      </c>
      <c r="AT16" s="40">
        <f t="shared" si="55"/>
        <v>18.96</v>
      </c>
      <c r="AU16" s="40">
        <f t="shared" si="56"/>
        <v>17.920000000000002</v>
      </c>
      <c r="AX16" s="41">
        <f t="shared" si="57"/>
        <v>17.213333333333331</v>
      </c>
      <c r="AY16" s="41"/>
      <c r="AZ16" s="41">
        <f t="shared" si="37"/>
        <v>16.026666666666667</v>
      </c>
    </row>
    <row r="17" spans="1:58" x14ac:dyDescent="0.35">
      <c r="A17" s="5">
        <v>15</v>
      </c>
      <c r="B17" s="5"/>
      <c r="C17" s="39">
        <v>221</v>
      </c>
      <c r="D17" s="39">
        <v>172</v>
      </c>
      <c r="E17" s="39">
        <v>199</v>
      </c>
      <c r="F17" s="39">
        <v>207</v>
      </c>
      <c r="G17" s="39">
        <v>201</v>
      </c>
      <c r="H17" s="39">
        <v>197</v>
      </c>
      <c r="I17" s="5"/>
      <c r="J17" s="6">
        <v>201</v>
      </c>
      <c r="K17" s="6">
        <v>188</v>
      </c>
      <c r="L17" s="6">
        <v>214</v>
      </c>
      <c r="M17" s="6">
        <v>199</v>
      </c>
      <c r="N17" s="6">
        <v>220</v>
      </c>
      <c r="O17" s="6">
        <v>197</v>
      </c>
      <c r="P17" s="5"/>
      <c r="Q17" s="5"/>
      <c r="R17" s="5"/>
      <c r="S17" s="46">
        <f t="shared" si="22"/>
        <v>199.5</v>
      </c>
      <c r="T17" s="43"/>
      <c r="U17" s="45">
        <f t="shared" si="23"/>
        <v>203.16666666666666</v>
      </c>
      <c r="AG17">
        <f t="shared" si="0"/>
        <v>15</v>
      </c>
      <c r="AI17" s="42">
        <f t="shared" si="45"/>
        <v>17.68</v>
      </c>
      <c r="AJ17" s="42">
        <f t="shared" si="46"/>
        <v>13.76</v>
      </c>
      <c r="AK17" s="42">
        <f t="shared" si="47"/>
        <v>15.92</v>
      </c>
      <c r="AL17" s="42">
        <f t="shared" si="48"/>
        <v>16.559999999999999</v>
      </c>
      <c r="AM17" s="42">
        <f t="shared" si="49"/>
        <v>16.080000000000002</v>
      </c>
      <c r="AN17" s="42">
        <f t="shared" si="50"/>
        <v>15.76</v>
      </c>
      <c r="AP17" s="40">
        <f t="shared" si="51"/>
        <v>16.080000000000002</v>
      </c>
      <c r="AQ17" s="40">
        <f t="shared" si="52"/>
        <v>15.040000000000001</v>
      </c>
      <c r="AR17" s="40">
        <f t="shared" si="53"/>
        <v>17.12</v>
      </c>
      <c r="AS17" s="40">
        <f t="shared" si="54"/>
        <v>15.92</v>
      </c>
      <c r="AT17" s="40">
        <f t="shared" si="55"/>
        <v>17.600000000000001</v>
      </c>
      <c r="AU17" s="40">
        <f t="shared" si="56"/>
        <v>15.76</v>
      </c>
      <c r="AX17" s="41">
        <f t="shared" si="57"/>
        <v>15.96</v>
      </c>
      <c r="AY17" s="41"/>
      <c r="AZ17" s="41">
        <f t="shared" si="37"/>
        <v>16.253333333333337</v>
      </c>
    </row>
    <row r="18" spans="1:58" x14ac:dyDescent="0.35">
      <c r="A18" s="5">
        <v>16</v>
      </c>
      <c r="B18" s="5"/>
      <c r="C18" s="39">
        <v>221</v>
      </c>
      <c r="D18" s="39">
        <v>181</v>
      </c>
      <c r="E18" s="39">
        <v>195</v>
      </c>
      <c r="F18" s="39">
        <v>221</v>
      </c>
      <c r="G18" s="39">
        <v>227</v>
      </c>
      <c r="H18" s="39">
        <v>178</v>
      </c>
      <c r="I18" s="5"/>
      <c r="J18" s="6">
        <v>202</v>
      </c>
      <c r="K18" s="6">
        <v>138</v>
      </c>
      <c r="L18" s="6">
        <v>214</v>
      </c>
      <c r="M18" s="6">
        <v>196</v>
      </c>
      <c r="N18" s="6">
        <v>235</v>
      </c>
      <c r="O18" s="6">
        <v>176</v>
      </c>
      <c r="P18" s="5"/>
      <c r="Q18" s="5"/>
      <c r="R18" s="5"/>
      <c r="S18" s="46">
        <f t="shared" si="22"/>
        <v>203.83333333333334</v>
      </c>
      <c r="T18" s="43"/>
      <c r="U18" s="45">
        <f t="shared" si="23"/>
        <v>193.5</v>
      </c>
      <c r="AG18">
        <f t="shared" si="0"/>
        <v>16</v>
      </c>
      <c r="AI18" s="42">
        <f t="shared" si="45"/>
        <v>17.68</v>
      </c>
      <c r="AJ18" s="42">
        <f t="shared" si="46"/>
        <v>14.48</v>
      </c>
      <c r="AK18" s="42">
        <f t="shared" si="47"/>
        <v>15.6</v>
      </c>
      <c r="AL18" s="42">
        <f t="shared" si="48"/>
        <v>17.68</v>
      </c>
      <c r="AM18" s="42">
        <f t="shared" si="49"/>
        <v>18.16</v>
      </c>
      <c r="AN18" s="42">
        <f t="shared" si="50"/>
        <v>14.24</v>
      </c>
      <c r="AP18" s="40">
        <f t="shared" si="51"/>
        <v>16.16</v>
      </c>
      <c r="AQ18" s="40">
        <f t="shared" si="52"/>
        <v>11.040000000000001</v>
      </c>
      <c r="AR18" s="40">
        <f t="shared" si="53"/>
        <v>17.12</v>
      </c>
      <c r="AS18" s="40">
        <f t="shared" si="54"/>
        <v>15.68</v>
      </c>
      <c r="AT18" s="40">
        <f t="shared" si="55"/>
        <v>18.8</v>
      </c>
      <c r="AU18" s="40">
        <f t="shared" si="56"/>
        <v>14.08</v>
      </c>
      <c r="AX18" s="41">
        <f t="shared" si="57"/>
        <v>16.306666666666665</v>
      </c>
      <c r="AY18" s="41"/>
      <c r="AZ18" s="41">
        <f t="shared" si="37"/>
        <v>15.480000000000002</v>
      </c>
    </row>
    <row r="19" spans="1:58" x14ac:dyDescent="0.35">
      <c r="A19" s="5">
        <v>17</v>
      </c>
      <c r="B19" s="5"/>
      <c r="C19" s="39">
        <v>207</v>
      </c>
      <c r="D19" s="39">
        <v>182</v>
      </c>
      <c r="E19" s="39">
        <v>183</v>
      </c>
      <c r="F19" s="39">
        <v>174</v>
      </c>
      <c r="G19" s="39">
        <v>200</v>
      </c>
      <c r="H19" s="39">
        <v>191</v>
      </c>
      <c r="I19" s="5"/>
      <c r="J19" s="6">
        <v>180</v>
      </c>
      <c r="K19" s="6">
        <v>170</v>
      </c>
      <c r="L19" s="6">
        <v>192</v>
      </c>
      <c r="M19" s="6">
        <v>191</v>
      </c>
      <c r="N19" s="6">
        <v>233</v>
      </c>
      <c r="O19" s="6">
        <v>218</v>
      </c>
      <c r="P19" s="5"/>
      <c r="Q19" s="5"/>
      <c r="R19" s="5"/>
      <c r="S19" s="46">
        <f t="shared" si="22"/>
        <v>189.5</v>
      </c>
      <c r="T19" s="43"/>
      <c r="U19" s="45">
        <f t="shared" si="23"/>
        <v>197.33333333333334</v>
      </c>
      <c r="AG19">
        <f t="shared" si="0"/>
        <v>17</v>
      </c>
      <c r="AI19" s="42">
        <f t="shared" si="45"/>
        <v>16.559999999999999</v>
      </c>
      <c r="AJ19" s="42">
        <f t="shared" si="46"/>
        <v>14.56</v>
      </c>
      <c r="AK19" s="42">
        <f t="shared" si="47"/>
        <v>14.64</v>
      </c>
      <c r="AL19" s="42">
        <f t="shared" si="48"/>
        <v>13.92</v>
      </c>
      <c r="AM19" s="42">
        <f t="shared" si="49"/>
        <v>16</v>
      </c>
      <c r="AN19" s="42">
        <f t="shared" si="50"/>
        <v>15.280000000000001</v>
      </c>
      <c r="AP19" s="40">
        <f t="shared" si="51"/>
        <v>14.4</v>
      </c>
      <c r="AQ19" s="40">
        <f t="shared" si="52"/>
        <v>13.6</v>
      </c>
      <c r="AR19" s="40">
        <f t="shared" si="53"/>
        <v>15.36</v>
      </c>
      <c r="AS19" s="40">
        <f t="shared" si="54"/>
        <v>15.280000000000001</v>
      </c>
      <c r="AT19" s="40">
        <f t="shared" si="55"/>
        <v>18.64</v>
      </c>
      <c r="AU19" s="40">
        <f t="shared" si="56"/>
        <v>17.440000000000001</v>
      </c>
      <c r="AX19" s="41">
        <f t="shared" si="57"/>
        <v>15.160000000000002</v>
      </c>
      <c r="AY19" s="41"/>
      <c r="AZ19" s="41">
        <f t="shared" si="37"/>
        <v>15.786666666666667</v>
      </c>
    </row>
    <row r="20" spans="1:58" x14ac:dyDescent="0.35">
      <c r="A20" s="5">
        <v>18</v>
      </c>
      <c r="B20" s="5"/>
      <c r="C20" s="5"/>
      <c r="D20" s="5"/>
      <c r="E20" s="5"/>
      <c r="F20" s="5"/>
      <c r="G20" s="5"/>
      <c r="H20" s="5"/>
      <c r="I20" s="5"/>
      <c r="J20" s="5"/>
      <c r="K20" s="5"/>
      <c r="L20" s="5"/>
      <c r="M20" s="5"/>
      <c r="N20" s="5"/>
      <c r="O20" s="5"/>
      <c r="P20" s="5"/>
      <c r="Q20" s="5"/>
      <c r="R20" s="5"/>
      <c r="S20" s="5"/>
      <c r="T20" s="5"/>
      <c r="U20" s="5"/>
    </row>
    <row r="21" spans="1:58" x14ac:dyDescent="0.35">
      <c r="A21" s="5">
        <v>19</v>
      </c>
      <c r="B21" s="5"/>
      <c r="C21" s="5"/>
      <c r="D21" s="5"/>
      <c r="E21" s="5"/>
      <c r="F21" s="5"/>
      <c r="G21" s="5"/>
      <c r="H21" s="5"/>
      <c r="I21" s="5"/>
      <c r="J21" s="5"/>
      <c r="K21" s="5"/>
      <c r="L21" s="5"/>
      <c r="M21" s="5"/>
      <c r="N21" s="5"/>
      <c r="O21" s="5"/>
      <c r="P21" s="5"/>
      <c r="Q21" s="5"/>
      <c r="R21" s="5"/>
      <c r="S21" s="5"/>
      <c r="T21" s="5"/>
      <c r="U21" s="5"/>
    </row>
    <row r="22" spans="1:58" x14ac:dyDescent="0.35">
      <c r="A22" s="5">
        <v>20</v>
      </c>
      <c r="B22" s="5"/>
      <c r="C22" s="5"/>
      <c r="D22" s="5"/>
      <c r="E22" s="5"/>
      <c r="F22" s="5"/>
      <c r="G22" s="5"/>
      <c r="H22" s="5"/>
      <c r="I22" s="5"/>
      <c r="J22" s="5"/>
      <c r="K22" s="5"/>
      <c r="L22" s="5"/>
      <c r="M22" s="5"/>
      <c r="N22" s="5"/>
      <c r="O22" s="5"/>
      <c r="P22" s="5"/>
      <c r="Q22" s="5"/>
      <c r="R22" s="5"/>
      <c r="S22" s="5"/>
      <c r="T22" s="5"/>
      <c r="U22" s="5"/>
    </row>
    <row r="23" spans="1:58" x14ac:dyDescent="0.35">
      <c r="A23" s="5">
        <v>21</v>
      </c>
      <c r="B23" s="5"/>
      <c r="C23" s="5"/>
      <c r="D23" s="5"/>
      <c r="E23" s="5"/>
      <c r="F23" s="5"/>
      <c r="G23" s="5"/>
      <c r="H23" s="5"/>
      <c r="I23" s="5"/>
      <c r="J23" s="5"/>
      <c r="K23" s="5"/>
      <c r="L23" s="5"/>
      <c r="M23" s="5"/>
      <c r="N23" s="5"/>
      <c r="O23" s="5"/>
      <c r="P23" s="5"/>
      <c r="Q23" s="5"/>
      <c r="R23" s="5"/>
      <c r="S23" s="5"/>
      <c r="T23" s="5"/>
      <c r="U23" s="5"/>
    </row>
    <row r="24" spans="1:58" x14ac:dyDescent="0.35">
      <c r="A24" s="5">
        <v>22</v>
      </c>
      <c r="B24" s="5"/>
      <c r="C24" s="5"/>
      <c r="D24" s="5"/>
      <c r="E24" s="5"/>
      <c r="F24" s="5"/>
      <c r="G24" s="5"/>
      <c r="H24" s="5"/>
      <c r="I24" s="5"/>
      <c r="J24" s="5"/>
      <c r="K24" s="5"/>
      <c r="L24" s="5"/>
      <c r="M24" s="5"/>
      <c r="N24" s="5"/>
      <c r="O24" s="5"/>
      <c r="P24" s="5"/>
      <c r="Q24" s="5"/>
      <c r="R24" s="5"/>
      <c r="S24" s="5"/>
      <c r="T24" s="5"/>
      <c r="U24" s="5"/>
    </row>
    <row r="25" spans="1:58" x14ac:dyDescent="0.35">
      <c r="A25" s="5">
        <v>23</v>
      </c>
      <c r="B25" s="5"/>
      <c r="C25" s="5"/>
      <c r="D25" s="5"/>
      <c r="E25" s="5"/>
      <c r="F25" s="5"/>
      <c r="G25" s="5"/>
      <c r="H25" s="5"/>
      <c r="I25" s="5"/>
      <c r="J25" s="5"/>
      <c r="K25" s="5"/>
      <c r="L25" s="5"/>
      <c r="M25" s="5"/>
      <c r="N25" s="5"/>
      <c r="O25" s="5"/>
      <c r="P25" s="5"/>
      <c r="Q25" s="5"/>
      <c r="R25" s="5"/>
      <c r="S25" s="5"/>
      <c r="T25" s="5"/>
      <c r="U25" s="5"/>
    </row>
    <row r="26" spans="1:58" x14ac:dyDescent="0.35">
      <c r="A26" s="5">
        <v>24</v>
      </c>
      <c r="B26" s="5"/>
      <c r="C26" s="5"/>
      <c r="D26" s="5"/>
      <c r="E26" s="5"/>
      <c r="F26" s="5"/>
      <c r="G26" s="5"/>
      <c r="H26" s="5"/>
      <c r="I26" s="5"/>
      <c r="J26" s="5"/>
      <c r="K26" s="5"/>
      <c r="L26" s="5"/>
      <c r="M26" s="5"/>
      <c r="N26" s="5"/>
      <c r="O26" s="5"/>
      <c r="P26" s="5"/>
      <c r="Q26" s="5"/>
      <c r="R26" s="5"/>
      <c r="S26" s="5"/>
      <c r="T26" s="5"/>
      <c r="U26" s="5"/>
    </row>
    <row r="27" spans="1:58" x14ac:dyDescent="0.35">
      <c r="A27" s="5">
        <v>25</v>
      </c>
      <c r="B27" s="5"/>
      <c r="C27" s="5"/>
      <c r="D27" s="5"/>
      <c r="E27" s="5"/>
      <c r="F27" s="5"/>
      <c r="G27" s="5"/>
      <c r="H27" s="5"/>
      <c r="I27" s="5"/>
      <c r="J27" s="5"/>
      <c r="K27" s="5"/>
      <c r="L27" s="5"/>
      <c r="M27" s="5"/>
      <c r="N27" s="5"/>
      <c r="O27" s="5"/>
      <c r="P27" s="5"/>
      <c r="Q27" s="5"/>
      <c r="R27" s="5"/>
      <c r="S27" s="5"/>
      <c r="T27" s="5"/>
      <c r="U27" s="5"/>
    </row>
    <row r="28" spans="1:58" x14ac:dyDescent="0.35">
      <c r="A28" s="5"/>
      <c r="B28" s="5"/>
      <c r="C28" s="5"/>
      <c r="D28" s="5"/>
      <c r="E28" s="5"/>
      <c r="F28" s="5"/>
      <c r="G28" s="5"/>
      <c r="H28" s="5"/>
      <c r="I28" s="5"/>
      <c r="J28" s="5"/>
      <c r="K28" s="5"/>
      <c r="L28" s="5"/>
      <c r="M28" s="5"/>
      <c r="N28" s="5"/>
      <c r="O28" s="5"/>
      <c r="P28" s="5"/>
      <c r="Q28" s="5"/>
      <c r="R28" s="5"/>
      <c r="S28" s="5"/>
      <c r="T28" s="5"/>
      <c r="U28" s="5"/>
    </row>
    <row r="29" spans="1:58" x14ac:dyDescent="0.35">
      <c r="A29" s="5"/>
      <c r="B29" s="5"/>
      <c r="C29" s="5"/>
      <c r="D29" s="5"/>
      <c r="E29" s="5"/>
      <c r="F29" s="5"/>
      <c r="G29" s="5"/>
      <c r="H29" s="5"/>
      <c r="I29" s="5"/>
      <c r="J29" s="5"/>
      <c r="K29" s="5"/>
      <c r="L29" s="5"/>
      <c r="M29" s="5"/>
      <c r="N29" s="5"/>
      <c r="O29" s="5"/>
      <c r="P29" s="5"/>
      <c r="Q29" s="5"/>
      <c r="R29" s="5"/>
      <c r="S29" s="5"/>
      <c r="T29" s="5"/>
      <c r="U29" s="5"/>
    </row>
    <row r="30" spans="1:58" x14ac:dyDescent="0.35">
      <c r="A30" s="5"/>
      <c r="B30" s="5"/>
      <c r="C30" s="5"/>
      <c r="D30" s="5"/>
      <c r="E30" s="5"/>
      <c r="F30" s="5"/>
      <c r="G30" s="5"/>
      <c r="H30" s="5"/>
      <c r="I30" s="5"/>
      <c r="J30" s="5"/>
      <c r="K30" s="5"/>
      <c r="L30" s="5"/>
      <c r="M30" s="5"/>
      <c r="N30" s="5"/>
      <c r="O30" s="5"/>
      <c r="P30" s="5"/>
      <c r="Q30" s="5"/>
      <c r="R30" s="5"/>
      <c r="S30" s="5"/>
      <c r="T30" s="5"/>
      <c r="U30" s="5"/>
    </row>
    <row r="31" spans="1:58" x14ac:dyDescent="0.35">
      <c r="A31" s="5"/>
      <c r="B31" s="5"/>
      <c r="C31" s="5" t="s">
        <v>57</v>
      </c>
      <c r="D31" s="5" t="s">
        <v>75</v>
      </c>
      <c r="E31" s="5" t="s">
        <v>78</v>
      </c>
      <c r="F31" s="5" t="s">
        <v>82</v>
      </c>
      <c r="G31" s="5" t="s">
        <v>86</v>
      </c>
      <c r="H31" s="5" t="s">
        <v>90</v>
      </c>
      <c r="I31" s="5"/>
      <c r="J31" s="5" t="s">
        <v>94</v>
      </c>
      <c r="K31" s="5" t="s">
        <v>98</v>
      </c>
      <c r="L31" s="5" t="s">
        <v>100</v>
      </c>
      <c r="M31" s="5" t="s">
        <v>102</v>
      </c>
      <c r="N31" s="5" t="s">
        <v>104</v>
      </c>
      <c r="O31" s="5" t="s">
        <v>108</v>
      </c>
      <c r="P31" s="5"/>
      <c r="Q31" s="5"/>
      <c r="R31" s="5"/>
      <c r="S31" s="5" t="s">
        <v>118</v>
      </c>
      <c r="T31" s="5"/>
      <c r="U31" s="5" t="s">
        <v>119</v>
      </c>
      <c r="X31" s="5" t="s">
        <v>120</v>
      </c>
      <c r="Y31" s="5" t="s">
        <v>121</v>
      </c>
      <c r="Z31" s="5" t="s">
        <v>122</v>
      </c>
      <c r="AA31" s="5" t="s">
        <v>123</v>
      </c>
      <c r="AG31" s="5"/>
      <c r="AH31" s="5"/>
      <c r="AI31" s="5" t="s">
        <v>57</v>
      </c>
      <c r="AJ31" s="5" t="s">
        <v>75</v>
      </c>
      <c r="AK31" s="5" t="s">
        <v>78</v>
      </c>
      <c r="AL31" s="5" t="s">
        <v>82</v>
      </c>
      <c r="AM31" s="5" t="s">
        <v>86</v>
      </c>
      <c r="AN31" s="5" t="s">
        <v>90</v>
      </c>
      <c r="AO31" s="5"/>
      <c r="AP31" s="5" t="s">
        <v>94</v>
      </c>
      <c r="AQ31" s="5" t="s">
        <v>98</v>
      </c>
      <c r="AR31" s="5" t="s">
        <v>100</v>
      </c>
      <c r="AS31" s="5" t="s">
        <v>102</v>
      </c>
      <c r="AT31" s="5" t="s">
        <v>104</v>
      </c>
      <c r="AU31" s="5" t="s">
        <v>108</v>
      </c>
      <c r="AX31" s="5" t="s">
        <v>118</v>
      </c>
      <c r="AY31" s="5"/>
      <c r="AZ31" s="5" t="s">
        <v>119</v>
      </c>
      <c r="BC31" s="5" t="s">
        <v>120</v>
      </c>
      <c r="BD31" s="5" t="s">
        <v>121</v>
      </c>
      <c r="BE31" s="5" t="s">
        <v>122</v>
      </c>
      <c r="BF31" s="5" t="s">
        <v>123</v>
      </c>
    </row>
    <row r="32" spans="1:58" x14ac:dyDescent="0.35">
      <c r="A32" s="5"/>
      <c r="B32" s="38" t="s">
        <v>124</v>
      </c>
      <c r="C32" s="43">
        <f t="shared" ref="C32:H32" si="58">AVERAGE(C3:C5)</f>
        <v>274.66666666666669</v>
      </c>
      <c r="D32" s="43">
        <f t="shared" si="58"/>
        <v>240.66666666666666</v>
      </c>
      <c r="E32" s="43">
        <f t="shared" si="58"/>
        <v>237</v>
      </c>
      <c r="F32" s="43">
        <f t="shared" si="58"/>
        <v>251.66666666666666</v>
      </c>
      <c r="G32" s="43">
        <f t="shared" si="58"/>
        <v>238.33333333333334</v>
      </c>
      <c r="H32" s="43">
        <f t="shared" si="58"/>
        <v>188</v>
      </c>
      <c r="I32" s="43"/>
      <c r="J32" s="43">
        <f t="shared" ref="J32:O32" si="59">AVERAGE(J3:J5)</f>
        <v>258.66666666666669</v>
      </c>
      <c r="K32" s="43">
        <f t="shared" si="59"/>
        <v>258</v>
      </c>
      <c r="L32" s="43">
        <f t="shared" si="59"/>
        <v>235</v>
      </c>
      <c r="M32" s="43">
        <f t="shared" si="59"/>
        <v>231.66666666666666</v>
      </c>
      <c r="N32" s="43">
        <f t="shared" si="59"/>
        <v>267</v>
      </c>
      <c r="O32" s="43">
        <f t="shared" si="59"/>
        <v>229.66666666666666</v>
      </c>
      <c r="P32" s="5"/>
      <c r="Q32" s="5"/>
      <c r="R32" s="5"/>
      <c r="S32" s="43">
        <f>AVERAGE(S3:S5)</f>
        <v>238.38888888888889</v>
      </c>
      <c r="T32" s="43"/>
      <c r="U32" s="43">
        <f>AVERAGE(U3:U5)</f>
        <v>246.66666666666666</v>
      </c>
      <c r="X32" s="5">
        <f>AVERAGE(C32:O32)</f>
        <v>242.52777777777774</v>
      </c>
      <c r="Y32" s="5">
        <f>_xlfn.STDEV.P(C32:O32)</f>
        <v>21.564055454721895</v>
      </c>
      <c r="Z32" s="5">
        <f>SQRT(Y32)</f>
        <v>4.6437113879656531</v>
      </c>
      <c r="AA32" s="5">
        <v>12</v>
      </c>
      <c r="AG32" s="5"/>
      <c r="AH32" s="38" t="s">
        <v>124</v>
      </c>
      <c r="AI32" s="5">
        <f t="shared" ref="AI32:AN32" si="60">AVERAGE(AI3:AI5)</f>
        <v>18.402666666666665</v>
      </c>
      <c r="AJ32" s="5">
        <f t="shared" si="60"/>
        <v>16.12466666666667</v>
      </c>
      <c r="AK32" s="5">
        <f t="shared" si="60"/>
        <v>15.879</v>
      </c>
      <c r="AL32" s="5">
        <f t="shared" si="60"/>
        <v>16.861666666666668</v>
      </c>
      <c r="AM32" s="5">
        <f t="shared" si="60"/>
        <v>15.968333333333334</v>
      </c>
      <c r="AN32" s="5">
        <f t="shared" si="60"/>
        <v>12.595999999999998</v>
      </c>
      <c r="AO32" s="5"/>
      <c r="AP32" s="5">
        <f t="shared" ref="AP32:AU32" si="61">AVERAGE(AP3:AP5)</f>
        <v>17.330666666666666</v>
      </c>
      <c r="AQ32" s="5">
        <f t="shared" si="61"/>
        <v>17.285999999999998</v>
      </c>
      <c r="AR32" s="5">
        <f t="shared" si="61"/>
        <v>15.744999999999999</v>
      </c>
      <c r="AS32" s="5">
        <f t="shared" si="61"/>
        <v>15.521666666666668</v>
      </c>
      <c r="AT32" s="5">
        <f t="shared" si="61"/>
        <v>17.888999999999999</v>
      </c>
      <c r="AU32" s="5">
        <f t="shared" si="61"/>
        <v>15.387666666666668</v>
      </c>
      <c r="AX32" s="5">
        <f>AVERAGE(AX3:AX5)</f>
        <v>15.972055555555555</v>
      </c>
      <c r="AY32" s="5"/>
      <c r="AZ32" s="5">
        <f>AVERAGE(AZ3:AZ5)</f>
        <v>16.526666666666667</v>
      </c>
      <c r="BC32" s="5">
        <f>AVERAGE(AH32:AT32)</f>
        <v>16.327696969696973</v>
      </c>
      <c r="BD32" s="5">
        <f>_xlfn.STDEV.P(AH32:AT32)</f>
        <v>1.4844361746661536</v>
      </c>
      <c r="BE32" s="5">
        <f>SQRT(BD32)</f>
        <v>1.2183743983957287</v>
      </c>
      <c r="BF32" s="5">
        <v>12</v>
      </c>
    </row>
    <row r="33" spans="1:58" x14ac:dyDescent="0.35">
      <c r="A33" s="5" t="s">
        <v>117</v>
      </c>
      <c r="B33" s="6" t="s">
        <v>125</v>
      </c>
      <c r="C33" s="43">
        <f t="shared" ref="C33:H33" si="62">AVERAGE(C6:C12)</f>
        <v>194.57142857142858</v>
      </c>
      <c r="D33" s="43">
        <f t="shared" si="62"/>
        <v>198</v>
      </c>
      <c r="E33" s="43">
        <f t="shared" si="62"/>
        <v>217.14285714285714</v>
      </c>
      <c r="F33" s="43">
        <f t="shared" si="62"/>
        <v>196</v>
      </c>
      <c r="G33" s="43">
        <f t="shared" si="62"/>
        <v>206.14285714285714</v>
      </c>
      <c r="H33" s="43">
        <f t="shared" si="62"/>
        <v>216.71428571428572</v>
      </c>
      <c r="I33" s="43"/>
      <c r="J33" s="43">
        <f>AVERAGE(J13:J19)</f>
        <v>182.57142857142858</v>
      </c>
      <c r="K33" s="43">
        <f t="shared" ref="K33:O33" si="63">AVERAGE(K13:K19)</f>
        <v>156.85714285714286</v>
      </c>
      <c r="L33" s="43">
        <f t="shared" si="63"/>
        <v>198</v>
      </c>
      <c r="M33" s="43">
        <f t="shared" si="63"/>
        <v>184.71428571428572</v>
      </c>
      <c r="N33" s="43">
        <f t="shared" si="63"/>
        <v>223.85714285714286</v>
      </c>
      <c r="O33" s="43">
        <f t="shared" si="63"/>
        <v>199.71428571428572</v>
      </c>
      <c r="P33" s="5"/>
      <c r="Q33" s="5"/>
      <c r="R33" s="5"/>
      <c r="S33" s="43">
        <f>AVERAGE(S6:S12)</f>
        <v>204.76190476190476</v>
      </c>
      <c r="T33" s="43"/>
      <c r="U33" s="43">
        <f>AVERAGE(U13:U19)</f>
        <v>190.95238095238096</v>
      </c>
      <c r="X33" s="5">
        <f>AVERAGE(C33:O33)</f>
        <v>197.85714285714286</v>
      </c>
      <c r="Y33" s="5">
        <f t="shared" ref="Y33:Y34" si="64">_xlfn.STDEV.P(C33:O33)</f>
        <v>17.26582878223385</v>
      </c>
      <c r="Z33" s="5">
        <f t="shared" ref="Z33:Z34" si="65">SQRT(Y33)</f>
        <v>4.1552170559711863</v>
      </c>
      <c r="AA33" s="5">
        <v>12</v>
      </c>
      <c r="AG33" s="5" t="s">
        <v>117</v>
      </c>
      <c r="AH33" s="6" t="s">
        <v>125</v>
      </c>
      <c r="AI33" s="5">
        <f t="shared" ref="AI33:AN33" si="66">AVERAGE(AI6:AI12)</f>
        <v>15.565714285714288</v>
      </c>
      <c r="AJ33" s="5">
        <f t="shared" si="66"/>
        <v>15.840000000000002</v>
      </c>
      <c r="AK33" s="5">
        <f t="shared" si="66"/>
        <v>17.37142857142857</v>
      </c>
      <c r="AL33" s="5">
        <f t="shared" si="66"/>
        <v>15.680000000000001</v>
      </c>
      <c r="AM33" s="5">
        <f t="shared" si="66"/>
        <v>16.491428571428571</v>
      </c>
      <c r="AN33" s="5">
        <f t="shared" si="66"/>
        <v>17.337142857142858</v>
      </c>
      <c r="AO33" s="5"/>
      <c r="AP33" s="5">
        <f>AVERAGE(AP13:AP19)</f>
        <v>14.605714285714287</v>
      </c>
      <c r="AQ33" s="5">
        <f t="shared" ref="AQ33:AU33" si="67">AVERAGE(AQ13:AQ19)</f>
        <v>12.54857142857143</v>
      </c>
      <c r="AR33" s="5">
        <f t="shared" si="67"/>
        <v>15.840000000000002</v>
      </c>
      <c r="AS33" s="5">
        <f t="shared" si="67"/>
        <v>14.777142857142858</v>
      </c>
      <c r="AT33" s="5">
        <f t="shared" si="67"/>
        <v>17.908571428571427</v>
      </c>
      <c r="AU33" s="5">
        <f t="shared" si="67"/>
        <v>15.977142857142857</v>
      </c>
      <c r="AX33" s="5">
        <f>AVERAGE(AX6:AX12)</f>
        <v>16.380952380952383</v>
      </c>
      <c r="AY33" s="5"/>
      <c r="AZ33" s="5">
        <f>AVERAGE(AZ13:AZ19)</f>
        <v>15.276190476190479</v>
      </c>
      <c r="BC33" s="5">
        <f>AVERAGE(AH33:AT33)</f>
        <v>15.815064935064937</v>
      </c>
      <c r="BD33" s="5">
        <f t="shared" ref="BD33:BD34" si="68">_xlfn.STDEV.P(AH33:AT33)</f>
        <v>1.441926710886591</v>
      </c>
      <c r="BE33" s="5">
        <f t="shared" ref="BE33:BE34" si="69">SQRT(BD33)</f>
        <v>1.2008025278481849</v>
      </c>
      <c r="BF33" s="5">
        <v>12</v>
      </c>
    </row>
    <row r="34" spans="1:58" x14ac:dyDescent="0.35">
      <c r="A34" s="5"/>
      <c r="B34" s="39" t="s">
        <v>126</v>
      </c>
      <c r="C34" s="43">
        <f t="shared" ref="C34:H34" si="70">AVERAGE(C13:C20)</f>
        <v>220.28571428571428</v>
      </c>
      <c r="D34" s="43">
        <f t="shared" si="70"/>
        <v>188.14285714285714</v>
      </c>
      <c r="E34" s="43">
        <f t="shared" si="70"/>
        <v>238</v>
      </c>
      <c r="F34" s="43">
        <f t="shared" si="70"/>
        <v>219.28571428571428</v>
      </c>
      <c r="G34" s="43">
        <f t="shared" si="70"/>
        <v>224.14285714285714</v>
      </c>
      <c r="H34" s="43">
        <f t="shared" si="70"/>
        <v>200.42857142857142</v>
      </c>
      <c r="I34" s="43"/>
      <c r="J34" s="43">
        <f>AVERAGE(J6:J12)</f>
        <v>187.85714285714286</v>
      </c>
      <c r="K34" s="43">
        <f t="shared" ref="K34:O34" si="71">AVERAGE(K6:K12)</f>
        <v>177.28571428571428</v>
      </c>
      <c r="L34" s="43">
        <f t="shared" si="71"/>
        <v>189.71428571428572</v>
      </c>
      <c r="M34" s="43">
        <f t="shared" si="71"/>
        <v>202.14285714285714</v>
      </c>
      <c r="N34" s="43">
        <f t="shared" si="71"/>
        <v>196.14285714285714</v>
      </c>
      <c r="O34" s="43">
        <f t="shared" si="71"/>
        <v>203.71428571428572</v>
      </c>
      <c r="P34" s="5"/>
      <c r="Q34" s="5"/>
      <c r="R34" s="5"/>
      <c r="S34" s="43">
        <f>AVERAGE(S13:S19)</f>
        <v>215.04761904761904</v>
      </c>
      <c r="T34" s="43"/>
      <c r="U34" s="43">
        <f>AVERAGE(U6:U12)</f>
        <v>192.80952380952382</v>
      </c>
      <c r="X34" s="5">
        <f>AVERAGE(C34:O34)</f>
        <v>203.92857142857144</v>
      </c>
      <c r="Y34" s="5">
        <f t="shared" si="64"/>
        <v>17.244194527375267</v>
      </c>
      <c r="Z34" s="5">
        <f t="shared" si="65"/>
        <v>4.152612975871369</v>
      </c>
      <c r="AA34" s="5">
        <v>12</v>
      </c>
      <c r="AG34" s="5"/>
      <c r="AH34" s="39" t="s">
        <v>126</v>
      </c>
      <c r="AI34" s="5">
        <f t="shared" ref="AI34:AN34" si="72">AVERAGE(AI13:AI20)</f>
        <v>17.622857142857146</v>
      </c>
      <c r="AJ34" s="5">
        <f t="shared" si="72"/>
        <v>15.051428571428573</v>
      </c>
      <c r="AK34" s="5">
        <f t="shared" si="72"/>
        <v>19.04</v>
      </c>
      <c r="AL34" s="5">
        <f t="shared" si="72"/>
        <v>17.542857142857141</v>
      </c>
      <c r="AM34" s="5">
        <f t="shared" si="72"/>
        <v>17.931428571428572</v>
      </c>
      <c r="AN34" s="5">
        <f t="shared" si="72"/>
        <v>16.034285714285716</v>
      </c>
      <c r="AO34" s="5"/>
      <c r="AP34" s="5">
        <f>AVERAGE(AP6:AP12)</f>
        <v>15.028571428571428</v>
      </c>
      <c r="AQ34" s="5">
        <f t="shared" ref="AQ34:AU34" si="73">AVERAGE(AQ6:AQ12)</f>
        <v>14.182857142857145</v>
      </c>
      <c r="AR34" s="5">
        <f t="shared" si="73"/>
        <v>15.177142857142858</v>
      </c>
      <c r="AS34" s="5">
        <f t="shared" si="73"/>
        <v>16.171428571428571</v>
      </c>
      <c r="AT34" s="5">
        <f t="shared" si="73"/>
        <v>15.69142857142857</v>
      </c>
      <c r="AU34" s="5">
        <f t="shared" si="73"/>
        <v>16.297142857142859</v>
      </c>
      <c r="AX34" s="5">
        <f>AVERAGE(AX13:AX19)</f>
        <v>17.203809523809525</v>
      </c>
      <c r="AY34" s="5"/>
      <c r="AZ34" s="5">
        <f>AVERAGE(AZ6:AZ12)</f>
        <v>15.424761904761905</v>
      </c>
      <c r="BC34" s="5">
        <f>AVERAGE(AH34:AT34)</f>
        <v>16.315844155844154</v>
      </c>
      <c r="BD34" s="5">
        <f t="shared" si="68"/>
        <v>1.4408677882213026</v>
      </c>
      <c r="BE34" s="5">
        <f t="shared" si="69"/>
        <v>1.2003615239673848</v>
      </c>
      <c r="BF34" s="5">
        <v>12</v>
      </c>
    </row>
    <row r="35" spans="1:58" x14ac:dyDescent="0.35">
      <c r="A35" s="5"/>
      <c r="B35" s="5"/>
      <c r="C35" s="5"/>
      <c r="D35" s="5"/>
      <c r="E35" s="5"/>
      <c r="F35" s="5"/>
      <c r="G35" s="5"/>
      <c r="H35" s="5"/>
      <c r="I35" s="5"/>
      <c r="J35" s="5"/>
      <c r="K35" s="5"/>
      <c r="L35" s="5"/>
      <c r="M35" s="5"/>
      <c r="N35" s="5"/>
      <c r="O35" s="5"/>
      <c r="P35" s="5"/>
      <c r="Q35" s="5"/>
      <c r="R35" s="5"/>
      <c r="S35" s="5"/>
      <c r="T35" s="5"/>
      <c r="U35" s="5"/>
    </row>
    <row r="36" spans="1:58" x14ac:dyDescent="0.35">
      <c r="A36" s="5"/>
      <c r="B36" s="5"/>
      <c r="C36" s="5"/>
      <c r="D36" s="5"/>
      <c r="E36" s="5"/>
      <c r="F36" s="5"/>
      <c r="G36" s="5"/>
      <c r="H36" s="5"/>
      <c r="I36" s="5"/>
      <c r="J36" s="5"/>
      <c r="K36" s="5"/>
      <c r="L36" s="5"/>
      <c r="M36" s="5"/>
      <c r="N36" s="5"/>
      <c r="O36" s="5"/>
      <c r="P36" s="5"/>
      <c r="Q36" s="5"/>
      <c r="R36" s="5"/>
      <c r="S36" s="5"/>
      <c r="T36" s="5"/>
      <c r="U36" s="5"/>
    </row>
    <row r="37" spans="1:58" x14ac:dyDescent="0.35">
      <c r="X37" t="s">
        <v>127</v>
      </c>
      <c r="Z37" t="s">
        <v>128</v>
      </c>
      <c r="BC37" t="s">
        <v>127</v>
      </c>
      <c r="BE37" t="s">
        <v>128</v>
      </c>
    </row>
    <row r="38" spans="1:58" x14ac:dyDescent="0.35">
      <c r="X38">
        <f>_xlfn.T.TEST(C33:H33,C34:H34,2,2)</f>
        <v>0.2488421232324719</v>
      </c>
      <c r="Z38">
        <f>_xlfn.T.TEST(J33:O33,J34:O34,2,2)</f>
        <v>0.855740139470341</v>
      </c>
      <c r="BC38">
        <f>_xlfn.T.TEST(AH33:AM33,AH34:AM34,2,2)</f>
        <v>0.12802699444420465</v>
      </c>
      <c r="BE38">
        <f>_xlfn.T.TEST(AO33:AT33,AO34:AT34,2,2)</f>
        <v>0.90583821358970895</v>
      </c>
    </row>
    <row r="39" spans="1:58" x14ac:dyDescent="0.35">
      <c r="X39">
        <f>_xlfn.T.TEST(C33:H33,J34:O34,2,2)</f>
        <v>6.7145890740984426E-2</v>
      </c>
      <c r="Z39">
        <f>_xlfn.T.TEST(C34:H34,J33:O33,2,2)</f>
        <v>6.5520275478979553E-2</v>
      </c>
      <c r="BC39">
        <f>_xlfn.T.TEST(AH33:AM33,AO34:AT34,2,2)</f>
        <v>8.2872427014261368E-2</v>
      </c>
      <c r="BE39">
        <f>_xlfn.T.TEST(AH34:AM34,AO33:AT33,2,2)</f>
        <v>6.8054960593157215E-2</v>
      </c>
    </row>
    <row r="41" spans="1:58" x14ac:dyDescent="0.35">
      <c r="X41">
        <f>_xlfn.T.TEST(S6:S12,S13:S19,2,2)</f>
        <v>0.53374143287053655</v>
      </c>
      <c r="Z41">
        <f>_xlfn.T.TEST(U6:U12,U13:U19,2,2)</f>
        <v>0.80578747293830921</v>
      </c>
      <c r="BC41">
        <f>_xlfn.T.TEST(AX6:AX12,AX13:AX19,2,2)</f>
        <v>0.53374143287053655</v>
      </c>
      <c r="BE41">
        <f>_xlfn.T.TEST(AZ6:AZ12,AZ13:AZ19,2,2)</f>
        <v>0.80578747293831321</v>
      </c>
    </row>
    <row r="42" spans="1:58" x14ac:dyDescent="0.35">
      <c r="X42">
        <f>_xlfn.T.TEST(S6:S12,U13:U19,2,2)</f>
        <v>0.34956818282088364</v>
      </c>
      <c r="Z42">
        <f>_xlfn.T.TEST(S13:S19,U6:U12,2,2)</f>
        <v>5.647570997568567E-2</v>
      </c>
      <c r="BC42">
        <f>_xlfn.T.TEST(AX6:AX12,AZ13:AZ19,2,2)</f>
        <v>0.34956818282088287</v>
      </c>
      <c r="BE42">
        <f>_xlfn.T.TEST(AX13:AX19,AZ6:AZ12,2,2)</f>
        <v>5.6475709975685358E-2</v>
      </c>
    </row>
    <row r="43" spans="1:58" x14ac:dyDescent="0.35">
      <c r="A43" s="5"/>
      <c r="B43" s="60" t="s">
        <v>129</v>
      </c>
      <c r="C43" s="60"/>
      <c r="D43" s="60"/>
      <c r="E43" s="60"/>
      <c r="F43" s="60"/>
      <c r="G43" s="60"/>
      <c r="H43" s="60"/>
      <c r="I43" s="60" t="s">
        <v>130</v>
      </c>
      <c r="J43" s="60"/>
      <c r="K43" s="60"/>
      <c r="L43" s="60"/>
      <c r="M43" s="60"/>
      <c r="N43" s="60"/>
      <c r="O43" s="60"/>
      <c r="X43">
        <f>_xlfn.T.TEST(S6:S12,U6:U12,2,2)</f>
        <v>0.41088477635776699</v>
      </c>
      <c r="Z43">
        <f>_xlfn.T.TEST(S13:S19,U13:U19,2,2)</f>
        <v>4.463039758103949E-2</v>
      </c>
      <c r="BC43">
        <f>_xlfn.T.TEST(AX6:AX12,AZ6:AZ12,2,2)</f>
        <v>0.41088477635776555</v>
      </c>
      <c r="BE43">
        <f>_xlfn.T.TEST(AX13:AX19,AZ13:AZ19,2,2)</f>
        <v>4.463039758103949E-2</v>
      </c>
    </row>
    <row r="44" spans="1:58" x14ac:dyDescent="0.35">
      <c r="A44" s="5" t="s">
        <v>117</v>
      </c>
      <c r="B44" s="5"/>
      <c r="C44" s="5" t="s">
        <v>57</v>
      </c>
      <c r="D44" s="5" t="s">
        <v>75</v>
      </c>
      <c r="E44" s="5" t="s">
        <v>78</v>
      </c>
      <c r="F44" s="5" t="s">
        <v>82</v>
      </c>
      <c r="G44" s="5" t="s">
        <v>86</v>
      </c>
      <c r="H44" s="5" t="s">
        <v>90</v>
      </c>
      <c r="I44" s="5"/>
      <c r="J44" s="5" t="s">
        <v>94</v>
      </c>
      <c r="K44" s="5" t="s">
        <v>98</v>
      </c>
      <c r="L44" s="5" t="s">
        <v>100</v>
      </c>
      <c r="M44" s="5" t="s">
        <v>102</v>
      </c>
      <c r="N44" s="5" t="s">
        <v>104</v>
      </c>
      <c r="O44" s="5" t="s">
        <v>108</v>
      </c>
    </row>
    <row r="45" spans="1:58" x14ac:dyDescent="0.35">
      <c r="A45" s="5">
        <v>1</v>
      </c>
      <c r="C45" s="9" cm="1">
        <f t="array" ref="C45:C61">FEDXA01!E4:E20</f>
        <v>26.7</v>
      </c>
      <c r="D45" s="9" cm="1">
        <f t="array" ref="D45:D61">FEDXA02!E4:E20</f>
        <v>24.7</v>
      </c>
      <c r="E45" s="9" cm="1">
        <f t="array" ref="E45:E61">FEDXA03!E4:E20</f>
        <v>25.3</v>
      </c>
      <c r="F45" s="9" cm="1">
        <f t="array" ref="F45:F61">FEDXA04!E4:E20</f>
        <v>25.6</v>
      </c>
      <c r="G45" s="9" cm="1">
        <f t="array" ref="G45:G61">FEDXA05!E4:E20</f>
        <v>26.4</v>
      </c>
      <c r="H45" s="9" cm="1">
        <f t="array" ref="H45:H61">FEDXA06!E4:E20</f>
        <v>23.5</v>
      </c>
      <c r="J45" s="9" cm="1">
        <f t="array" ref="J45:J61">FEDXA07!E4:E20</f>
        <v>26.6</v>
      </c>
      <c r="K45" s="9" cm="1">
        <f t="array" ref="K45:K61">FEDXA08!E4:E20</f>
        <v>26.2</v>
      </c>
      <c r="L45" s="9" cm="1">
        <f t="array" ref="L45:L61">FEDXA09!E4:E20</f>
        <v>25.4</v>
      </c>
      <c r="M45" s="9" cm="1">
        <f t="array" ref="M45:M61">FEDXA10!E4:E20</f>
        <v>26</v>
      </c>
      <c r="N45" s="9" cm="1">
        <f t="array" ref="N45:N61">FEDXA11!E4:E20</f>
        <v>27.2</v>
      </c>
      <c r="O45" s="9" cm="1">
        <f t="array" ref="O45:O61">FEDXA12!E4:E20</f>
        <v>24</v>
      </c>
    </row>
    <row r="46" spans="1:58" x14ac:dyDescent="0.35">
      <c r="A46" s="5">
        <v>2</v>
      </c>
      <c r="C46" s="9">
        <v>26.4</v>
      </c>
      <c r="D46" s="9">
        <v>25.9</v>
      </c>
      <c r="E46" s="9">
        <v>25</v>
      </c>
      <c r="F46" s="9">
        <v>25.8</v>
      </c>
      <c r="G46" s="9">
        <v>26.5</v>
      </c>
      <c r="H46" s="9">
        <v>24.6</v>
      </c>
      <c r="J46" s="9">
        <v>26.7</v>
      </c>
      <c r="K46" s="9">
        <v>26.1</v>
      </c>
      <c r="L46" s="9">
        <v>25</v>
      </c>
      <c r="M46" s="9">
        <v>26.2</v>
      </c>
      <c r="N46" s="9">
        <v>26.9</v>
      </c>
      <c r="O46" s="9">
        <v>24.1</v>
      </c>
    </row>
    <row r="47" spans="1:58" x14ac:dyDescent="0.35">
      <c r="A47" s="5">
        <v>3</v>
      </c>
      <c r="C47" s="9">
        <v>26.6</v>
      </c>
      <c r="D47" s="9">
        <v>25.3</v>
      </c>
      <c r="E47" s="9">
        <v>25</v>
      </c>
      <c r="F47" s="9">
        <v>26.4</v>
      </c>
      <c r="G47" s="9">
        <v>26.3</v>
      </c>
      <c r="H47" s="9">
        <v>25.1</v>
      </c>
      <c r="J47" s="9">
        <v>27.7</v>
      </c>
      <c r="K47" s="9">
        <v>26.4</v>
      </c>
      <c r="L47" s="9">
        <v>25.1</v>
      </c>
      <c r="M47" s="9">
        <v>26.3</v>
      </c>
      <c r="N47" s="9">
        <v>27.1</v>
      </c>
      <c r="O47" s="9">
        <v>24.1</v>
      </c>
    </row>
    <row r="48" spans="1:58" x14ac:dyDescent="0.35">
      <c r="A48" s="5">
        <v>4</v>
      </c>
      <c r="C48" s="40">
        <v>25.4</v>
      </c>
      <c r="D48" s="40">
        <v>25.1</v>
      </c>
      <c r="E48" s="40">
        <v>24.1</v>
      </c>
      <c r="F48" s="40">
        <v>25.1</v>
      </c>
      <c r="G48" s="40">
        <v>24.9</v>
      </c>
      <c r="H48" s="40">
        <v>24.9</v>
      </c>
      <c r="J48" s="42">
        <v>26.3</v>
      </c>
      <c r="K48" s="42">
        <v>25.3</v>
      </c>
      <c r="L48" s="42">
        <v>24.3</v>
      </c>
      <c r="M48" s="42">
        <v>25.2</v>
      </c>
      <c r="N48" s="42">
        <v>26.4</v>
      </c>
      <c r="O48" s="42">
        <v>24</v>
      </c>
    </row>
    <row r="49" spans="1:21" x14ac:dyDescent="0.35">
      <c r="A49" s="5">
        <v>5</v>
      </c>
      <c r="C49" s="40">
        <v>25.5</v>
      </c>
      <c r="D49" s="40">
        <v>24.5</v>
      </c>
      <c r="E49" s="40">
        <v>23.9</v>
      </c>
      <c r="F49" s="40">
        <v>25</v>
      </c>
      <c r="G49" s="40">
        <v>24.8</v>
      </c>
      <c r="H49" s="40">
        <v>23.6</v>
      </c>
      <c r="J49" s="42">
        <v>26.6</v>
      </c>
      <c r="K49" s="42">
        <v>26.5</v>
      </c>
      <c r="L49" s="42">
        <v>24.9</v>
      </c>
      <c r="M49" s="42">
        <v>25.7</v>
      </c>
      <c r="N49" s="42">
        <v>26.1</v>
      </c>
      <c r="O49" s="42">
        <v>23.8</v>
      </c>
    </row>
    <row r="50" spans="1:21" x14ac:dyDescent="0.35">
      <c r="A50" s="5">
        <v>6</v>
      </c>
      <c r="C50" s="40">
        <v>24.9</v>
      </c>
      <c r="D50" s="40">
        <v>24.7</v>
      </c>
      <c r="E50" s="40">
        <v>23.9</v>
      </c>
      <c r="F50" s="40">
        <v>24</v>
      </c>
      <c r="G50" s="40">
        <v>24.2</v>
      </c>
      <c r="H50" s="40">
        <v>23.2</v>
      </c>
      <c r="J50" s="42">
        <v>25.6</v>
      </c>
      <c r="K50" s="42">
        <v>25.9</v>
      </c>
      <c r="L50" s="42">
        <v>24.5</v>
      </c>
      <c r="M50" s="42">
        <v>25.9</v>
      </c>
      <c r="N50" s="42">
        <v>26.4</v>
      </c>
      <c r="O50" s="42">
        <v>23.6</v>
      </c>
    </row>
    <row r="51" spans="1:21" x14ac:dyDescent="0.35">
      <c r="A51" s="5">
        <v>7</v>
      </c>
      <c r="C51" s="40">
        <v>24.8</v>
      </c>
      <c r="D51" s="40">
        <v>24.4</v>
      </c>
      <c r="E51" s="40">
        <v>23.2</v>
      </c>
      <c r="F51" s="40">
        <v>23.6</v>
      </c>
      <c r="G51" s="40">
        <v>24.2</v>
      </c>
      <c r="H51" s="40">
        <v>23.1</v>
      </c>
      <c r="J51" s="42">
        <v>25.5</v>
      </c>
      <c r="K51" s="42">
        <v>26.3</v>
      </c>
      <c r="L51" s="42">
        <v>24.5</v>
      </c>
      <c r="M51" s="42">
        <v>25.4</v>
      </c>
      <c r="N51" s="42">
        <v>26.4</v>
      </c>
      <c r="O51" s="42">
        <v>23.9</v>
      </c>
    </row>
    <row r="52" spans="1:21" x14ac:dyDescent="0.35">
      <c r="A52" s="5">
        <v>8</v>
      </c>
      <c r="C52" s="40">
        <v>25.3</v>
      </c>
      <c r="D52" s="40">
        <v>24.7</v>
      </c>
      <c r="E52" s="40">
        <v>23.2</v>
      </c>
      <c r="F52" s="40">
        <v>23.6</v>
      </c>
      <c r="G52" s="40">
        <v>24.2</v>
      </c>
      <c r="H52" s="40">
        <v>22.7</v>
      </c>
      <c r="J52" s="42">
        <v>26.1</v>
      </c>
      <c r="K52" s="42">
        <v>25.9</v>
      </c>
      <c r="L52" s="42">
        <v>24.7</v>
      </c>
      <c r="M52" s="42">
        <v>26</v>
      </c>
      <c r="N52" s="42">
        <v>26.3</v>
      </c>
      <c r="O52" s="42">
        <v>23.8</v>
      </c>
    </row>
    <row r="53" spans="1:21" x14ac:dyDescent="0.35">
      <c r="A53" s="5">
        <v>9</v>
      </c>
      <c r="C53" s="40">
        <v>25.1</v>
      </c>
      <c r="D53" s="40">
        <v>25.3</v>
      </c>
      <c r="E53" s="40">
        <v>23.2</v>
      </c>
      <c r="F53" s="40">
        <v>23.5</v>
      </c>
      <c r="G53" s="40">
        <v>24.2</v>
      </c>
      <c r="H53" s="40">
        <v>23.6</v>
      </c>
      <c r="J53" s="42">
        <v>25.7</v>
      </c>
      <c r="K53" s="42">
        <v>26.1</v>
      </c>
      <c r="L53" s="42">
        <v>25.1</v>
      </c>
      <c r="M53" s="42">
        <v>25.4</v>
      </c>
      <c r="N53" s="42">
        <v>26.4</v>
      </c>
      <c r="O53" s="42">
        <v>24</v>
      </c>
    </row>
    <row r="54" spans="1:21" x14ac:dyDescent="0.35">
      <c r="A54" s="5">
        <v>10</v>
      </c>
      <c r="C54" s="40">
        <v>25.7</v>
      </c>
      <c r="D54" s="40">
        <v>25</v>
      </c>
      <c r="E54" s="40">
        <v>23.8</v>
      </c>
      <c r="F54" s="40">
        <v>23.6</v>
      </c>
      <c r="G54" s="40">
        <v>24.4</v>
      </c>
      <c r="H54" s="40">
        <v>23.2</v>
      </c>
      <c r="J54" s="42">
        <v>25.8</v>
      </c>
      <c r="K54" s="42">
        <v>26.7</v>
      </c>
      <c r="L54" s="42">
        <v>25</v>
      </c>
      <c r="M54" s="42">
        <v>25</v>
      </c>
      <c r="N54" s="42">
        <v>26.3</v>
      </c>
      <c r="O54" s="42">
        <v>24</v>
      </c>
    </row>
    <row r="55" spans="1:21" x14ac:dyDescent="0.35">
      <c r="A55" s="5">
        <v>11</v>
      </c>
      <c r="C55" s="42">
        <v>26.7</v>
      </c>
      <c r="D55" s="42">
        <v>25.9</v>
      </c>
      <c r="E55" s="42">
        <v>24.6</v>
      </c>
      <c r="F55" s="42">
        <v>24.9</v>
      </c>
      <c r="G55" s="42">
        <v>25.3</v>
      </c>
      <c r="H55" s="42">
        <v>23.7</v>
      </c>
      <c r="J55" s="40">
        <v>25.5</v>
      </c>
      <c r="K55" s="40">
        <v>26</v>
      </c>
      <c r="L55" s="40">
        <v>24.5</v>
      </c>
      <c r="M55" s="40">
        <v>25</v>
      </c>
      <c r="N55" s="40">
        <v>26.2</v>
      </c>
      <c r="O55" s="40">
        <v>23.8</v>
      </c>
    </row>
    <row r="56" spans="1:21" x14ac:dyDescent="0.35">
      <c r="A56" s="5">
        <v>12</v>
      </c>
      <c r="C56" s="42">
        <v>26.7</v>
      </c>
      <c r="D56" s="42">
        <v>25.5</v>
      </c>
      <c r="E56" s="42">
        <v>25.3</v>
      </c>
      <c r="F56" s="42">
        <v>25</v>
      </c>
      <c r="G56" s="42">
        <v>25.3</v>
      </c>
      <c r="H56" s="42">
        <v>23.6</v>
      </c>
      <c r="J56" s="40">
        <v>25.7</v>
      </c>
      <c r="K56" s="40">
        <v>25.8</v>
      </c>
      <c r="L56" s="40">
        <v>24.3</v>
      </c>
      <c r="M56" s="40">
        <v>24.6</v>
      </c>
      <c r="N56" s="40">
        <v>24.4</v>
      </c>
      <c r="O56" s="40">
        <v>24</v>
      </c>
    </row>
    <row r="57" spans="1:21" x14ac:dyDescent="0.35">
      <c r="A57" s="5">
        <v>13</v>
      </c>
      <c r="C57" s="42">
        <v>24.9</v>
      </c>
      <c r="D57" s="42">
        <v>25.4</v>
      </c>
      <c r="E57" s="42">
        <v>24.9</v>
      </c>
      <c r="F57" s="42">
        <v>24.5</v>
      </c>
      <c r="G57" s="42">
        <v>24.9</v>
      </c>
      <c r="H57" s="42">
        <v>23.6</v>
      </c>
      <c r="J57" s="40">
        <v>25.6</v>
      </c>
      <c r="K57" s="40">
        <v>25.8</v>
      </c>
      <c r="L57" s="40">
        <v>24.9</v>
      </c>
      <c r="M57" s="40">
        <v>25.1</v>
      </c>
      <c r="N57" s="40">
        <v>25.9</v>
      </c>
      <c r="O57" s="40">
        <v>24</v>
      </c>
    </row>
    <row r="58" spans="1:21" x14ac:dyDescent="0.35">
      <c r="A58" s="5">
        <v>14</v>
      </c>
      <c r="C58" s="42">
        <v>26.4</v>
      </c>
      <c r="D58" s="42">
        <v>25.5</v>
      </c>
      <c r="E58" s="42">
        <v>25.4</v>
      </c>
      <c r="F58" s="42">
        <v>25</v>
      </c>
      <c r="G58" s="42">
        <v>25.9</v>
      </c>
      <c r="H58" s="42">
        <v>23.6</v>
      </c>
      <c r="J58" s="40">
        <v>25.1</v>
      </c>
      <c r="K58" s="40">
        <v>26</v>
      </c>
      <c r="L58" s="40">
        <v>24.9</v>
      </c>
      <c r="M58" s="40">
        <v>25.1</v>
      </c>
      <c r="N58" s="40">
        <v>26.4</v>
      </c>
      <c r="O58" s="40">
        <v>24.3</v>
      </c>
    </row>
    <row r="59" spans="1:21" x14ac:dyDescent="0.35">
      <c r="A59" s="5">
        <v>15</v>
      </c>
      <c r="C59" s="42">
        <v>26.9</v>
      </c>
      <c r="D59" s="42">
        <v>25.5</v>
      </c>
      <c r="E59" s="42">
        <v>25.4</v>
      </c>
      <c r="F59" s="42">
        <v>25.1</v>
      </c>
      <c r="G59" s="42">
        <v>26.8</v>
      </c>
      <c r="H59" s="42">
        <v>23.3</v>
      </c>
      <c r="J59" s="40">
        <v>25.5</v>
      </c>
      <c r="K59" s="40">
        <v>25.7</v>
      </c>
      <c r="L59" s="40">
        <v>24.9</v>
      </c>
      <c r="M59" s="40">
        <v>24.3</v>
      </c>
      <c r="N59" s="40">
        <v>26.5</v>
      </c>
      <c r="O59" s="40">
        <v>25.8</v>
      </c>
    </row>
    <row r="60" spans="1:21" x14ac:dyDescent="0.35">
      <c r="A60" s="5">
        <v>16</v>
      </c>
      <c r="C60" s="42">
        <v>26.1</v>
      </c>
      <c r="D60" s="42">
        <v>25.2</v>
      </c>
      <c r="E60" s="42">
        <v>24.5</v>
      </c>
      <c r="F60" s="42">
        <v>25.2</v>
      </c>
      <c r="G60" s="42">
        <v>26</v>
      </c>
      <c r="H60" s="42">
        <v>23.8</v>
      </c>
      <c r="J60" s="40">
        <v>26.5</v>
      </c>
      <c r="K60" s="40">
        <v>25.7</v>
      </c>
      <c r="L60" s="40">
        <v>24.3</v>
      </c>
      <c r="M60" s="40">
        <v>23.5</v>
      </c>
      <c r="N60" s="40">
        <v>27.3</v>
      </c>
      <c r="O60" s="40">
        <v>24.7</v>
      </c>
    </row>
    <row r="61" spans="1:21" x14ac:dyDescent="0.35">
      <c r="A61" s="5">
        <v>17</v>
      </c>
      <c r="C61" s="42">
        <v>27.2</v>
      </c>
      <c r="D61" s="42">
        <v>25.3</v>
      </c>
      <c r="E61" s="42">
        <v>25.8</v>
      </c>
      <c r="F61" s="42">
        <v>25.5</v>
      </c>
      <c r="G61" s="42">
        <v>26.4</v>
      </c>
      <c r="H61" s="42">
        <v>24.2</v>
      </c>
      <c r="J61" s="40">
        <v>25.7</v>
      </c>
      <c r="K61" s="40">
        <v>25.7</v>
      </c>
      <c r="L61" s="40">
        <v>25.5</v>
      </c>
      <c r="M61" s="40">
        <v>25.4</v>
      </c>
      <c r="N61" s="40">
        <v>27</v>
      </c>
      <c r="O61" s="40">
        <v>24.7</v>
      </c>
    </row>
    <row r="62" spans="1:21" x14ac:dyDescent="0.35">
      <c r="A62" s="5"/>
    </row>
    <row r="64" spans="1:21" x14ac:dyDescent="0.35">
      <c r="A64" t="s">
        <v>131</v>
      </c>
      <c r="C64" s="41">
        <f>AVERAGE(_xlfn.ANCHORARRAY(C45))</f>
        <v>25.958823529411763</v>
      </c>
      <c r="D64" s="41">
        <f t="shared" ref="D64:O64" si="74">AVERAGE(_xlfn.ANCHORARRAY(D45))</f>
        <v>25.170588235294115</v>
      </c>
      <c r="E64" s="41">
        <f t="shared" si="74"/>
        <v>24.499999999999996</v>
      </c>
      <c r="F64" s="41">
        <f t="shared" si="74"/>
        <v>24.788235294117644</v>
      </c>
      <c r="G64" s="41">
        <f t="shared" si="74"/>
        <v>25.335294117647056</v>
      </c>
      <c r="H64" s="41">
        <f t="shared" si="74"/>
        <v>23.723529411764705</v>
      </c>
      <c r="I64" s="41"/>
      <c r="J64" s="41">
        <f t="shared" si="74"/>
        <v>26.011764705882353</v>
      </c>
      <c r="K64" s="41">
        <f t="shared" si="74"/>
        <v>26.005882352941178</v>
      </c>
      <c r="L64" s="41">
        <f t="shared" si="74"/>
        <v>24.81176470588235</v>
      </c>
      <c r="M64" s="41">
        <f t="shared" si="74"/>
        <v>25.300000000000004</v>
      </c>
      <c r="N64" s="41">
        <f t="shared" si="74"/>
        <v>26.423529411764701</v>
      </c>
      <c r="O64" s="41">
        <f t="shared" si="74"/>
        <v>24.152941176470591</v>
      </c>
      <c r="T64">
        <f>AVERAGE(C64:H64)</f>
        <v>24.912745098039213</v>
      </c>
      <c r="U64">
        <f>AVERAGE(J64:O64)</f>
        <v>25.450980392156861</v>
      </c>
    </row>
    <row r="73" spans="1:15" x14ac:dyDescent="0.35">
      <c r="A73" s="5"/>
      <c r="B73" s="60" t="s">
        <v>132</v>
      </c>
      <c r="C73" s="60"/>
      <c r="D73" s="60"/>
      <c r="E73" s="60"/>
      <c r="F73" s="60"/>
      <c r="G73" s="60"/>
      <c r="H73" s="60"/>
      <c r="I73" s="60" t="s">
        <v>132</v>
      </c>
      <c r="J73" s="60"/>
      <c r="K73" s="60"/>
      <c r="L73" s="60"/>
      <c r="M73" s="60"/>
      <c r="N73" s="60"/>
      <c r="O73" s="60"/>
    </row>
    <row r="74" spans="1:15" x14ac:dyDescent="0.35">
      <c r="A74" s="5" t="s">
        <v>117</v>
      </c>
      <c r="B74" s="5"/>
      <c r="C74" s="5" t="s">
        <v>57</v>
      </c>
      <c r="D74" s="5" t="s">
        <v>75</v>
      </c>
      <c r="E74" s="5" t="s">
        <v>78</v>
      </c>
      <c r="F74" s="5" t="s">
        <v>82</v>
      </c>
      <c r="G74" s="5" t="s">
        <v>86</v>
      </c>
      <c r="H74" s="5" t="s">
        <v>90</v>
      </c>
      <c r="I74" s="5"/>
      <c r="J74" s="5" t="s">
        <v>94</v>
      </c>
      <c r="K74" s="5" t="s">
        <v>98</v>
      </c>
      <c r="L74" s="5" t="s">
        <v>100</v>
      </c>
      <c r="M74" s="5" t="s">
        <v>102</v>
      </c>
      <c r="N74" s="5" t="s">
        <v>104</v>
      </c>
      <c r="O74" s="5" t="s">
        <v>108</v>
      </c>
    </row>
    <row r="75" spans="1:15" x14ac:dyDescent="0.35">
      <c r="A75" s="5">
        <v>1</v>
      </c>
      <c r="B75" s="5"/>
      <c r="C75" s="38" cm="1">
        <f t="array" ref="C75:C91">FEDXA01!K4:K20</f>
        <v>0</v>
      </c>
      <c r="D75" s="38" cm="1">
        <f t="array" ref="D75:D91">FEDXA02!K4:K20</f>
        <v>0</v>
      </c>
      <c r="E75" s="38" cm="1">
        <f t="array" ref="E75:E91">FEDXA03!K4:K20</f>
        <v>0</v>
      </c>
      <c r="F75" s="38" cm="1">
        <f t="array" ref="F75:F91">FEDXA04!K4:K20</f>
        <v>0</v>
      </c>
      <c r="G75" s="38" cm="1">
        <f t="array" ref="G75:G91">FEDXA05!K4:K20</f>
        <v>0</v>
      </c>
      <c r="H75" s="38" cm="1">
        <f t="array" ref="H75:H91">FEDXA06!K4:K20</f>
        <v>0</v>
      </c>
      <c r="I75" s="5"/>
      <c r="J75" s="38" cm="1">
        <f t="array" ref="J75:J91">FEDXA07!K4:K20</f>
        <v>0</v>
      </c>
      <c r="K75" s="38" cm="1">
        <f t="array" ref="K75:K91">FEDXA08!K4:K20</f>
        <v>0</v>
      </c>
      <c r="L75" s="38" cm="1">
        <f t="array" ref="L75:L91">FEDXA09!K4:K20</f>
        <v>0</v>
      </c>
      <c r="M75" s="38" cm="1">
        <f t="array" ref="M75:M91">FEDXA10!K4:K20</f>
        <v>0</v>
      </c>
      <c r="N75" s="38" cm="1">
        <f t="array" ref="N75:N91">FEDXA11!K4:K20</f>
        <v>15</v>
      </c>
      <c r="O75" s="38" cm="1">
        <f t="array" ref="O75:O91">FEDXA12!K4:K20</f>
        <v>0</v>
      </c>
    </row>
    <row r="76" spans="1:15" x14ac:dyDescent="0.35">
      <c r="A76" s="5">
        <v>2</v>
      </c>
      <c r="B76" s="5"/>
      <c r="C76" s="38">
        <v>0</v>
      </c>
      <c r="D76" s="38">
        <v>0</v>
      </c>
      <c r="E76" s="38">
        <v>0</v>
      </c>
      <c r="F76" s="38">
        <v>0</v>
      </c>
      <c r="G76" s="38">
        <v>0</v>
      </c>
      <c r="H76" s="38">
        <v>0</v>
      </c>
      <c r="I76" s="5"/>
      <c r="J76" s="38">
        <v>0</v>
      </c>
      <c r="K76" s="38">
        <v>0</v>
      </c>
      <c r="L76" s="38">
        <v>0</v>
      </c>
      <c r="M76" s="38">
        <v>0</v>
      </c>
      <c r="N76" s="38">
        <v>0</v>
      </c>
      <c r="O76" s="38">
        <v>0</v>
      </c>
    </row>
    <row r="77" spans="1:15" x14ac:dyDescent="0.35">
      <c r="A77" s="5">
        <v>3</v>
      </c>
      <c r="B77" s="5"/>
      <c r="C77" s="38">
        <v>0</v>
      </c>
      <c r="D77" s="38">
        <v>0</v>
      </c>
      <c r="E77" s="38">
        <v>0</v>
      </c>
      <c r="F77" s="38">
        <v>0</v>
      </c>
      <c r="G77" s="38">
        <v>0</v>
      </c>
      <c r="H77" s="38">
        <v>0</v>
      </c>
      <c r="I77" s="5"/>
      <c r="J77" s="38">
        <v>0</v>
      </c>
      <c r="K77" s="38">
        <v>0</v>
      </c>
      <c r="L77" s="38">
        <v>0</v>
      </c>
      <c r="M77" s="38">
        <v>0</v>
      </c>
      <c r="N77" s="38">
        <v>0</v>
      </c>
      <c r="O77" s="38">
        <v>0</v>
      </c>
    </row>
    <row r="78" spans="1:15" x14ac:dyDescent="0.35">
      <c r="A78" s="5">
        <v>4</v>
      </c>
      <c r="B78" s="5"/>
      <c r="C78" s="6">
        <v>0</v>
      </c>
      <c r="D78" s="6">
        <v>0</v>
      </c>
      <c r="E78" s="6">
        <v>0</v>
      </c>
      <c r="F78" s="6">
        <v>0</v>
      </c>
      <c r="G78" s="6">
        <v>0</v>
      </c>
      <c r="H78" s="6">
        <v>0</v>
      </c>
      <c r="I78" s="5"/>
      <c r="J78" s="39">
        <v>0</v>
      </c>
      <c r="K78" s="39">
        <v>0</v>
      </c>
      <c r="L78" s="39">
        <v>0</v>
      </c>
      <c r="M78" s="39">
        <v>0</v>
      </c>
      <c r="N78" s="39">
        <v>0</v>
      </c>
      <c r="O78" s="39">
        <v>0</v>
      </c>
    </row>
    <row r="79" spans="1:15" x14ac:dyDescent="0.35">
      <c r="A79" s="5">
        <v>5</v>
      </c>
      <c r="B79" s="5"/>
      <c r="C79" s="6">
        <v>0</v>
      </c>
      <c r="D79" s="6">
        <v>0</v>
      </c>
      <c r="E79" s="6">
        <v>0</v>
      </c>
      <c r="F79" s="6">
        <v>0</v>
      </c>
      <c r="G79" s="6">
        <v>0</v>
      </c>
      <c r="H79" s="6">
        <v>0</v>
      </c>
      <c r="I79" s="5"/>
      <c r="J79" s="39">
        <v>0</v>
      </c>
      <c r="K79" s="39">
        <v>0</v>
      </c>
      <c r="L79" s="39">
        <v>0</v>
      </c>
      <c r="M79" s="39">
        <v>0</v>
      </c>
      <c r="N79" s="39">
        <v>0</v>
      </c>
      <c r="O79" s="39">
        <v>0</v>
      </c>
    </row>
    <row r="80" spans="1:15" x14ac:dyDescent="0.35">
      <c r="A80" s="5">
        <v>6</v>
      </c>
      <c r="B80" s="5"/>
      <c r="C80" s="6">
        <v>0</v>
      </c>
      <c r="D80" s="6">
        <v>0</v>
      </c>
      <c r="E80" s="6">
        <v>0</v>
      </c>
      <c r="F80" s="6">
        <v>0</v>
      </c>
      <c r="G80" s="6">
        <v>0</v>
      </c>
      <c r="H80" s="6">
        <v>0</v>
      </c>
      <c r="I80" s="5"/>
      <c r="J80" s="39">
        <v>0</v>
      </c>
      <c r="K80" s="39">
        <v>0</v>
      </c>
      <c r="L80" s="39">
        <v>0</v>
      </c>
      <c r="M80" s="39">
        <v>0</v>
      </c>
      <c r="N80" s="39">
        <v>0</v>
      </c>
      <c r="O80" s="39">
        <v>0</v>
      </c>
    </row>
    <row r="81" spans="1:15" x14ac:dyDescent="0.35">
      <c r="A81" s="5">
        <v>7</v>
      </c>
      <c r="B81" s="5"/>
      <c r="C81" s="6">
        <v>0</v>
      </c>
      <c r="D81" s="6">
        <v>0</v>
      </c>
      <c r="E81" s="6">
        <v>35</v>
      </c>
      <c r="F81" s="6">
        <v>0</v>
      </c>
      <c r="G81" s="6">
        <v>25</v>
      </c>
      <c r="H81" s="6">
        <v>0</v>
      </c>
      <c r="I81" s="5"/>
      <c r="J81" s="39">
        <v>0</v>
      </c>
      <c r="K81" s="39">
        <v>0</v>
      </c>
      <c r="L81" s="39">
        <v>0</v>
      </c>
      <c r="M81" s="39">
        <v>0</v>
      </c>
      <c r="N81" s="39">
        <v>0</v>
      </c>
      <c r="O81" s="39">
        <v>0</v>
      </c>
    </row>
    <row r="82" spans="1:15" x14ac:dyDescent="0.35">
      <c r="A82" s="5">
        <v>8</v>
      </c>
      <c r="B82" s="5"/>
      <c r="C82" s="6">
        <v>0</v>
      </c>
      <c r="D82" s="6">
        <v>0</v>
      </c>
      <c r="E82" s="6">
        <v>10</v>
      </c>
      <c r="F82" s="6">
        <v>25</v>
      </c>
      <c r="G82" s="6">
        <v>30</v>
      </c>
      <c r="H82" s="6">
        <v>5</v>
      </c>
      <c r="I82" s="5"/>
      <c r="J82" s="39">
        <v>0</v>
      </c>
      <c r="K82" s="39">
        <v>0</v>
      </c>
      <c r="L82" s="39">
        <v>0</v>
      </c>
      <c r="M82" s="39">
        <v>0</v>
      </c>
      <c r="N82" s="39">
        <v>0</v>
      </c>
      <c r="O82" s="39">
        <v>0</v>
      </c>
    </row>
    <row r="83" spans="1:15" x14ac:dyDescent="0.35">
      <c r="A83" s="5">
        <v>9</v>
      </c>
      <c r="B83" s="5"/>
      <c r="C83" s="6">
        <v>12</v>
      </c>
      <c r="D83" s="6">
        <v>0</v>
      </c>
      <c r="E83" s="6">
        <v>25</v>
      </c>
      <c r="F83" s="6">
        <v>32</v>
      </c>
      <c r="G83" s="6">
        <v>26</v>
      </c>
      <c r="H83" s="6">
        <v>0</v>
      </c>
      <c r="I83" s="5"/>
      <c r="J83" s="39">
        <v>0</v>
      </c>
      <c r="K83" s="39">
        <v>0</v>
      </c>
      <c r="L83" s="39">
        <v>0</v>
      </c>
      <c r="M83" s="39">
        <v>0</v>
      </c>
      <c r="N83" s="39">
        <v>0</v>
      </c>
      <c r="O83" s="39">
        <v>3</v>
      </c>
    </row>
    <row r="84" spans="1:15" x14ac:dyDescent="0.35">
      <c r="A84" s="5">
        <v>10</v>
      </c>
      <c r="B84" s="5"/>
      <c r="C84" s="6">
        <v>10</v>
      </c>
      <c r="D84" s="6">
        <v>0</v>
      </c>
      <c r="E84" s="6">
        <v>50</v>
      </c>
      <c r="F84" s="6">
        <v>70</v>
      </c>
      <c r="G84" s="6">
        <v>30</v>
      </c>
      <c r="H84" s="6">
        <v>0</v>
      </c>
      <c r="I84" s="5"/>
      <c r="J84" s="39">
        <v>0</v>
      </c>
      <c r="K84" s="39">
        <v>0</v>
      </c>
      <c r="L84" s="39">
        <v>0</v>
      </c>
      <c r="M84" s="39">
        <v>0</v>
      </c>
      <c r="N84" s="39">
        <v>0</v>
      </c>
      <c r="O84" s="39">
        <v>0</v>
      </c>
    </row>
    <row r="85" spans="1:15" x14ac:dyDescent="0.35">
      <c r="A85" s="5">
        <v>11</v>
      </c>
      <c r="B85" s="5"/>
      <c r="C85" s="39">
        <v>5</v>
      </c>
      <c r="D85" s="39">
        <v>0</v>
      </c>
      <c r="E85" s="39">
        <v>70</v>
      </c>
      <c r="F85" s="39">
        <v>32</v>
      </c>
      <c r="G85" s="39">
        <v>45</v>
      </c>
      <c r="H85" s="39">
        <v>0</v>
      </c>
      <c r="I85" s="5"/>
      <c r="J85" s="6">
        <v>0</v>
      </c>
      <c r="K85" s="6">
        <v>0</v>
      </c>
      <c r="L85" s="6">
        <v>0</v>
      </c>
      <c r="M85" s="6">
        <v>0</v>
      </c>
      <c r="N85" s="6">
        <v>0</v>
      </c>
      <c r="O85" s="6">
        <v>40</v>
      </c>
    </row>
    <row r="86" spans="1:15" x14ac:dyDescent="0.35">
      <c r="A86" s="5">
        <v>12</v>
      </c>
      <c r="B86" s="5"/>
      <c r="C86" s="39">
        <v>17</v>
      </c>
      <c r="D86" s="39">
        <v>0</v>
      </c>
      <c r="E86" s="39">
        <v>45</v>
      </c>
      <c r="F86" s="39">
        <v>25</v>
      </c>
      <c r="G86" s="39">
        <v>45</v>
      </c>
      <c r="H86" s="39">
        <v>0</v>
      </c>
      <c r="I86" s="5"/>
      <c r="J86" s="6">
        <v>0</v>
      </c>
      <c r="K86" s="6">
        <v>0</v>
      </c>
      <c r="L86" s="6">
        <v>0</v>
      </c>
      <c r="M86" s="6">
        <v>0</v>
      </c>
      <c r="N86" s="6">
        <v>0</v>
      </c>
      <c r="O86" s="6">
        <v>40</v>
      </c>
    </row>
    <row r="87" spans="1:15" x14ac:dyDescent="0.35">
      <c r="A87" s="5">
        <v>13</v>
      </c>
      <c r="B87" s="5"/>
      <c r="C87" s="39">
        <v>10</v>
      </c>
      <c r="D87" s="39">
        <v>0</v>
      </c>
      <c r="E87" s="39">
        <v>40</v>
      </c>
      <c r="F87" s="39">
        <v>25</v>
      </c>
      <c r="G87" s="39">
        <v>25</v>
      </c>
      <c r="H87" s="39">
        <v>0</v>
      </c>
      <c r="I87" s="5"/>
      <c r="J87" s="6">
        <v>0</v>
      </c>
      <c r="K87" s="6">
        <v>0</v>
      </c>
      <c r="L87" s="6">
        <v>5</v>
      </c>
      <c r="M87" s="6">
        <v>0</v>
      </c>
      <c r="N87" s="6">
        <v>0</v>
      </c>
      <c r="O87" s="6">
        <v>34</v>
      </c>
    </row>
    <row r="88" spans="1:15" x14ac:dyDescent="0.35">
      <c r="A88" s="5">
        <v>14</v>
      </c>
      <c r="B88" s="5"/>
      <c r="C88" s="39">
        <v>10</v>
      </c>
      <c r="D88" s="39">
        <v>0</v>
      </c>
      <c r="E88" s="39">
        <v>55</v>
      </c>
      <c r="F88" s="39">
        <v>13</v>
      </c>
      <c r="G88" s="39">
        <v>20</v>
      </c>
      <c r="H88" s="39">
        <v>0</v>
      </c>
      <c r="I88" s="5"/>
      <c r="J88" s="6">
        <v>0</v>
      </c>
      <c r="K88" s="6">
        <v>0</v>
      </c>
      <c r="L88" s="6">
        <v>7</v>
      </c>
      <c r="M88" s="6">
        <v>0</v>
      </c>
      <c r="N88" s="6">
        <v>0</v>
      </c>
      <c r="O88" s="6">
        <v>40</v>
      </c>
    </row>
    <row r="89" spans="1:15" x14ac:dyDescent="0.35">
      <c r="A89" s="5">
        <v>15</v>
      </c>
      <c r="B89" s="5"/>
      <c r="C89" s="39">
        <v>11</v>
      </c>
      <c r="D89" s="39">
        <v>0</v>
      </c>
      <c r="E89" s="39">
        <v>45</v>
      </c>
      <c r="F89" s="39">
        <v>40</v>
      </c>
      <c r="G89" s="39">
        <v>38</v>
      </c>
      <c r="H89" s="39">
        <v>0</v>
      </c>
      <c r="I89" s="5"/>
      <c r="J89" s="6">
        <v>0</v>
      </c>
      <c r="K89" s="6">
        <v>0</v>
      </c>
      <c r="L89" s="6">
        <v>27</v>
      </c>
      <c r="M89" s="6">
        <v>0</v>
      </c>
      <c r="N89" s="6">
        <v>2</v>
      </c>
      <c r="O89" s="6">
        <v>32</v>
      </c>
    </row>
    <row r="90" spans="1:15" x14ac:dyDescent="0.35">
      <c r="A90" s="5">
        <v>16</v>
      </c>
      <c r="B90" s="5"/>
      <c r="C90" s="39">
        <v>8</v>
      </c>
      <c r="D90" s="39">
        <v>0</v>
      </c>
      <c r="E90" s="39">
        <v>40</v>
      </c>
      <c r="F90" s="39">
        <v>14</v>
      </c>
      <c r="G90" s="39">
        <v>13</v>
      </c>
      <c r="H90" s="39">
        <v>0</v>
      </c>
      <c r="I90" s="5"/>
      <c r="J90" s="6">
        <v>0</v>
      </c>
      <c r="K90" s="6">
        <v>0</v>
      </c>
      <c r="L90" s="6">
        <v>15</v>
      </c>
      <c r="M90" s="6">
        <v>0</v>
      </c>
      <c r="N90" s="6">
        <v>4</v>
      </c>
      <c r="O90" s="6">
        <v>28</v>
      </c>
    </row>
    <row r="91" spans="1:15" x14ac:dyDescent="0.35">
      <c r="A91" s="5">
        <v>17</v>
      </c>
      <c r="B91" s="5"/>
      <c r="C91" s="39">
        <v>3</v>
      </c>
      <c r="D91" s="39">
        <v>0</v>
      </c>
      <c r="E91" s="39">
        <v>25</v>
      </c>
      <c r="F91" s="39">
        <v>25</v>
      </c>
      <c r="G91" s="39">
        <v>13</v>
      </c>
      <c r="H91" s="39">
        <v>0</v>
      </c>
      <c r="I91" s="5"/>
      <c r="J91" s="6">
        <v>0</v>
      </c>
      <c r="K91" s="6">
        <v>0</v>
      </c>
      <c r="L91" s="6">
        <v>3</v>
      </c>
      <c r="M91" s="6">
        <v>0</v>
      </c>
      <c r="N91" s="6">
        <v>0</v>
      </c>
      <c r="O91" s="6">
        <v>30</v>
      </c>
    </row>
    <row r="92" spans="1:15" x14ac:dyDescent="0.35">
      <c r="A92" s="5"/>
      <c r="B92" s="5"/>
      <c r="C92" s="5"/>
      <c r="D92" s="5"/>
      <c r="E92" s="5"/>
      <c r="F92" s="5"/>
      <c r="G92" s="5"/>
      <c r="H92" s="5"/>
      <c r="I92" s="5"/>
      <c r="J92" s="5"/>
      <c r="K92" s="5"/>
      <c r="L92" s="5"/>
      <c r="M92" s="5"/>
      <c r="N92" s="5"/>
      <c r="O92" s="5"/>
    </row>
    <row r="93" spans="1:15" x14ac:dyDescent="0.35">
      <c r="A93" s="5"/>
      <c r="B93" s="5"/>
      <c r="C93" s="5"/>
      <c r="D93" s="5"/>
      <c r="E93" s="5"/>
      <c r="F93" s="5"/>
      <c r="G93" s="5"/>
      <c r="H93" s="5"/>
      <c r="I93" s="5"/>
      <c r="J93" s="5"/>
      <c r="K93" s="5"/>
      <c r="L93" s="5"/>
      <c r="M93" s="5"/>
      <c r="N93" s="5"/>
      <c r="O93" s="5"/>
    </row>
    <row r="94" spans="1:15" x14ac:dyDescent="0.35">
      <c r="A94" s="5"/>
      <c r="B94" s="5"/>
      <c r="C94" s="5"/>
      <c r="D94" s="5"/>
      <c r="E94" s="5"/>
      <c r="F94" s="5"/>
      <c r="G94" s="5"/>
      <c r="H94" s="5"/>
      <c r="I94" s="5"/>
      <c r="J94" s="5"/>
      <c r="K94" s="5"/>
      <c r="L94" s="5"/>
      <c r="M94" s="5"/>
      <c r="N94" s="5"/>
      <c r="O94" s="5"/>
    </row>
    <row r="95" spans="1:15" x14ac:dyDescent="0.35">
      <c r="A95" s="5" t="s">
        <v>131</v>
      </c>
      <c r="B95" s="5"/>
      <c r="C95" s="43">
        <f>AVERAGE(_xlfn.ANCHORARRAY(C75))</f>
        <v>5.0588235294117645</v>
      </c>
      <c r="D95" s="43">
        <f t="shared" ref="D95:O95" si="75">AVERAGE(_xlfn.ANCHORARRAY(D75))</f>
        <v>0</v>
      </c>
      <c r="E95" s="43">
        <f t="shared" si="75"/>
        <v>25.882352941176471</v>
      </c>
      <c r="F95" s="43">
        <f t="shared" si="75"/>
        <v>17.705882352941178</v>
      </c>
      <c r="G95" s="43">
        <f t="shared" si="75"/>
        <v>18.235294117647058</v>
      </c>
      <c r="H95" s="43">
        <f t="shared" si="75"/>
        <v>0.29411764705882354</v>
      </c>
      <c r="I95" s="43"/>
      <c r="J95" s="43">
        <f t="shared" si="75"/>
        <v>0</v>
      </c>
      <c r="K95" s="43">
        <f t="shared" si="75"/>
        <v>0</v>
      </c>
      <c r="L95" s="43">
        <f t="shared" si="75"/>
        <v>3.3529411764705883</v>
      </c>
      <c r="M95" s="43">
        <f t="shared" si="75"/>
        <v>0</v>
      </c>
      <c r="N95" s="43">
        <f t="shared" si="75"/>
        <v>1.2352941176470589</v>
      </c>
      <c r="O95" s="43">
        <f t="shared" si="75"/>
        <v>14.529411764705882</v>
      </c>
    </row>
  </sheetData>
  <mergeCells count="8">
    <mergeCell ref="B73:H73"/>
    <mergeCell ref="I73:O73"/>
    <mergeCell ref="AH1:AN1"/>
    <mergeCell ref="AO1:AU1"/>
    <mergeCell ref="B43:H43"/>
    <mergeCell ref="I43:O43"/>
    <mergeCell ref="B1:H1"/>
    <mergeCell ref="I1:O1"/>
  </mergeCells>
  <phoneticPr fontId="1" type="noConversion"/>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77D19-4537-4A1B-834A-DFDF6F9DBFA5}">
  <dimension ref="A1:F85"/>
  <sheetViews>
    <sheetView topLeftCell="A13" workbookViewId="0">
      <selection activeCell="D46" sqref="D46"/>
    </sheetView>
  </sheetViews>
  <sheetFormatPr defaultRowHeight="14.5" x14ac:dyDescent="0.35"/>
  <cols>
    <col min="1" max="1" width="28" customWidth="1"/>
    <col min="2" max="2" width="15.453125" customWidth="1"/>
    <col min="3" max="3" width="18" customWidth="1"/>
    <col min="4" max="4" width="16.90625" customWidth="1"/>
    <col min="5" max="5" width="16.6328125" customWidth="1"/>
    <col min="6" max="6" width="22.81640625" customWidth="1"/>
  </cols>
  <sheetData>
    <row r="1" spans="1:6" x14ac:dyDescent="0.35">
      <c r="A1" s="58" t="s">
        <v>133</v>
      </c>
      <c r="B1" s="58" t="s">
        <v>134</v>
      </c>
      <c r="C1" s="58" t="s">
        <v>135</v>
      </c>
      <c r="D1" s="58" t="s">
        <v>136</v>
      </c>
      <c r="E1" s="58" t="s">
        <v>137</v>
      </c>
      <c r="F1" s="58" t="s">
        <v>138</v>
      </c>
    </row>
    <row r="2" spans="1:6" x14ac:dyDescent="0.35">
      <c r="A2" s="58" t="s">
        <v>139</v>
      </c>
      <c r="B2" s="58" t="s">
        <v>57</v>
      </c>
      <c r="C2" s="58" t="s">
        <v>124</v>
      </c>
      <c r="D2" s="58" t="s">
        <v>227</v>
      </c>
      <c r="E2" s="58" t="s">
        <v>230</v>
      </c>
      <c r="F2" s="58">
        <v>2</v>
      </c>
    </row>
    <row r="3" spans="1:6" x14ac:dyDescent="0.35">
      <c r="A3" s="58" t="s">
        <v>140</v>
      </c>
      <c r="B3" s="58" t="s">
        <v>57</v>
      </c>
      <c r="C3" s="58" t="s">
        <v>223</v>
      </c>
      <c r="D3" s="58" t="s">
        <v>227</v>
      </c>
      <c r="E3" s="58" t="s">
        <v>230</v>
      </c>
      <c r="F3" s="58">
        <v>2</v>
      </c>
    </row>
    <row r="4" spans="1:6" x14ac:dyDescent="0.35">
      <c r="A4" s="58" t="s">
        <v>141</v>
      </c>
      <c r="B4" s="58" t="s">
        <v>57</v>
      </c>
      <c r="C4" s="58" t="s">
        <v>224</v>
      </c>
      <c r="D4" s="58" t="s">
        <v>227</v>
      </c>
      <c r="E4" s="58" t="s">
        <v>230</v>
      </c>
      <c r="F4" s="58">
        <v>2</v>
      </c>
    </row>
    <row r="5" spans="1:6" x14ac:dyDescent="0.35">
      <c r="A5" s="58" t="s">
        <v>142</v>
      </c>
      <c r="B5" s="58" t="s">
        <v>57</v>
      </c>
      <c r="C5" s="58" t="s">
        <v>224</v>
      </c>
      <c r="D5" s="58" t="s">
        <v>225</v>
      </c>
      <c r="E5" s="58" t="s">
        <v>230</v>
      </c>
      <c r="F5" s="58">
        <v>2</v>
      </c>
    </row>
    <row r="6" spans="1:6" x14ac:dyDescent="0.35">
      <c r="A6" s="58" t="s">
        <v>143</v>
      </c>
      <c r="B6" s="58" t="s">
        <v>57</v>
      </c>
      <c r="C6" s="58" t="s">
        <v>224</v>
      </c>
      <c r="D6" s="58" t="s">
        <v>226</v>
      </c>
      <c r="E6" s="58" t="s">
        <v>230</v>
      </c>
      <c r="F6" s="58">
        <v>2</v>
      </c>
    </row>
    <row r="7" spans="1:6" x14ac:dyDescent="0.35">
      <c r="A7" s="58" t="s">
        <v>144</v>
      </c>
      <c r="B7" s="58" t="s">
        <v>57</v>
      </c>
      <c r="C7" s="58" t="s">
        <v>223</v>
      </c>
      <c r="D7" s="58" t="s">
        <v>228</v>
      </c>
      <c r="E7" s="58" t="s">
        <v>230</v>
      </c>
      <c r="F7" s="58">
        <v>2</v>
      </c>
    </row>
    <row r="8" spans="1:6" x14ac:dyDescent="0.35">
      <c r="A8" s="58" t="s">
        <v>145</v>
      </c>
      <c r="B8" s="58" t="s">
        <v>57</v>
      </c>
      <c r="C8" s="58" t="s">
        <v>229</v>
      </c>
      <c r="D8" s="58" t="s">
        <v>228</v>
      </c>
      <c r="E8" s="58" t="s">
        <v>230</v>
      </c>
      <c r="F8" s="58">
        <v>2</v>
      </c>
    </row>
    <row r="9" spans="1:6" x14ac:dyDescent="0.35">
      <c r="A9" s="58" t="s">
        <v>146</v>
      </c>
      <c r="B9" s="58" t="s">
        <v>75</v>
      </c>
      <c r="C9" s="58" t="s">
        <v>124</v>
      </c>
      <c r="D9" s="58" t="s">
        <v>227</v>
      </c>
      <c r="E9" s="58" t="s">
        <v>230</v>
      </c>
      <c r="F9" s="58">
        <v>2</v>
      </c>
    </row>
    <row r="10" spans="1:6" x14ac:dyDescent="0.35">
      <c r="A10" s="58" t="s">
        <v>147</v>
      </c>
      <c r="B10" s="58" t="s">
        <v>75</v>
      </c>
      <c r="C10" s="58" t="s">
        <v>223</v>
      </c>
      <c r="D10" s="58" t="s">
        <v>227</v>
      </c>
      <c r="E10" s="58" t="s">
        <v>230</v>
      </c>
      <c r="F10" s="58">
        <v>2</v>
      </c>
    </row>
    <row r="11" spans="1:6" x14ac:dyDescent="0.35">
      <c r="A11" s="58" t="s">
        <v>148</v>
      </c>
      <c r="B11" s="58" t="s">
        <v>75</v>
      </c>
      <c r="C11" s="58" t="s">
        <v>224</v>
      </c>
      <c r="D11" s="58" t="s">
        <v>227</v>
      </c>
      <c r="E11" s="58" t="s">
        <v>230</v>
      </c>
      <c r="F11" s="58">
        <v>2</v>
      </c>
    </row>
    <row r="12" spans="1:6" x14ac:dyDescent="0.35">
      <c r="A12" s="58" t="s">
        <v>149</v>
      </c>
      <c r="B12" s="58" t="s">
        <v>75</v>
      </c>
      <c r="C12" s="58" t="s">
        <v>224</v>
      </c>
      <c r="D12" s="58" t="s">
        <v>225</v>
      </c>
      <c r="E12" s="58" t="s">
        <v>230</v>
      </c>
      <c r="F12" s="58">
        <v>2</v>
      </c>
    </row>
    <row r="13" spans="1:6" x14ac:dyDescent="0.35">
      <c r="A13" s="58" t="s">
        <v>150</v>
      </c>
      <c r="B13" s="58" t="s">
        <v>75</v>
      </c>
      <c r="C13" s="58" t="s">
        <v>224</v>
      </c>
      <c r="D13" s="58" t="s">
        <v>226</v>
      </c>
      <c r="E13" s="58" t="s">
        <v>230</v>
      </c>
      <c r="F13" s="58">
        <v>2</v>
      </c>
    </row>
    <row r="14" spans="1:6" x14ac:dyDescent="0.35">
      <c r="A14" s="58" t="s">
        <v>151</v>
      </c>
      <c r="B14" s="58" t="s">
        <v>75</v>
      </c>
      <c r="C14" s="58" t="s">
        <v>223</v>
      </c>
      <c r="D14" s="58" t="s">
        <v>228</v>
      </c>
      <c r="E14" s="58" t="s">
        <v>230</v>
      </c>
      <c r="F14" s="58">
        <v>2</v>
      </c>
    </row>
    <row r="15" spans="1:6" x14ac:dyDescent="0.35">
      <c r="A15" s="58" t="s">
        <v>152</v>
      </c>
      <c r="B15" s="58" t="s">
        <v>75</v>
      </c>
      <c r="C15" s="58" t="s">
        <v>229</v>
      </c>
      <c r="D15" s="58" t="s">
        <v>228</v>
      </c>
      <c r="E15" s="58" t="s">
        <v>230</v>
      </c>
      <c r="F15" s="58">
        <v>2</v>
      </c>
    </row>
    <row r="16" spans="1:6" x14ac:dyDescent="0.35">
      <c r="A16" s="58" t="s">
        <v>153</v>
      </c>
      <c r="B16" s="58" t="s">
        <v>78</v>
      </c>
      <c r="C16" s="58" t="s">
        <v>124</v>
      </c>
      <c r="D16" s="58" t="s">
        <v>227</v>
      </c>
      <c r="E16" s="58" t="s">
        <v>230</v>
      </c>
      <c r="F16" s="58">
        <v>2</v>
      </c>
    </row>
    <row r="17" spans="1:6" x14ac:dyDescent="0.35">
      <c r="A17" s="58" t="s">
        <v>154</v>
      </c>
      <c r="B17" s="58" t="s">
        <v>78</v>
      </c>
      <c r="C17" s="58" t="s">
        <v>223</v>
      </c>
      <c r="D17" s="58" t="s">
        <v>227</v>
      </c>
      <c r="E17" s="58" t="s">
        <v>230</v>
      </c>
      <c r="F17" s="58">
        <v>2</v>
      </c>
    </row>
    <row r="18" spans="1:6" x14ac:dyDescent="0.35">
      <c r="A18" s="58" t="s">
        <v>155</v>
      </c>
      <c r="B18" s="58" t="s">
        <v>78</v>
      </c>
      <c r="C18" s="58" t="s">
        <v>224</v>
      </c>
      <c r="D18" s="58" t="s">
        <v>227</v>
      </c>
      <c r="E18" s="58" t="s">
        <v>230</v>
      </c>
      <c r="F18" s="58">
        <v>2</v>
      </c>
    </row>
    <row r="19" spans="1:6" x14ac:dyDescent="0.35">
      <c r="A19" s="58" t="s">
        <v>156</v>
      </c>
      <c r="B19" s="58" t="s">
        <v>78</v>
      </c>
      <c r="C19" s="58" t="s">
        <v>224</v>
      </c>
      <c r="D19" s="58" t="s">
        <v>225</v>
      </c>
      <c r="E19" s="58" t="s">
        <v>230</v>
      </c>
      <c r="F19" s="58">
        <v>2</v>
      </c>
    </row>
    <row r="20" spans="1:6" x14ac:dyDescent="0.35">
      <c r="A20" s="58" t="s">
        <v>157</v>
      </c>
      <c r="B20" s="58" t="s">
        <v>78</v>
      </c>
      <c r="C20" s="58" t="s">
        <v>224</v>
      </c>
      <c r="D20" s="58" t="s">
        <v>226</v>
      </c>
      <c r="E20" s="58" t="s">
        <v>230</v>
      </c>
      <c r="F20" s="58">
        <v>2</v>
      </c>
    </row>
    <row r="21" spans="1:6" x14ac:dyDescent="0.35">
      <c r="A21" s="58" t="s">
        <v>158</v>
      </c>
      <c r="B21" s="58" t="s">
        <v>78</v>
      </c>
      <c r="C21" s="58" t="s">
        <v>223</v>
      </c>
      <c r="D21" s="58" t="s">
        <v>228</v>
      </c>
      <c r="E21" s="58" t="s">
        <v>230</v>
      </c>
      <c r="F21" s="58">
        <v>2</v>
      </c>
    </row>
    <row r="22" spans="1:6" x14ac:dyDescent="0.35">
      <c r="A22" s="58" t="s">
        <v>159</v>
      </c>
      <c r="B22" s="58" t="s">
        <v>78</v>
      </c>
      <c r="C22" s="58" t="s">
        <v>229</v>
      </c>
      <c r="D22" s="58" t="s">
        <v>228</v>
      </c>
      <c r="E22" s="58" t="s">
        <v>230</v>
      </c>
      <c r="F22" s="58">
        <v>2</v>
      </c>
    </row>
    <row r="23" spans="1:6" x14ac:dyDescent="0.35">
      <c r="A23" s="58" t="s">
        <v>160</v>
      </c>
      <c r="B23" s="58" t="s">
        <v>82</v>
      </c>
      <c r="C23" s="58" t="s">
        <v>124</v>
      </c>
      <c r="D23" s="58" t="s">
        <v>227</v>
      </c>
      <c r="E23" s="58" t="s">
        <v>230</v>
      </c>
      <c r="F23" s="58">
        <v>2</v>
      </c>
    </row>
    <row r="24" spans="1:6" x14ac:dyDescent="0.35">
      <c r="A24" s="58" t="s">
        <v>161</v>
      </c>
      <c r="B24" s="58" t="s">
        <v>82</v>
      </c>
      <c r="C24" s="58" t="s">
        <v>223</v>
      </c>
      <c r="D24" s="58" t="s">
        <v>227</v>
      </c>
      <c r="E24" s="58" t="s">
        <v>230</v>
      </c>
      <c r="F24" s="58">
        <v>2</v>
      </c>
    </row>
    <row r="25" spans="1:6" x14ac:dyDescent="0.35">
      <c r="A25" s="58" t="s">
        <v>162</v>
      </c>
      <c r="B25" s="58" t="s">
        <v>82</v>
      </c>
      <c r="C25" s="58" t="s">
        <v>224</v>
      </c>
      <c r="D25" s="58" t="s">
        <v>227</v>
      </c>
      <c r="E25" s="58" t="s">
        <v>230</v>
      </c>
      <c r="F25" s="58">
        <v>2</v>
      </c>
    </row>
    <row r="26" spans="1:6" x14ac:dyDescent="0.35">
      <c r="A26" s="58" t="s">
        <v>163</v>
      </c>
      <c r="B26" s="58" t="s">
        <v>82</v>
      </c>
      <c r="C26" s="58" t="s">
        <v>224</v>
      </c>
      <c r="D26" s="58" t="s">
        <v>225</v>
      </c>
      <c r="E26" s="58" t="s">
        <v>230</v>
      </c>
      <c r="F26" s="58">
        <v>2</v>
      </c>
    </row>
    <row r="27" spans="1:6" x14ac:dyDescent="0.35">
      <c r="A27" s="58" t="s">
        <v>164</v>
      </c>
      <c r="B27" s="58" t="s">
        <v>82</v>
      </c>
      <c r="C27" s="58" t="s">
        <v>224</v>
      </c>
      <c r="D27" s="58" t="s">
        <v>226</v>
      </c>
      <c r="E27" s="58" t="s">
        <v>230</v>
      </c>
      <c r="F27" s="58">
        <v>2</v>
      </c>
    </row>
    <row r="28" spans="1:6" x14ac:dyDescent="0.35">
      <c r="A28" s="58" t="s">
        <v>165</v>
      </c>
      <c r="B28" s="58" t="s">
        <v>82</v>
      </c>
      <c r="C28" s="58" t="s">
        <v>223</v>
      </c>
      <c r="D28" s="58" t="s">
        <v>228</v>
      </c>
      <c r="E28" s="58" t="s">
        <v>230</v>
      </c>
      <c r="F28" s="58">
        <v>2</v>
      </c>
    </row>
    <row r="29" spans="1:6" x14ac:dyDescent="0.35">
      <c r="A29" s="58" t="s">
        <v>166</v>
      </c>
      <c r="B29" s="58" t="s">
        <v>82</v>
      </c>
      <c r="C29" s="58" t="s">
        <v>229</v>
      </c>
      <c r="D29" s="58" t="s">
        <v>228</v>
      </c>
      <c r="E29" s="58" t="s">
        <v>230</v>
      </c>
      <c r="F29" s="58">
        <v>2</v>
      </c>
    </row>
    <row r="30" spans="1:6" x14ac:dyDescent="0.35">
      <c r="A30" s="58" t="s">
        <v>167</v>
      </c>
      <c r="B30" s="58" t="s">
        <v>86</v>
      </c>
      <c r="C30" s="58" t="s">
        <v>124</v>
      </c>
      <c r="D30" s="58" t="s">
        <v>227</v>
      </c>
      <c r="E30" s="58" t="s">
        <v>230</v>
      </c>
      <c r="F30" s="58">
        <v>2</v>
      </c>
    </row>
    <row r="31" spans="1:6" x14ac:dyDescent="0.35">
      <c r="A31" s="58" t="s">
        <v>168</v>
      </c>
      <c r="B31" s="58" t="s">
        <v>86</v>
      </c>
      <c r="C31" s="58" t="s">
        <v>223</v>
      </c>
      <c r="D31" s="58" t="s">
        <v>227</v>
      </c>
      <c r="E31" s="58" t="s">
        <v>230</v>
      </c>
      <c r="F31" s="58">
        <v>2</v>
      </c>
    </row>
    <row r="32" spans="1:6" x14ac:dyDescent="0.35">
      <c r="A32" s="58" t="s">
        <v>169</v>
      </c>
      <c r="B32" s="58" t="s">
        <v>86</v>
      </c>
      <c r="C32" s="58" t="s">
        <v>224</v>
      </c>
      <c r="D32" s="58" t="s">
        <v>227</v>
      </c>
      <c r="E32" s="58" t="s">
        <v>230</v>
      </c>
      <c r="F32" s="58">
        <v>2</v>
      </c>
    </row>
    <row r="33" spans="1:6" x14ac:dyDescent="0.35">
      <c r="A33" s="58" t="s">
        <v>170</v>
      </c>
      <c r="B33" s="58" t="s">
        <v>86</v>
      </c>
      <c r="C33" s="58" t="s">
        <v>224</v>
      </c>
      <c r="D33" s="58" t="s">
        <v>225</v>
      </c>
      <c r="E33" s="58" t="s">
        <v>230</v>
      </c>
      <c r="F33" s="58">
        <v>2</v>
      </c>
    </row>
    <row r="34" spans="1:6" x14ac:dyDescent="0.35">
      <c r="A34" s="58" t="s">
        <v>171</v>
      </c>
      <c r="B34" s="58" t="s">
        <v>86</v>
      </c>
      <c r="C34" s="58" t="s">
        <v>224</v>
      </c>
      <c r="D34" s="58" t="s">
        <v>226</v>
      </c>
      <c r="E34" s="58" t="s">
        <v>230</v>
      </c>
      <c r="F34" s="58">
        <v>2</v>
      </c>
    </row>
    <row r="35" spans="1:6" x14ac:dyDescent="0.35">
      <c r="A35" s="58" t="s">
        <v>172</v>
      </c>
      <c r="B35" s="58" t="s">
        <v>86</v>
      </c>
      <c r="C35" s="58" t="s">
        <v>223</v>
      </c>
      <c r="D35" s="58" t="s">
        <v>228</v>
      </c>
      <c r="E35" s="58" t="s">
        <v>230</v>
      </c>
      <c r="F35" s="58">
        <v>2</v>
      </c>
    </row>
    <row r="36" spans="1:6" x14ac:dyDescent="0.35">
      <c r="A36" s="58" t="s">
        <v>173</v>
      </c>
      <c r="B36" s="58" t="s">
        <v>86</v>
      </c>
      <c r="C36" s="58" t="s">
        <v>229</v>
      </c>
      <c r="D36" s="58" t="s">
        <v>228</v>
      </c>
      <c r="E36" s="58" t="s">
        <v>230</v>
      </c>
      <c r="F36" s="58">
        <v>2</v>
      </c>
    </row>
    <row r="37" spans="1:6" x14ac:dyDescent="0.35">
      <c r="A37" s="58" t="s">
        <v>174</v>
      </c>
      <c r="B37" s="58" t="s">
        <v>90</v>
      </c>
      <c r="C37" s="58" t="s">
        <v>124</v>
      </c>
      <c r="D37" s="58" t="s">
        <v>227</v>
      </c>
      <c r="E37" s="58" t="s">
        <v>230</v>
      </c>
      <c r="F37" s="58">
        <v>2</v>
      </c>
    </row>
    <row r="38" spans="1:6" x14ac:dyDescent="0.35">
      <c r="A38" s="58" t="s">
        <v>175</v>
      </c>
      <c r="B38" s="58" t="s">
        <v>90</v>
      </c>
      <c r="C38" s="58" t="s">
        <v>223</v>
      </c>
      <c r="D38" s="58" t="s">
        <v>227</v>
      </c>
      <c r="E38" s="58" t="s">
        <v>230</v>
      </c>
      <c r="F38" s="58">
        <v>2</v>
      </c>
    </row>
    <row r="39" spans="1:6" x14ac:dyDescent="0.35">
      <c r="A39" s="58" t="s">
        <v>176</v>
      </c>
      <c r="B39" s="58" t="s">
        <v>90</v>
      </c>
      <c r="C39" s="58" t="s">
        <v>224</v>
      </c>
      <c r="D39" s="58" t="s">
        <v>227</v>
      </c>
      <c r="E39" s="58" t="s">
        <v>230</v>
      </c>
      <c r="F39" s="58">
        <v>2</v>
      </c>
    </row>
    <row r="40" spans="1:6" x14ac:dyDescent="0.35">
      <c r="A40" s="58" t="s">
        <v>177</v>
      </c>
      <c r="B40" s="58" t="s">
        <v>90</v>
      </c>
      <c r="C40" s="58" t="s">
        <v>224</v>
      </c>
      <c r="D40" s="58" t="s">
        <v>225</v>
      </c>
      <c r="E40" s="58" t="s">
        <v>230</v>
      </c>
      <c r="F40" s="58">
        <v>2</v>
      </c>
    </row>
    <row r="41" spans="1:6" x14ac:dyDescent="0.35">
      <c r="A41" s="58" t="s">
        <v>178</v>
      </c>
      <c r="B41" s="58" t="s">
        <v>90</v>
      </c>
      <c r="C41" s="58" t="s">
        <v>224</v>
      </c>
      <c r="D41" s="58" t="s">
        <v>226</v>
      </c>
      <c r="E41" s="58" t="s">
        <v>230</v>
      </c>
      <c r="F41" s="58">
        <v>2</v>
      </c>
    </row>
    <row r="42" spans="1:6" x14ac:dyDescent="0.35">
      <c r="A42" s="58" t="s">
        <v>179</v>
      </c>
      <c r="B42" s="58" t="s">
        <v>90</v>
      </c>
      <c r="C42" s="58" t="s">
        <v>223</v>
      </c>
      <c r="D42" s="58" t="s">
        <v>228</v>
      </c>
      <c r="E42" s="58" t="s">
        <v>230</v>
      </c>
      <c r="F42" s="58">
        <v>2</v>
      </c>
    </row>
    <row r="43" spans="1:6" x14ac:dyDescent="0.35">
      <c r="A43" s="58" t="s">
        <v>180</v>
      </c>
      <c r="B43" s="58" t="s">
        <v>90</v>
      </c>
      <c r="C43" s="58" t="s">
        <v>229</v>
      </c>
      <c r="D43" s="58" t="s">
        <v>228</v>
      </c>
      <c r="E43" s="58" t="s">
        <v>230</v>
      </c>
      <c r="F43" s="58">
        <v>2</v>
      </c>
    </row>
    <row r="44" spans="1:6" x14ac:dyDescent="0.35">
      <c r="A44" s="58" t="s">
        <v>181</v>
      </c>
      <c r="B44" s="58" t="s">
        <v>94</v>
      </c>
      <c r="C44" s="58" t="s">
        <v>223</v>
      </c>
      <c r="D44" s="58" t="s">
        <v>228</v>
      </c>
      <c r="E44" s="58" t="s">
        <v>230</v>
      </c>
      <c r="F44" s="58">
        <v>1</v>
      </c>
    </row>
    <row r="45" spans="1:6" x14ac:dyDescent="0.35">
      <c r="A45" s="58" t="s">
        <v>182</v>
      </c>
      <c r="B45" s="58" t="s">
        <v>94</v>
      </c>
      <c r="C45" s="58" t="s">
        <v>229</v>
      </c>
      <c r="D45" s="58" t="s">
        <v>228</v>
      </c>
      <c r="E45" s="58" t="s">
        <v>230</v>
      </c>
      <c r="F45" s="58">
        <v>1</v>
      </c>
    </row>
    <row r="46" spans="1:6" x14ac:dyDescent="0.35">
      <c r="A46" s="58" t="s">
        <v>183</v>
      </c>
      <c r="B46" s="58" t="s">
        <v>94</v>
      </c>
      <c r="C46" s="58" t="s">
        <v>124</v>
      </c>
      <c r="D46" s="58" t="s">
        <v>227</v>
      </c>
      <c r="E46" s="58" t="s">
        <v>230</v>
      </c>
      <c r="F46" s="58">
        <v>1</v>
      </c>
    </row>
    <row r="47" spans="1:6" x14ac:dyDescent="0.35">
      <c r="A47" s="58" t="s">
        <v>184</v>
      </c>
      <c r="B47" s="58" t="s">
        <v>94</v>
      </c>
      <c r="C47" s="58" t="s">
        <v>224</v>
      </c>
      <c r="D47" s="58" t="s">
        <v>227</v>
      </c>
      <c r="E47" s="58" t="s">
        <v>230</v>
      </c>
      <c r="F47" s="58">
        <v>1</v>
      </c>
    </row>
    <row r="48" spans="1:6" x14ac:dyDescent="0.35">
      <c r="A48" s="58" t="s">
        <v>185</v>
      </c>
      <c r="B48" s="58" t="s">
        <v>94</v>
      </c>
      <c r="C48" s="58" t="s">
        <v>223</v>
      </c>
      <c r="D48" s="58" t="s">
        <v>227</v>
      </c>
      <c r="E48" s="58" t="s">
        <v>230</v>
      </c>
      <c r="F48" s="58">
        <v>1</v>
      </c>
    </row>
    <row r="49" spans="1:6" x14ac:dyDescent="0.35">
      <c r="A49" s="58" t="s">
        <v>186</v>
      </c>
      <c r="B49" s="58" t="s">
        <v>94</v>
      </c>
      <c r="C49" s="58" t="s">
        <v>223</v>
      </c>
      <c r="D49" s="58" t="s">
        <v>225</v>
      </c>
      <c r="E49" s="58" t="s">
        <v>230</v>
      </c>
      <c r="F49" s="58">
        <v>1</v>
      </c>
    </row>
    <row r="50" spans="1:6" x14ac:dyDescent="0.35">
      <c r="A50" s="58" t="s">
        <v>187</v>
      </c>
      <c r="B50" s="58" t="s">
        <v>94</v>
      </c>
      <c r="C50" s="58" t="s">
        <v>223</v>
      </c>
      <c r="D50" s="58" t="s">
        <v>226</v>
      </c>
      <c r="E50" s="58" t="s">
        <v>230</v>
      </c>
      <c r="F50" s="58">
        <v>1</v>
      </c>
    </row>
    <row r="51" spans="1:6" x14ac:dyDescent="0.35">
      <c r="A51" s="58" t="s">
        <v>188</v>
      </c>
      <c r="B51" s="58" t="s">
        <v>98</v>
      </c>
      <c r="C51" s="58" t="s">
        <v>223</v>
      </c>
      <c r="D51" s="58" t="s">
        <v>228</v>
      </c>
      <c r="E51" s="58" t="s">
        <v>230</v>
      </c>
      <c r="F51" s="58">
        <v>1</v>
      </c>
    </row>
    <row r="52" spans="1:6" x14ac:dyDescent="0.35">
      <c r="A52" s="58" t="s">
        <v>189</v>
      </c>
      <c r="B52" s="58" t="s">
        <v>98</v>
      </c>
      <c r="C52" s="58" t="s">
        <v>229</v>
      </c>
      <c r="D52" s="58" t="s">
        <v>228</v>
      </c>
      <c r="E52" s="58" t="s">
        <v>230</v>
      </c>
      <c r="F52" s="58">
        <v>1</v>
      </c>
    </row>
    <row r="53" spans="1:6" x14ac:dyDescent="0.35">
      <c r="A53" s="58" t="s">
        <v>190</v>
      </c>
      <c r="B53" s="58" t="s">
        <v>98</v>
      </c>
      <c r="C53" s="58" t="s">
        <v>124</v>
      </c>
      <c r="D53" s="58" t="s">
        <v>227</v>
      </c>
      <c r="E53" s="58" t="s">
        <v>230</v>
      </c>
      <c r="F53" s="58">
        <v>1</v>
      </c>
    </row>
    <row r="54" spans="1:6" x14ac:dyDescent="0.35">
      <c r="A54" s="58" t="s">
        <v>191</v>
      </c>
      <c r="B54" s="58" t="s">
        <v>98</v>
      </c>
      <c r="C54" s="58" t="s">
        <v>224</v>
      </c>
      <c r="D54" s="58" t="s">
        <v>227</v>
      </c>
      <c r="E54" s="58" t="s">
        <v>230</v>
      </c>
      <c r="F54" s="58">
        <v>1</v>
      </c>
    </row>
    <row r="55" spans="1:6" x14ac:dyDescent="0.35">
      <c r="A55" s="58" t="s">
        <v>192</v>
      </c>
      <c r="B55" s="58" t="s">
        <v>98</v>
      </c>
      <c r="C55" s="58" t="s">
        <v>223</v>
      </c>
      <c r="D55" s="58" t="s">
        <v>227</v>
      </c>
      <c r="E55" s="58" t="s">
        <v>230</v>
      </c>
      <c r="F55" s="58">
        <v>1</v>
      </c>
    </row>
    <row r="56" spans="1:6" x14ac:dyDescent="0.35">
      <c r="A56" s="58" t="s">
        <v>193</v>
      </c>
      <c r="B56" s="58" t="s">
        <v>98</v>
      </c>
      <c r="C56" s="58" t="s">
        <v>223</v>
      </c>
      <c r="D56" s="58" t="s">
        <v>225</v>
      </c>
      <c r="E56" s="58" t="s">
        <v>230</v>
      </c>
      <c r="F56" s="58">
        <v>1</v>
      </c>
    </row>
    <row r="57" spans="1:6" x14ac:dyDescent="0.35">
      <c r="A57" s="58" t="s">
        <v>194</v>
      </c>
      <c r="B57" s="58" t="s">
        <v>98</v>
      </c>
      <c r="C57" s="58" t="s">
        <v>223</v>
      </c>
      <c r="D57" s="58" t="s">
        <v>226</v>
      </c>
      <c r="E57" s="58" t="s">
        <v>230</v>
      </c>
      <c r="F57" s="58">
        <v>1</v>
      </c>
    </row>
    <row r="58" spans="1:6" x14ac:dyDescent="0.35">
      <c r="A58" s="58" t="s">
        <v>195</v>
      </c>
      <c r="B58" s="58" t="s">
        <v>100</v>
      </c>
      <c r="C58" s="58" t="s">
        <v>223</v>
      </c>
      <c r="D58" s="58" t="s">
        <v>228</v>
      </c>
      <c r="E58" s="58" t="s">
        <v>230</v>
      </c>
      <c r="F58" s="58">
        <v>1</v>
      </c>
    </row>
    <row r="59" spans="1:6" x14ac:dyDescent="0.35">
      <c r="A59" s="58" t="s">
        <v>196</v>
      </c>
      <c r="B59" s="58" t="s">
        <v>100</v>
      </c>
      <c r="C59" s="58" t="s">
        <v>229</v>
      </c>
      <c r="D59" s="58" t="s">
        <v>228</v>
      </c>
      <c r="E59" s="58" t="s">
        <v>230</v>
      </c>
      <c r="F59" s="58">
        <v>1</v>
      </c>
    </row>
    <row r="60" spans="1:6" x14ac:dyDescent="0.35">
      <c r="A60" s="58" t="s">
        <v>197</v>
      </c>
      <c r="B60" s="58" t="s">
        <v>100</v>
      </c>
      <c r="C60" s="58" t="s">
        <v>124</v>
      </c>
      <c r="D60" s="58" t="s">
        <v>227</v>
      </c>
      <c r="E60" s="58" t="s">
        <v>230</v>
      </c>
      <c r="F60" s="58">
        <v>1</v>
      </c>
    </row>
    <row r="61" spans="1:6" x14ac:dyDescent="0.35">
      <c r="A61" s="58" t="s">
        <v>198</v>
      </c>
      <c r="B61" s="58" t="s">
        <v>100</v>
      </c>
      <c r="C61" s="58" t="s">
        <v>224</v>
      </c>
      <c r="D61" s="58" t="s">
        <v>227</v>
      </c>
      <c r="E61" s="58" t="s">
        <v>230</v>
      </c>
      <c r="F61" s="58">
        <v>1</v>
      </c>
    </row>
    <row r="62" spans="1:6" x14ac:dyDescent="0.35">
      <c r="A62" s="58" t="s">
        <v>199</v>
      </c>
      <c r="B62" s="58" t="s">
        <v>100</v>
      </c>
      <c r="C62" s="58" t="s">
        <v>223</v>
      </c>
      <c r="D62" s="58" t="s">
        <v>227</v>
      </c>
      <c r="E62" s="58" t="s">
        <v>230</v>
      </c>
      <c r="F62" s="58">
        <v>1</v>
      </c>
    </row>
    <row r="63" spans="1:6" x14ac:dyDescent="0.35">
      <c r="A63" s="58" t="s">
        <v>200</v>
      </c>
      <c r="B63" s="58" t="s">
        <v>100</v>
      </c>
      <c r="C63" s="58" t="s">
        <v>223</v>
      </c>
      <c r="D63" s="58" t="s">
        <v>225</v>
      </c>
      <c r="E63" s="58" t="s">
        <v>230</v>
      </c>
      <c r="F63" s="58">
        <v>1</v>
      </c>
    </row>
    <row r="64" spans="1:6" x14ac:dyDescent="0.35">
      <c r="A64" s="58" t="s">
        <v>201</v>
      </c>
      <c r="B64" s="58" t="s">
        <v>100</v>
      </c>
      <c r="C64" s="58" t="s">
        <v>223</v>
      </c>
      <c r="D64" s="58" t="s">
        <v>226</v>
      </c>
      <c r="E64" s="58" t="s">
        <v>230</v>
      </c>
      <c r="F64" s="58">
        <v>1</v>
      </c>
    </row>
    <row r="65" spans="1:6" x14ac:dyDescent="0.35">
      <c r="A65" s="58" t="s">
        <v>202</v>
      </c>
      <c r="B65" s="58" t="s">
        <v>102</v>
      </c>
      <c r="C65" s="58" t="s">
        <v>223</v>
      </c>
      <c r="D65" s="58" t="s">
        <v>228</v>
      </c>
      <c r="E65" s="58" t="s">
        <v>230</v>
      </c>
      <c r="F65" s="58">
        <v>1</v>
      </c>
    </row>
    <row r="66" spans="1:6" x14ac:dyDescent="0.35">
      <c r="A66" s="58" t="s">
        <v>203</v>
      </c>
      <c r="B66" s="58" t="s">
        <v>102</v>
      </c>
      <c r="C66" s="58" t="s">
        <v>229</v>
      </c>
      <c r="D66" s="58" t="s">
        <v>228</v>
      </c>
      <c r="E66" s="58" t="s">
        <v>230</v>
      </c>
      <c r="F66" s="58">
        <v>1</v>
      </c>
    </row>
    <row r="67" spans="1:6" x14ac:dyDescent="0.35">
      <c r="A67" s="58" t="s">
        <v>204</v>
      </c>
      <c r="B67" s="58" t="s">
        <v>102</v>
      </c>
      <c r="C67" s="58" t="s">
        <v>124</v>
      </c>
      <c r="D67" s="58" t="s">
        <v>227</v>
      </c>
      <c r="E67" s="58" t="s">
        <v>230</v>
      </c>
      <c r="F67" s="58">
        <v>1</v>
      </c>
    </row>
    <row r="68" spans="1:6" x14ac:dyDescent="0.35">
      <c r="A68" s="58" t="s">
        <v>205</v>
      </c>
      <c r="B68" s="58" t="s">
        <v>102</v>
      </c>
      <c r="C68" s="58" t="s">
        <v>224</v>
      </c>
      <c r="D68" s="58" t="s">
        <v>227</v>
      </c>
      <c r="E68" s="58" t="s">
        <v>230</v>
      </c>
      <c r="F68" s="58">
        <v>1</v>
      </c>
    </row>
    <row r="69" spans="1:6" x14ac:dyDescent="0.35">
      <c r="A69" s="58" t="s">
        <v>206</v>
      </c>
      <c r="B69" s="58" t="s">
        <v>102</v>
      </c>
      <c r="C69" s="58" t="s">
        <v>223</v>
      </c>
      <c r="D69" s="58" t="s">
        <v>227</v>
      </c>
      <c r="E69" s="58" t="s">
        <v>230</v>
      </c>
      <c r="F69" s="58">
        <v>1</v>
      </c>
    </row>
    <row r="70" spans="1:6" x14ac:dyDescent="0.35">
      <c r="A70" s="58" t="s">
        <v>207</v>
      </c>
      <c r="B70" s="58" t="s">
        <v>102</v>
      </c>
      <c r="C70" s="58" t="s">
        <v>223</v>
      </c>
      <c r="D70" s="58" t="s">
        <v>225</v>
      </c>
      <c r="E70" s="58" t="s">
        <v>230</v>
      </c>
      <c r="F70" s="58">
        <v>1</v>
      </c>
    </row>
    <row r="71" spans="1:6" x14ac:dyDescent="0.35">
      <c r="A71" s="58" t="s">
        <v>208</v>
      </c>
      <c r="B71" s="58" t="s">
        <v>102</v>
      </c>
      <c r="C71" s="58" t="s">
        <v>223</v>
      </c>
      <c r="D71" s="58" t="s">
        <v>226</v>
      </c>
      <c r="E71" s="58" t="s">
        <v>230</v>
      </c>
      <c r="F71" s="58">
        <v>1</v>
      </c>
    </row>
    <row r="72" spans="1:6" x14ac:dyDescent="0.35">
      <c r="A72" s="58" t="s">
        <v>209</v>
      </c>
      <c r="B72" s="58" t="s">
        <v>104</v>
      </c>
      <c r="C72" s="58" t="s">
        <v>223</v>
      </c>
      <c r="D72" s="58" t="s">
        <v>228</v>
      </c>
      <c r="E72" s="58" t="s">
        <v>230</v>
      </c>
      <c r="F72" s="58">
        <v>1</v>
      </c>
    </row>
    <row r="73" spans="1:6" x14ac:dyDescent="0.35">
      <c r="A73" s="58" t="s">
        <v>210</v>
      </c>
      <c r="B73" s="58" t="s">
        <v>104</v>
      </c>
      <c r="C73" s="58" t="s">
        <v>229</v>
      </c>
      <c r="D73" s="58" t="s">
        <v>228</v>
      </c>
      <c r="E73" s="58" t="s">
        <v>230</v>
      </c>
      <c r="F73" s="58">
        <v>1</v>
      </c>
    </row>
    <row r="74" spans="1:6" x14ac:dyDescent="0.35">
      <c r="A74" s="58" t="s">
        <v>211</v>
      </c>
      <c r="B74" s="58" t="s">
        <v>104</v>
      </c>
      <c r="C74" s="58" t="s">
        <v>124</v>
      </c>
      <c r="D74" s="58" t="s">
        <v>227</v>
      </c>
      <c r="E74" s="58" t="s">
        <v>230</v>
      </c>
      <c r="F74" s="58">
        <v>1</v>
      </c>
    </row>
    <row r="75" spans="1:6" x14ac:dyDescent="0.35">
      <c r="A75" s="58" t="s">
        <v>212</v>
      </c>
      <c r="B75" s="58" t="s">
        <v>104</v>
      </c>
      <c r="C75" s="58" t="s">
        <v>224</v>
      </c>
      <c r="D75" s="58" t="s">
        <v>227</v>
      </c>
      <c r="E75" s="58" t="s">
        <v>230</v>
      </c>
      <c r="F75" s="58">
        <v>1</v>
      </c>
    </row>
    <row r="76" spans="1:6" x14ac:dyDescent="0.35">
      <c r="A76" s="58" t="s">
        <v>213</v>
      </c>
      <c r="B76" s="58" t="s">
        <v>104</v>
      </c>
      <c r="C76" s="58" t="s">
        <v>223</v>
      </c>
      <c r="D76" s="58" t="s">
        <v>227</v>
      </c>
      <c r="E76" s="58" t="s">
        <v>230</v>
      </c>
      <c r="F76" s="58">
        <v>1</v>
      </c>
    </row>
    <row r="77" spans="1:6" x14ac:dyDescent="0.35">
      <c r="A77" s="58" t="s">
        <v>214</v>
      </c>
      <c r="B77" s="58" t="s">
        <v>104</v>
      </c>
      <c r="C77" s="58" t="s">
        <v>223</v>
      </c>
      <c r="D77" s="58" t="s">
        <v>225</v>
      </c>
      <c r="E77" s="58" t="s">
        <v>230</v>
      </c>
      <c r="F77" s="58">
        <v>1</v>
      </c>
    </row>
    <row r="78" spans="1:6" x14ac:dyDescent="0.35">
      <c r="A78" s="58" t="s">
        <v>215</v>
      </c>
      <c r="B78" s="58" t="s">
        <v>104</v>
      </c>
      <c r="C78" s="58" t="s">
        <v>223</v>
      </c>
      <c r="D78" s="58" t="s">
        <v>226</v>
      </c>
      <c r="E78" s="58" t="s">
        <v>230</v>
      </c>
      <c r="F78" s="58">
        <v>1</v>
      </c>
    </row>
    <row r="79" spans="1:6" x14ac:dyDescent="0.35">
      <c r="A79" s="58" t="s">
        <v>216</v>
      </c>
      <c r="B79" s="58" t="s">
        <v>108</v>
      </c>
      <c r="C79" s="58" t="s">
        <v>223</v>
      </c>
      <c r="D79" s="58" t="s">
        <v>228</v>
      </c>
      <c r="E79" s="58" t="s">
        <v>230</v>
      </c>
      <c r="F79" s="58">
        <v>1</v>
      </c>
    </row>
    <row r="80" spans="1:6" x14ac:dyDescent="0.35">
      <c r="A80" s="58" t="s">
        <v>217</v>
      </c>
      <c r="B80" s="58" t="s">
        <v>108</v>
      </c>
      <c r="C80" s="58" t="s">
        <v>124</v>
      </c>
      <c r="D80" s="58" t="s">
        <v>227</v>
      </c>
      <c r="E80" s="58" t="s">
        <v>230</v>
      </c>
      <c r="F80" s="58">
        <v>1</v>
      </c>
    </row>
    <row r="81" spans="1:6" x14ac:dyDescent="0.35">
      <c r="A81" s="58" t="s">
        <v>218</v>
      </c>
      <c r="B81" s="58" t="s">
        <v>108</v>
      </c>
      <c r="C81" s="58" t="s">
        <v>224</v>
      </c>
      <c r="D81" s="58" t="s">
        <v>227</v>
      </c>
      <c r="E81" s="58" t="s">
        <v>230</v>
      </c>
      <c r="F81" s="58">
        <v>1</v>
      </c>
    </row>
    <row r="82" spans="1:6" x14ac:dyDescent="0.35">
      <c r="A82" s="58" t="s">
        <v>219</v>
      </c>
      <c r="B82" s="58" t="s">
        <v>108</v>
      </c>
      <c r="C82" s="58" t="s">
        <v>223</v>
      </c>
      <c r="D82" s="58" t="s">
        <v>227</v>
      </c>
      <c r="E82" s="58" t="s">
        <v>230</v>
      </c>
      <c r="F82" s="58">
        <v>1</v>
      </c>
    </row>
    <row r="83" spans="1:6" x14ac:dyDescent="0.35">
      <c r="A83" s="58" t="s">
        <v>220</v>
      </c>
      <c r="B83" s="58" t="s">
        <v>108</v>
      </c>
      <c r="C83" s="58" t="s">
        <v>223</v>
      </c>
      <c r="D83" s="58" t="s">
        <v>225</v>
      </c>
      <c r="E83" s="58" t="s">
        <v>230</v>
      </c>
      <c r="F83" s="58">
        <v>1</v>
      </c>
    </row>
    <row r="84" spans="1:6" x14ac:dyDescent="0.35">
      <c r="A84" s="58" t="s">
        <v>221</v>
      </c>
      <c r="B84" s="58" t="s">
        <v>108</v>
      </c>
      <c r="C84" s="58" t="s">
        <v>223</v>
      </c>
      <c r="D84" s="58" t="s">
        <v>226</v>
      </c>
      <c r="E84" s="58" t="s">
        <v>230</v>
      </c>
      <c r="F84" s="58">
        <v>1</v>
      </c>
    </row>
    <row r="85" spans="1:6" x14ac:dyDescent="0.35">
      <c r="A85" s="58" t="s">
        <v>222</v>
      </c>
      <c r="B85" s="58" t="s">
        <v>108</v>
      </c>
      <c r="C85" s="58" t="s">
        <v>229</v>
      </c>
      <c r="D85" s="58" t="s">
        <v>228</v>
      </c>
      <c r="E85" s="58" t="s">
        <v>230</v>
      </c>
      <c r="F85" s="58">
        <v>1</v>
      </c>
    </row>
  </sheetData>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ABE92-281D-4546-BDF1-F472FB98E4D1}">
  <dimension ref="A1:AA13"/>
  <sheetViews>
    <sheetView topLeftCell="M1" workbookViewId="0">
      <selection activeCell="B1" sqref="B1:AA1"/>
    </sheetView>
  </sheetViews>
  <sheetFormatPr defaultRowHeight="14.5" x14ac:dyDescent="0.35"/>
  <sheetData>
    <row r="1" spans="1:27" x14ac:dyDescent="0.35">
      <c r="A1" s="59" t="s">
        <v>231</v>
      </c>
      <c r="B1" s="59" t="s">
        <v>232</v>
      </c>
      <c r="C1" s="59" t="s">
        <v>233</v>
      </c>
      <c r="D1" s="59" t="s">
        <v>234</v>
      </c>
      <c r="E1" s="59" t="s">
        <v>235</v>
      </c>
      <c r="F1" s="59" t="s">
        <v>236</v>
      </c>
      <c r="G1" s="59" t="s">
        <v>237</v>
      </c>
      <c r="H1" s="59" t="s">
        <v>238</v>
      </c>
      <c r="I1" s="59" t="s">
        <v>239</v>
      </c>
      <c r="J1" s="59" t="s">
        <v>240</v>
      </c>
      <c r="K1" s="59" t="s">
        <v>241</v>
      </c>
      <c r="L1" s="59" t="s">
        <v>242</v>
      </c>
      <c r="M1" s="59" t="s">
        <v>243</v>
      </c>
      <c r="N1" s="59" t="s">
        <v>244</v>
      </c>
      <c r="O1" s="59" t="s">
        <v>245</v>
      </c>
      <c r="P1" s="59" t="s">
        <v>246</v>
      </c>
      <c r="Q1" s="59" t="s">
        <v>247</v>
      </c>
      <c r="R1" s="59" t="s">
        <v>248</v>
      </c>
      <c r="S1" s="59" t="s">
        <v>249</v>
      </c>
      <c r="T1" s="59" t="s">
        <v>250</v>
      </c>
      <c r="U1" s="59" t="s">
        <v>251</v>
      </c>
      <c r="V1" s="59" t="s">
        <v>252</v>
      </c>
      <c r="W1" s="59" t="s">
        <v>253</v>
      </c>
      <c r="X1" s="59" t="s">
        <v>254</v>
      </c>
      <c r="Y1" s="59" t="s">
        <v>255</v>
      </c>
      <c r="Z1" s="59" t="s">
        <v>256</v>
      </c>
      <c r="AA1" s="59" t="s">
        <v>257</v>
      </c>
    </row>
    <row r="2" spans="1:27" x14ac:dyDescent="0.35">
      <c r="A2" s="59" t="s">
        <v>57</v>
      </c>
      <c r="B2" s="59">
        <v>25.6</v>
      </c>
      <c r="C2" s="59">
        <v>26.7</v>
      </c>
      <c r="D2" s="59">
        <v>26.4</v>
      </c>
      <c r="E2" s="59">
        <v>26.6</v>
      </c>
      <c r="F2" s="59">
        <v>25.4</v>
      </c>
      <c r="G2" s="59">
        <v>25.5</v>
      </c>
      <c r="H2" s="59">
        <v>24.9</v>
      </c>
      <c r="I2" s="59">
        <v>24.8</v>
      </c>
      <c r="J2" s="59">
        <v>25.3</v>
      </c>
      <c r="K2" s="59">
        <v>25.1</v>
      </c>
      <c r="L2" s="59">
        <v>25.7</v>
      </c>
      <c r="M2" s="59">
        <v>26.7</v>
      </c>
      <c r="N2" s="59">
        <v>26.7</v>
      </c>
      <c r="O2" s="59">
        <v>24.9</v>
      </c>
      <c r="P2" s="59">
        <v>26.4</v>
      </c>
      <c r="Q2" s="59">
        <v>26.9</v>
      </c>
      <c r="R2" s="59">
        <v>26.1</v>
      </c>
      <c r="S2" s="59">
        <v>27.2</v>
      </c>
      <c r="T2" s="59">
        <v>27.2</v>
      </c>
      <c r="U2" s="59">
        <v>28.1</v>
      </c>
      <c r="V2" s="59">
        <v>29.3</v>
      </c>
      <c r="W2" s="59">
        <v>29.6</v>
      </c>
      <c r="X2" s="59">
        <v>29.9</v>
      </c>
      <c r="Y2" s="59">
        <v>28</v>
      </c>
      <c r="Z2" s="59">
        <v>27.2</v>
      </c>
      <c r="AA2" s="59">
        <v>27.4</v>
      </c>
    </row>
    <row r="3" spans="1:27" x14ac:dyDescent="0.35">
      <c r="A3" s="59" t="s">
        <v>75</v>
      </c>
      <c r="B3" s="59">
        <v>24.9</v>
      </c>
      <c r="C3" s="59">
        <v>24.7</v>
      </c>
      <c r="D3" s="59">
        <v>25.9</v>
      </c>
      <c r="E3" s="59">
        <v>25.3</v>
      </c>
      <c r="F3" s="59">
        <v>25.1</v>
      </c>
      <c r="G3" s="59">
        <v>24.5</v>
      </c>
      <c r="H3" s="59">
        <v>24.7</v>
      </c>
      <c r="I3" s="59">
        <v>24.4</v>
      </c>
      <c r="J3" s="59">
        <v>24.7</v>
      </c>
      <c r="K3" s="59">
        <v>25.3</v>
      </c>
      <c r="L3" s="59">
        <v>25</v>
      </c>
      <c r="M3" s="59">
        <v>25.9</v>
      </c>
      <c r="N3" s="59">
        <v>25.5</v>
      </c>
      <c r="O3" s="59">
        <v>25.4</v>
      </c>
      <c r="P3" s="59">
        <v>25.5</v>
      </c>
      <c r="Q3" s="59">
        <v>25.5</v>
      </c>
      <c r="R3" s="59">
        <v>25.2</v>
      </c>
      <c r="S3" s="59">
        <v>25.3</v>
      </c>
      <c r="T3" s="59">
        <v>26.6</v>
      </c>
      <c r="U3" s="59">
        <v>27</v>
      </c>
      <c r="V3" s="59">
        <v>26.8</v>
      </c>
      <c r="W3" s="59">
        <v>28.2</v>
      </c>
      <c r="X3" s="59">
        <v>28.4</v>
      </c>
      <c r="Y3" s="59">
        <v>27.8</v>
      </c>
      <c r="Z3" s="59">
        <v>27.1</v>
      </c>
      <c r="AA3" s="59">
        <v>26.9</v>
      </c>
    </row>
    <row r="4" spans="1:27" x14ac:dyDescent="0.35">
      <c r="A4" s="59" t="s">
        <v>78</v>
      </c>
      <c r="B4" s="59">
        <v>25</v>
      </c>
      <c r="C4" s="59">
        <v>25.3</v>
      </c>
      <c r="D4" s="59">
        <v>25</v>
      </c>
      <c r="E4" s="59">
        <v>25</v>
      </c>
      <c r="F4" s="59">
        <v>24.1</v>
      </c>
      <c r="G4" s="59">
        <v>23.9</v>
      </c>
      <c r="H4" s="59">
        <v>23.9</v>
      </c>
      <c r="I4" s="59">
        <v>23.2</v>
      </c>
      <c r="J4" s="59">
        <v>23.2</v>
      </c>
      <c r="K4" s="59">
        <v>23.2</v>
      </c>
      <c r="L4" s="59">
        <v>23.8</v>
      </c>
      <c r="M4" s="59">
        <v>24.6</v>
      </c>
      <c r="N4" s="59">
        <v>25.3</v>
      </c>
      <c r="O4" s="59">
        <v>24.9</v>
      </c>
      <c r="P4" s="59">
        <v>25.4</v>
      </c>
      <c r="Q4" s="59">
        <v>25.4</v>
      </c>
      <c r="R4" s="59">
        <v>24.5</v>
      </c>
      <c r="S4" s="59">
        <v>25.8</v>
      </c>
      <c r="T4" s="59">
        <v>25.4</v>
      </c>
      <c r="U4" s="59">
        <v>26</v>
      </c>
      <c r="V4" s="59">
        <v>23.7</v>
      </c>
      <c r="W4" s="59">
        <v>26.8</v>
      </c>
      <c r="X4" s="59">
        <v>27.1</v>
      </c>
      <c r="Y4" s="59">
        <v>25.8</v>
      </c>
      <c r="Z4" s="59">
        <v>25.3</v>
      </c>
      <c r="AA4" s="59">
        <v>24.8</v>
      </c>
    </row>
    <row r="5" spans="1:27" x14ac:dyDescent="0.35">
      <c r="A5" s="59" t="s">
        <v>82</v>
      </c>
      <c r="B5" s="59">
        <v>24.4</v>
      </c>
      <c r="C5" s="59">
        <v>25.6</v>
      </c>
      <c r="D5" s="59">
        <v>25.8</v>
      </c>
      <c r="E5" s="59">
        <v>26.4</v>
      </c>
      <c r="F5" s="59">
        <v>25.1</v>
      </c>
      <c r="G5" s="59">
        <v>25</v>
      </c>
      <c r="H5" s="59">
        <v>24</v>
      </c>
      <c r="I5" s="59">
        <v>23.6</v>
      </c>
      <c r="J5" s="59">
        <v>23.6</v>
      </c>
      <c r="K5" s="59">
        <v>23.5</v>
      </c>
      <c r="L5" s="59">
        <v>23.6</v>
      </c>
      <c r="M5" s="59">
        <v>24.9</v>
      </c>
      <c r="N5" s="59">
        <v>25</v>
      </c>
      <c r="O5" s="59">
        <v>24.5</v>
      </c>
      <c r="P5" s="59">
        <v>25</v>
      </c>
      <c r="Q5" s="59">
        <v>25.1</v>
      </c>
      <c r="R5" s="59">
        <v>25.2</v>
      </c>
      <c r="S5" s="59">
        <v>25.5</v>
      </c>
      <c r="T5" s="59">
        <v>23.8</v>
      </c>
      <c r="U5" s="59">
        <v>25.9</v>
      </c>
      <c r="V5" s="59">
        <v>27.9</v>
      </c>
      <c r="W5" s="59">
        <v>28.1</v>
      </c>
      <c r="X5" s="59">
        <v>27.2</v>
      </c>
      <c r="Y5" s="59">
        <v>25.8</v>
      </c>
      <c r="Z5" s="59">
        <v>25.2</v>
      </c>
      <c r="AA5" s="59">
        <v>25</v>
      </c>
    </row>
    <row r="6" spans="1:27" x14ac:dyDescent="0.35">
      <c r="A6" s="59" t="s">
        <v>86</v>
      </c>
      <c r="B6" s="59">
        <v>24.6</v>
      </c>
      <c r="C6" s="59">
        <v>26.4</v>
      </c>
      <c r="D6" s="59">
        <v>26.5</v>
      </c>
      <c r="E6" s="59">
        <v>26.3</v>
      </c>
      <c r="F6" s="59">
        <v>24.9</v>
      </c>
      <c r="G6" s="59">
        <v>24.8</v>
      </c>
      <c r="H6" s="59">
        <v>24.2</v>
      </c>
      <c r="I6" s="59">
        <v>24.2</v>
      </c>
      <c r="J6" s="59">
        <v>24.2</v>
      </c>
      <c r="K6" s="59">
        <v>24.2</v>
      </c>
      <c r="L6" s="59">
        <v>24.4</v>
      </c>
      <c r="M6" s="59">
        <v>25.3</v>
      </c>
      <c r="N6" s="59">
        <v>25.3</v>
      </c>
      <c r="O6" s="59">
        <v>24.9</v>
      </c>
      <c r="P6" s="59">
        <v>25.9</v>
      </c>
      <c r="Q6" s="59">
        <v>26.8</v>
      </c>
      <c r="R6" s="37">
        <v>26</v>
      </c>
      <c r="S6" s="59">
        <v>26.4</v>
      </c>
      <c r="T6" s="59">
        <v>26.2</v>
      </c>
      <c r="U6" s="59">
        <v>27.2</v>
      </c>
      <c r="V6" s="59">
        <v>28.6</v>
      </c>
      <c r="W6" s="59">
        <v>28.6</v>
      </c>
      <c r="X6" s="59">
        <v>28.7</v>
      </c>
      <c r="Y6" s="59">
        <v>27.2</v>
      </c>
      <c r="Z6" s="59">
        <v>26.4</v>
      </c>
      <c r="AA6" s="59">
        <v>26</v>
      </c>
    </row>
    <row r="7" spans="1:27" x14ac:dyDescent="0.35">
      <c r="A7" s="59" t="s">
        <v>90</v>
      </c>
      <c r="B7" s="59">
        <v>23.6</v>
      </c>
      <c r="C7" s="59">
        <v>23.5</v>
      </c>
      <c r="D7" s="59">
        <v>24.6</v>
      </c>
      <c r="E7" s="59">
        <v>25.1</v>
      </c>
      <c r="F7" s="59">
        <v>24.9</v>
      </c>
      <c r="G7" s="59">
        <v>23.6</v>
      </c>
      <c r="H7" s="59">
        <v>23.2</v>
      </c>
      <c r="I7" s="59">
        <v>23.1</v>
      </c>
      <c r="J7" s="59">
        <v>22.7</v>
      </c>
      <c r="K7" s="59">
        <v>23.6</v>
      </c>
      <c r="L7" s="59">
        <v>23.2</v>
      </c>
      <c r="M7" s="59">
        <v>23.7</v>
      </c>
      <c r="N7" s="59">
        <v>23.6</v>
      </c>
      <c r="O7" s="59">
        <v>23.6</v>
      </c>
      <c r="P7" s="59">
        <v>23.6</v>
      </c>
      <c r="Q7" s="59">
        <v>23.3</v>
      </c>
      <c r="R7" s="59">
        <v>23.8</v>
      </c>
      <c r="S7" s="59">
        <v>24.2</v>
      </c>
      <c r="T7" s="59">
        <v>23.6</v>
      </c>
      <c r="U7" s="59">
        <v>24.7</v>
      </c>
      <c r="V7" s="59">
        <v>24.6</v>
      </c>
      <c r="W7" s="59">
        <v>24.2</v>
      </c>
      <c r="X7" s="59">
        <v>24</v>
      </c>
      <c r="Y7" s="59">
        <v>24</v>
      </c>
      <c r="Z7" s="59">
        <v>23.5</v>
      </c>
      <c r="AA7" s="59">
        <v>23.3</v>
      </c>
    </row>
    <row r="8" spans="1:27" x14ac:dyDescent="0.35">
      <c r="A8" s="59" t="s">
        <v>94</v>
      </c>
      <c r="B8" s="59">
        <v>24.7</v>
      </c>
      <c r="C8" s="59">
        <v>26.6</v>
      </c>
      <c r="D8" s="59">
        <v>26.7</v>
      </c>
      <c r="E8" s="59">
        <v>27.7</v>
      </c>
      <c r="F8" s="59">
        <v>26.3</v>
      </c>
      <c r="G8" s="59">
        <v>26.6</v>
      </c>
      <c r="H8" s="59">
        <v>25.6</v>
      </c>
      <c r="I8" s="59">
        <v>25.5</v>
      </c>
      <c r="J8" s="59">
        <v>26.1</v>
      </c>
      <c r="K8" s="59">
        <v>25.7</v>
      </c>
      <c r="L8" s="59">
        <v>25.8</v>
      </c>
      <c r="M8" s="59">
        <v>25.5</v>
      </c>
      <c r="N8" s="59">
        <v>25.7</v>
      </c>
      <c r="O8" s="59">
        <v>25.6</v>
      </c>
      <c r="P8" s="59">
        <v>25.1</v>
      </c>
      <c r="Q8" s="59">
        <v>25.5</v>
      </c>
      <c r="R8" s="59">
        <v>26.5</v>
      </c>
      <c r="S8" s="59">
        <v>25.7</v>
      </c>
      <c r="T8" s="59">
        <v>24.6</v>
      </c>
      <c r="U8" s="59">
        <v>26.3</v>
      </c>
      <c r="V8" s="59">
        <v>25.6</v>
      </c>
      <c r="W8" s="59">
        <v>25.2</v>
      </c>
      <c r="X8" s="59">
        <v>24.6</v>
      </c>
      <c r="Y8" s="59"/>
      <c r="Z8" s="59"/>
      <c r="AA8" s="59"/>
    </row>
    <row r="9" spans="1:27" x14ac:dyDescent="0.35">
      <c r="A9" s="59" t="s">
        <v>98</v>
      </c>
      <c r="B9" s="59">
        <v>24.9</v>
      </c>
      <c r="C9" s="59">
        <v>26.2</v>
      </c>
      <c r="D9" s="59">
        <v>26.1</v>
      </c>
      <c r="E9" s="59">
        <v>26.4</v>
      </c>
      <c r="F9" s="59">
        <v>25.3</v>
      </c>
      <c r="G9" s="59">
        <v>26.5</v>
      </c>
      <c r="H9" s="59">
        <v>25.9</v>
      </c>
      <c r="I9" s="59">
        <v>26.3</v>
      </c>
      <c r="J9" s="59">
        <v>25.9</v>
      </c>
      <c r="K9" s="59">
        <v>26.1</v>
      </c>
      <c r="L9" s="59">
        <v>26.7</v>
      </c>
      <c r="M9" s="59">
        <v>26</v>
      </c>
      <c r="N9" s="59">
        <v>25.8</v>
      </c>
      <c r="O9" s="59">
        <v>25.8</v>
      </c>
      <c r="P9" s="59">
        <v>26</v>
      </c>
      <c r="Q9" s="59">
        <v>25.7</v>
      </c>
      <c r="R9" s="59">
        <v>25.7</v>
      </c>
      <c r="S9" s="59">
        <v>25.7</v>
      </c>
      <c r="T9" s="59">
        <v>26</v>
      </c>
      <c r="U9" s="59">
        <v>27.7</v>
      </c>
      <c r="V9" s="59">
        <v>27.2</v>
      </c>
      <c r="W9" s="59">
        <v>27.1</v>
      </c>
      <c r="X9" s="59">
        <v>27.2</v>
      </c>
      <c r="Y9" s="59"/>
      <c r="Z9" s="59"/>
      <c r="AA9" s="59"/>
    </row>
    <row r="10" spans="1:27" x14ac:dyDescent="0.35">
      <c r="A10" s="59" t="s">
        <v>100</v>
      </c>
      <c r="B10" s="59">
        <v>24.1</v>
      </c>
      <c r="C10" s="59">
        <v>25.4</v>
      </c>
      <c r="D10" s="59">
        <v>25</v>
      </c>
      <c r="E10" s="59">
        <v>25.1</v>
      </c>
      <c r="F10" s="59">
        <v>24.3</v>
      </c>
      <c r="G10" s="59">
        <v>24.9</v>
      </c>
      <c r="H10" s="59">
        <v>24.5</v>
      </c>
      <c r="I10" s="59">
        <v>24.5</v>
      </c>
      <c r="J10" s="59">
        <v>24.7</v>
      </c>
      <c r="K10" s="59">
        <v>25.1</v>
      </c>
      <c r="L10" s="59">
        <v>25</v>
      </c>
      <c r="M10" s="59">
        <v>24.5</v>
      </c>
      <c r="N10" s="59">
        <v>24.3</v>
      </c>
      <c r="O10" s="59">
        <v>24.9</v>
      </c>
      <c r="P10" s="59">
        <v>24.9</v>
      </c>
      <c r="Q10" s="59">
        <v>24.9</v>
      </c>
      <c r="R10" s="59">
        <v>24.3</v>
      </c>
      <c r="S10" s="59">
        <v>25.5</v>
      </c>
      <c r="T10" s="59">
        <v>25.9</v>
      </c>
      <c r="U10" s="59">
        <v>27</v>
      </c>
      <c r="V10" s="59">
        <v>25.1</v>
      </c>
      <c r="W10" s="59">
        <v>25.1</v>
      </c>
      <c r="X10" s="59">
        <v>25.1</v>
      </c>
      <c r="Y10" s="59"/>
      <c r="Z10" s="59"/>
      <c r="AA10" s="59"/>
    </row>
    <row r="11" spans="1:27" x14ac:dyDescent="0.35">
      <c r="A11" s="59" t="s">
        <v>102</v>
      </c>
      <c r="B11" s="59">
        <v>24.9</v>
      </c>
      <c r="C11" s="59">
        <v>26</v>
      </c>
      <c r="D11" s="59">
        <v>26.2</v>
      </c>
      <c r="E11" s="59">
        <v>26.3</v>
      </c>
      <c r="F11" s="59">
        <v>25.2</v>
      </c>
      <c r="G11" s="59">
        <v>25.7</v>
      </c>
      <c r="H11" s="59">
        <v>25.9</v>
      </c>
      <c r="I11" s="59">
        <v>25.4</v>
      </c>
      <c r="J11" s="59">
        <v>26</v>
      </c>
      <c r="K11" s="59">
        <v>25.4</v>
      </c>
      <c r="L11" s="59">
        <v>25</v>
      </c>
      <c r="M11" s="59">
        <v>25</v>
      </c>
      <c r="N11" s="59">
        <v>24.6</v>
      </c>
      <c r="O11" s="59">
        <v>25.1</v>
      </c>
      <c r="P11" s="59">
        <v>25.1</v>
      </c>
      <c r="Q11" s="59">
        <v>24.3</v>
      </c>
      <c r="R11" s="59">
        <v>23.5</v>
      </c>
      <c r="S11" s="59">
        <v>25.4</v>
      </c>
      <c r="T11" s="59">
        <v>24.1</v>
      </c>
      <c r="U11" s="59">
        <v>26.3</v>
      </c>
      <c r="V11" s="59">
        <v>25.4</v>
      </c>
      <c r="W11" s="59">
        <v>25</v>
      </c>
      <c r="X11" s="59">
        <v>24.8</v>
      </c>
      <c r="Y11" s="59"/>
      <c r="Z11" s="59"/>
      <c r="AA11" s="59"/>
    </row>
    <row r="12" spans="1:27" x14ac:dyDescent="0.35">
      <c r="A12" s="59" t="s">
        <v>104</v>
      </c>
      <c r="B12" s="59">
        <v>26.1</v>
      </c>
      <c r="C12" s="59">
        <v>27.2</v>
      </c>
      <c r="D12" s="59">
        <v>26.9</v>
      </c>
      <c r="E12" s="59">
        <v>27.1</v>
      </c>
      <c r="F12" s="59">
        <v>26.4</v>
      </c>
      <c r="G12" s="59">
        <v>26.1</v>
      </c>
      <c r="H12" s="59">
        <v>26.4</v>
      </c>
      <c r="I12" s="59">
        <v>26.4</v>
      </c>
      <c r="J12" s="59">
        <v>26.3</v>
      </c>
      <c r="K12" s="59">
        <v>26.4</v>
      </c>
      <c r="L12" s="59">
        <v>26.3</v>
      </c>
      <c r="M12" s="59">
        <v>26.2</v>
      </c>
      <c r="N12" s="59">
        <v>24.4</v>
      </c>
      <c r="O12" s="59">
        <v>25.9</v>
      </c>
      <c r="P12" s="59">
        <v>26.4</v>
      </c>
      <c r="Q12" s="59">
        <v>26.5</v>
      </c>
      <c r="R12" s="59">
        <v>27.3</v>
      </c>
      <c r="S12" s="59">
        <v>27</v>
      </c>
      <c r="T12" s="59">
        <v>26.9</v>
      </c>
      <c r="U12" s="59">
        <v>27.1</v>
      </c>
      <c r="V12" s="59">
        <v>26.8</v>
      </c>
      <c r="W12" s="59">
        <v>26.7</v>
      </c>
      <c r="X12" s="59">
        <v>26.6</v>
      </c>
      <c r="Y12" s="59"/>
      <c r="Z12" s="59"/>
      <c r="AA12" s="59"/>
    </row>
    <row r="13" spans="1:27" x14ac:dyDescent="0.35">
      <c r="A13" s="59" t="s">
        <v>108</v>
      </c>
      <c r="B13" s="59">
        <v>23.3</v>
      </c>
      <c r="C13" s="59">
        <v>24</v>
      </c>
      <c r="D13" s="59">
        <v>24.1</v>
      </c>
      <c r="E13" s="59">
        <v>24.1</v>
      </c>
      <c r="F13" s="59">
        <v>24</v>
      </c>
      <c r="G13" s="59">
        <v>23.8</v>
      </c>
      <c r="H13" s="59">
        <v>23.6</v>
      </c>
      <c r="I13" s="59">
        <v>23.9</v>
      </c>
      <c r="J13" s="59">
        <v>23.8</v>
      </c>
      <c r="K13" s="59">
        <v>24</v>
      </c>
      <c r="L13" s="59">
        <v>24</v>
      </c>
      <c r="M13" s="59">
        <v>23.8</v>
      </c>
      <c r="N13" s="59">
        <v>24</v>
      </c>
      <c r="O13" s="59">
        <v>24</v>
      </c>
      <c r="P13" s="59">
        <v>24.3</v>
      </c>
      <c r="Q13" s="59">
        <v>25.8</v>
      </c>
      <c r="R13" s="59">
        <v>24.7</v>
      </c>
      <c r="S13" s="59">
        <v>24.7</v>
      </c>
      <c r="T13" s="59">
        <v>24.9</v>
      </c>
      <c r="U13" s="59">
        <v>25.4</v>
      </c>
      <c r="V13" s="59">
        <v>24.7</v>
      </c>
      <c r="W13" s="59">
        <v>24.5</v>
      </c>
      <c r="X13" s="59">
        <v>24.8</v>
      </c>
      <c r="Y13" s="59"/>
      <c r="Z13" s="59"/>
      <c r="AA13" s="59"/>
    </row>
  </sheetData>
  <phoneticPr fontId="1" type="noConversion"/>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12034-6130-48DE-8A5A-F24C9FA276F9}">
  <dimension ref="A1:AA13"/>
  <sheetViews>
    <sheetView tabSelected="1" workbookViewId="0">
      <selection activeCell="B1" sqref="B1:AA1"/>
    </sheetView>
  </sheetViews>
  <sheetFormatPr defaultRowHeight="14.5" x14ac:dyDescent="0.35"/>
  <sheetData>
    <row r="1" spans="1:27" x14ac:dyDescent="0.35">
      <c r="A1" s="58" t="s">
        <v>231</v>
      </c>
      <c r="B1" s="58" t="s">
        <v>232</v>
      </c>
      <c r="C1" s="58" t="s">
        <v>233</v>
      </c>
      <c r="D1" s="58" t="s">
        <v>234</v>
      </c>
      <c r="E1" s="58" t="s">
        <v>235</v>
      </c>
      <c r="F1" s="58" t="s">
        <v>236</v>
      </c>
      <c r="G1" s="58" t="s">
        <v>237</v>
      </c>
      <c r="H1" s="58" t="s">
        <v>238</v>
      </c>
      <c r="I1" s="58" t="s">
        <v>239</v>
      </c>
      <c r="J1" s="58" t="s">
        <v>240</v>
      </c>
      <c r="K1" s="58" t="s">
        <v>241</v>
      </c>
      <c r="L1" s="58" t="s">
        <v>242</v>
      </c>
      <c r="M1" s="58" t="s">
        <v>243</v>
      </c>
      <c r="N1" s="58" t="s">
        <v>244</v>
      </c>
      <c r="O1" s="58" t="s">
        <v>245</v>
      </c>
      <c r="P1" s="58" t="s">
        <v>246</v>
      </c>
      <c r="Q1" s="58" t="s">
        <v>247</v>
      </c>
      <c r="R1" s="58" t="s">
        <v>248</v>
      </c>
      <c r="S1" s="58" t="s">
        <v>249</v>
      </c>
      <c r="T1" s="58" t="s">
        <v>250</v>
      </c>
      <c r="U1" s="58" t="s">
        <v>251</v>
      </c>
      <c r="V1" s="58" t="s">
        <v>252</v>
      </c>
      <c r="W1" s="58" t="s">
        <v>253</v>
      </c>
      <c r="X1" s="58" t="s">
        <v>254</v>
      </c>
      <c r="Y1" s="58" t="s">
        <v>255</v>
      </c>
      <c r="Z1" s="58" t="s">
        <v>256</v>
      </c>
      <c r="AA1" s="58" t="s">
        <v>257</v>
      </c>
    </row>
    <row r="2" spans="1:27" x14ac:dyDescent="0.35">
      <c r="A2" s="58" t="s">
        <v>57</v>
      </c>
      <c r="B2" s="58">
        <v>0</v>
      </c>
      <c r="C2" s="58">
        <v>0</v>
      </c>
      <c r="D2" s="58">
        <v>0</v>
      </c>
      <c r="E2" s="58">
        <v>0</v>
      </c>
      <c r="F2" s="58">
        <v>0</v>
      </c>
      <c r="G2" s="58">
        <v>0</v>
      </c>
      <c r="H2" s="58">
        <v>0</v>
      </c>
      <c r="I2" s="58">
        <v>0</v>
      </c>
      <c r="J2" s="58">
        <v>0</v>
      </c>
      <c r="K2" s="58">
        <v>12</v>
      </c>
      <c r="L2" s="58">
        <v>10</v>
      </c>
      <c r="M2" s="58">
        <v>5</v>
      </c>
      <c r="N2" s="58">
        <v>17</v>
      </c>
      <c r="O2" s="58">
        <v>10</v>
      </c>
      <c r="P2" s="58">
        <v>10</v>
      </c>
      <c r="Q2" s="58">
        <v>11</v>
      </c>
      <c r="R2" s="58">
        <v>8</v>
      </c>
      <c r="S2" s="58">
        <v>3</v>
      </c>
      <c r="T2" s="58">
        <v>0</v>
      </c>
      <c r="U2" s="58">
        <v>0</v>
      </c>
      <c r="V2" s="58">
        <v>0</v>
      </c>
      <c r="W2" s="58">
        <v>0</v>
      </c>
      <c r="X2" s="58">
        <v>0</v>
      </c>
      <c r="Y2" s="58">
        <v>5</v>
      </c>
      <c r="Z2" s="58">
        <v>8</v>
      </c>
      <c r="AA2" s="58">
        <v>9</v>
      </c>
    </row>
    <row r="3" spans="1:27" x14ac:dyDescent="0.35">
      <c r="A3" s="58" t="s">
        <v>75</v>
      </c>
      <c r="B3" s="58">
        <v>0</v>
      </c>
      <c r="C3" s="58">
        <v>0</v>
      </c>
      <c r="D3" s="58">
        <v>0</v>
      </c>
      <c r="E3" s="58">
        <v>0</v>
      </c>
      <c r="F3" s="58">
        <v>0</v>
      </c>
      <c r="G3" s="58">
        <v>0</v>
      </c>
      <c r="H3" s="58">
        <v>0</v>
      </c>
      <c r="I3" s="58">
        <v>0</v>
      </c>
      <c r="J3" s="58">
        <v>0</v>
      </c>
      <c r="K3" s="58">
        <v>0</v>
      </c>
      <c r="L3" s="58">
        <v>0</v>
      </c>
      <c r="M3" s="58">
        <v>0</v>
      </c>
      <c r="N3" s="58">
        <v>0</v>
      </c>
      <c r="O3" s="58">
        <v>0</v>
      </c>
      <c r="P3" s="58">
        <v>0</v>
      </c>
      <c r="Q3" s="58">
        <v>0</v>
      </c>
      <c r="R3" s="58">
        <v>0</v>
      </c>
      <c r="S3" s="58">
        <v>0</v>
      </c>
      <c r="T3" s="58">
        <v>0</v>
      </c>
      <c r="U3" s="58">
        <v>0</v>
      </c>
      <c r="V3" s="58">
        <v>0</v>
      </c>
      <c r="W3" s="58">
        <v>0</v>
      </c>
      <c r="X3" s="58">
        <v>0</v>
      </c>
      <c r="Y3" s="58">
        <v>0</v>
      </c>
      <c r="Z3" s="58">
        <v>2</v>
      </c>
      <c r="AA3" s="58">
        <v>0</v>
      </c>
    </row>
    <row r="4" spans="1:27" x14ac:dyDescent="0.35">
      <c r="A4" s="58" t="s">
        <v>78</v>
      </c>
      <c r="B4" s="58">
        <v>0</v>
      </c>
      <c r="C4" s="58">
        <v>0</v>
      </c>
      <c r="D4" s="58">
        <v>0</v>
      </c>
      <c r="E4" s="58">
        <v>0</v>
      </c>
      <c r="F4" s="58">
        <v>0</v>
      </c>
      <c r="G4" s="58">
        <v>0</v>
      </c>
      <c r="H4" s="58">
        <v>0</v>
      </c>
      <c r="I4" s="58">
        <v>35</v>
      </c>
      <c r="J4" s="58">
        <v>10</v>
      </c>
      <c r="K4" s="58">
        <v>25</v>
      </c>
      <c r="L4" s="58">
        <v>50</v>
      </c>
      <c r="M4" s="58">
        <v>70</v>
      </c>
      <c r="N4" s="58">
        <v>45</v>
      </c>
      <c r="O4" s="58">
        <v>40</v>
      </c>
      <c r="P4" s="58">
        <v>55</v>
      </c>
      <c r="Q4" s="58">
        <v>45</v>
      </c>
      <c r="R4" s="58">
        <v>40</v>
      </c>
      <c r="S4" s="58">
        <v>25</v>
      </c>
      <c r="T4" s="58">
        <v>0</v>
      </c>
      <c r="U4" s="58">
        <v>0</v>
      </c>
      <c r="V4" s="58">
        <v>0</v>
      </c>
      <c r="W4" s="58">
        <v>0</v>
      </c>
      <c r="X4" s="58">
        <v>0</v>
      </c>
      <c r="Y4" s="58">
        <v>5</v>
      </c>
      <c r="Z4" s="58">
        <v>3</v>
      </c>
      <c r="AA4" s="58">
        <v>2</v>
      </c>
    </row>
    <row r="5" spans="1:27" x14ac:dyDescent="0.35">
      <c r="A5" s="58" t="s">
        <v>82</v>
      </c>
      <c r="B5" s="58">
        <v>0</v>
      </c>
      <c r="C5" s="58">
        <v>0</v>
      </c>
      <c r="D5" s="58">
        <v>0</v>
      </c>
      <c r="E5" s="58">
        <v>0</v>
      </c>
      <c r="F5" s="58">
        <v>0</v>
      </c>
      <c r="G5" s="58">
        <v>0</v>
      </c>
      <c r="H5" s="58">
        <v>0</v>
      </c>
      <c r="I5" s="58">
        <v>0</v>
      </c>
      <c r="J5" s="58">
        <v>25</v>
      </c>
      <c r="K5" s="58">
        <v>32</v>
      </c>
      <c r="L5" s="58">
        <v>70</v>
      </c>
      <c r="M5" s="58">
        <v>32</v>
      </c>
      <c r="N5" s="58">
        <v>25</v>
      </c>
      <c r="O5" s="58">
        <v>25</v>
      </c>
      <c r="P5" s="58">
        <v>13</v>
      </c>
      <c r="Q5" s="58">
        <v>40</v>
      </c>
      <c r="R5" s="58">
        <v>14</v>
      </c>
      <c r="S5" s="58">
        <v>25</v>
      </c>
      <c r="T5" s="58">
        <v>0</v>
      </c>
      <c r="U5" s="58">
        <v>0</v>
      </c>
      <c r="V5" s="58">
        <v>0</v>
      </c>
      <c r="W5" s="58">
        <v>0</v>
      </c>
      <c r="X5" s="58">
        <v>0</v>
      </c>
      <c r="Y5" s="58">
        <v>0</v>
      </c>
      <c r="Z5" s="58">
        <v>0</v>
      </c>
      <c r="AA5" s="58">
        <v>0</v>
      </c>
    </row>
    <row r="6" spans="1:27" x14ac:dyDescent="0.35">
      <c r="A6" s="58" t="s">
        <v>86</v>
      </c>
      <c r="B6" s="58">
        <v>0</v>
      </c>
      <c r="C6" s="58">
        <v>0</v>
      </c>
      <c r="D6" s="58">
        <v>0</v>
      </c>
      <c r="E6" s="58">
        <v>0</v>
      </c>
      <c r="F6" s="58">
        <v>0</v>
      </c>
      <c r="G6" s="58">
        <v>0</v>
      </c>
      <c r="H6" s="58">
        <v>0</v>
      </c>
      <c r="I6" s="58">
        <v>25</v>
      </c>
      <c r="J6" s="58">
        <v>30</v>
      </c>
      <c r="K6" s="58">
        <v>26</v>
      </c>
      <c r="L6" s="58">
        <v>30</v>
      </c>
      <c r="M6" s="58">
        <v>45</v>
      </c>
      <c r="N6" s="58">
        <v>45</v>
      </c>
      <c r="O6" s="58">
        <v>25</v>
      </c>
      <c r="P6" s="58">
        <v>20</v>
      </c>
      <c r="Q6" s="58">
        <v>38</v>
      </c>
      <c r="R6" s="58">
        <v>13</v>
      </c>
      <c r="S6" s="58">
        <v>13</v>
      </c>
      <c r="T6" s="58">
        <v>0</v>
      </c>
      <c r="U6" s="58">
        <v>0</v>
      </c>
      <c r="V6" s="58">
        <v>0</v>
      </c>
      <c r="W6" s="58">
        <v>0</v>
      </c>
      <c r="X6" s="58">
        <v>0</v>
      </c>
      <c r="Y6" s="58">
        <v>13</v>
      </c>
      <c r="Z6" s="58">
        <v>0</v>
      </c>
      <c r="AA6" s="58">
        <v>0</v>
      </c>
    </row>
    <row r="7" spans="1:27" x14ac:dyDescent="0.35">
      <c r="A7" s="58" t="s">
        <v>90</v>
      </c>
      <c r="B7" s="58">
        <v>0</v>
      </c>
      <c r="C7" s="58">
        <v>0</v>
      </c>
      <c r="D7" s="58">
        <v>0</v>
      </c>
      <c r="E7" s="58">
        <v>0</v>
      </c>
      <c r="F7" s="58">
        <v>0</v>
      </c>
      <c r="G7" s="58">
        <v>0</v>
      </c>
      <c r="H7" s="58">
        <v>0</v>
      </c>
      <c r="I7" s="58">
        <v>0</v>
      </c>
      <c r="J7" s="58">
        <v>5</v>
      </c>
      <c r="K7" s="58">
        <v>0</v>
      </c>
      <c r="L7" s="58">
        <v>0</v>
      </c>
      <c r="M7" s="58">
        <v>0</v>
      </c>
      <c r="N7" s="58">
        <v>0</v>
      </c>
      <c r="O7" s="58">
        <v>0</v>
      </c>
      <c r="P7" s="58">
        <v>0</v>
      </c>
      <c r="Q7" s="58">
        <v>0</v>
      </c>
      <c r="R7" s="58">
        <v>0</v>
      </c>
      <c r="S7" s="58">
        <v>0</v>
      </c>
      <c r="T7" s="58">
        <v>0</v>
      </c>
      <c r="U7" s="58">
        <v>0</v>
      </c>
      <c r="V7" s="58">
        <v>0</v>
      </c>
      <c r="W7" s="58">
        <v>0</v>
      </c>
      <c r="X7" s="58">
        <v>0</v>
      </c>
      <c r="Y7" s="58">
        <v>11</v>
      </c>
      <c r="Z7" s="58">
        <v>8</v>
      </c>
      <c r="AA7" s="58">
        <v>11</v>
      </c>
    </row>
    <row r="8" spans="1:27" x14ac:dyDescent="0.35">
      <c r="A8" s="58" t="s">
        <v>94</v>
      </c>
      <c r="B8" s="58">
        <v>0</v>
      </c>
      <c r="C8" s="58">
        <v>0</v>
      </c>
      <c r="D8" s="58">
        <v>0</v>
      </c>
      <c r="E8" s="58">
        <v>0</v>
      </c>
      <c r="F8" s="58">
        <v>0</v>
      </c>
      <c r="G8" s="58">
        <v>0</v>
      </c>
      <c r="H8" s="58">
        <v>0</v>
      </c>
      <c r="I8" s="58">
        <v>0</v>
      </c>
      <c r="J8" s="58">
        <v>0</v>
      </c>
      <c r="K8" s="58">
        <v>0</v>
      </c>
      <c r="L8" s="58">
        <v>0</v>
      </c>
      <c r="M8" s="58">
        <v>0</v>
      </c>
      <c r="N8" s="58">
        <v>0</v>
      </c>
      <c r="O8" s="58">
        <v>0</v>
      </c>
      <c r="P8" s="58">
        <v>0</v>
      </c>
      <c r="Q8" s="58">
        <v>0</v>
      </c>
      <c r="R8" s="58">
        <v>0</v>
      </c>
      <c r="S8" s="58">
        <v>0</v>
      </c>
      <c r="T8" s="58">
        <v>0</v>
      </c>
      <c r="U8" s="58">
        <v>0</v>
      </c>
      <c r="V8" s="58">
        <v>0</v>
      </c>
      <c r="W8" s="58">
        <v>0</v>
      </c>
      <c r="X8" s="58">
        <v>0</v>
      </c>
      <c r="Y8" s="58"/>
      <c r="Z8" s="58"/>
      <c r="AA8" s="58"/>
    </row>
    <row r="9" spans="1:27" x14ac:dyDescent="0.35">
      <c r="A9" s="58" t="s">
        <v>98</v>
      </c>
      <c r="B9" s="58">
        <v>0</v>
      </c>
      <c r="C9" s="58">
        <v>0</v>
      </c>
      <c r="D9" s="58">
        <v>0</v>
      </c>
      <c r="E9" s="58">
        <v>0</v>
      </c>
      <c r="F9" s="58">
        <v>0</v>
      </c>
      <c r="G9" s="58">
        <v>0</v>
      </c>
      <c r="H9" s="58">
        <v>0</v>
      </c>
      <c r="I9" s="58">
        <v>0</v>
      </c>
      <c r="J9" s="58">
        <v>0</v>
      </c>
      <c r="K9" s="58">
        <v>0</v>
      </c>
      <c r="L9" s="58">
        <v>0</v>
      </c>
      <c r="M9" s="58">
        <v>0</v>
      </c>
      <c r="N9" s="58">
        <v>0</v>
      </c>
      <c r="O9" s="58">
        <v>0</v>
      </c>
      <c r="P9" s="58">
        <v>0</v>
      </c>
      <c r="Q9" s="58">
        <v>0</v>
      </c>
      <c r="R9" s="58">
        <v>0</v>
      </c>
      <c r="S9" s="58">
        <v>0</v>
      </c>
      <c r="T9" s="58">
        <v>0</v>
      </c>
      <c r="U9" s="58">
        <v>0</v>
      </c>
      <c r="V9" s="58">
        <v>0</v>
      </c>
      <c r="W9" s="58">
        <v>0</v>
      </c>
      <c r="X9" s="58">
        <v>0</v>
      </c>
      <c r="Y9" s="58"/>
      <c r="Z9" s="58"/>
      <c r="AA9" s="58"/>
    </row>
    <row r="10" spans="1:27" x14ac:dyDescent="0.35">
      <c r="A10" s="58" t="s">
        <v>100</v>
      </c>
      <c r="B10" s="58">
        <v>0</v>
      </c>
      <c r="C10" s="58">
        <v>0</v>
      </c>
      <c r="D10" s="58">
        <v>0</v>
      </c>
      <c r="E10" s="58">
        <v>0</v>
      </c>
      <c r="F10" s="58">
        <v>0</v>
      </c>
      <c r="G10" s="58">
        <v>0</v>
      </c>
      <c r="H10" s="58">
        <v>0</v>
      </c>
      <c r="I10" s="58">
        <v>0</v>
      </c>
      <c r="J10" s="58">
        <v>0</v>
      </c>
      <c r="K10" s="58">
        <v>0</v>
      </c>
      <c r="L10" s="58">
        <v>0</v>
      </c>
      <c r="M10" s="58">
        <v>0</v>
      </c>
      <c r="N10" s="58">
        <v>0</v>
      </c>
      <c r="O10" s="58">
        <v>5</v>
      </c>
      <c r="P10" s="58">
        <v>7</v>
      </c>
      <c r="Q10" s="58">
        <v>27</v>
      </c>
      <c r="R10" s="58">
        <v>15</v>
      </c>
      <c r="S10" s="58">
        <v>3</v>
      </c>
      <c r="T10" s="58">
        <v>0</v>
      </c>
      <c r="U10" s="58">
        <v>0</v>
      </c>
      <c r="V10" s="58">
        <v>11</v>
      </c>
      <c r="W10" s="58">
        <v>2</v>
      </c>
      <c r="X10" s="58">
        <v>0</v>
      </c>
      <c r="Y10" s="58"/>
      <c r="Z10" s="58"/>
      <c r="AA10" s="58"/>
    </row>
    <row r="11" spans="1:27" x14ac:dyDescent="0.35">
      <c r="A11" s="58" t="s">
        <v>102</v>
      </c>
      <c r="B11" s="58">
        <v>0</v>
      </c>
      <c r="C11" s="58">
        <v>0</v>
      </c>
      <c r="D11" s="58">
        <v>0</v>
      </c>
      <c r="E11" s="58">
        <v>0</v>
      </c>
      <c r="F11" s="58">
        <v>0</v>
      </c>
      <c r="G11" s="58">
        <v>0</v>
      </c>
      <c r="H11" s="58">
        <v>0</v>
      </c>
      <c r="I11" s="58">
        <v>0</v>
      </c>
      <c r="J11" s="58">
        <v>0</v>
      </c>
      <c r="K11" s="58">
        <v>0</v>
      </c>
      <c r="L11" s="58">
        <v>0</v>
      </c>
      <c r="M11" s="58">
        <v>0</v>
      </c>
      <c r="N11" s="58">
        <v>0</v>
      </c>
      <c r="O11" s="58">
        <v>0</v>
      </c>
      <c r="P11" s="58">
        <v>0</v>
      </c>
      <c r="Q11" s="58">
        <v>0</v>
      </c>
      <c r="R11" s="58">
        <v>0</v>
      </c>
      <c r="S11" s="58">
        <v>0</v>
      </c>
      <c r="T11" s="58">
        <v>0</v>
      </c>
      <c r="U11" s="58">
        <v>0</v>
      </c>
      <c r="V11" s="58">
        <v>0</v>
      </c>
      <c r="W11" s="58">
        <v>0</v>
      </c>
      <c r="X11" s="58">
        <v>0</v>
      </c>
      <c r="Y11" s="58"/>
      <c r="Z11" s="58"/>
      <c r="AA11" s="58"/>
    </row>
    <row r="12" spans="1:27" x14ac:dyDescent="0.35">
      <c r="A12" s="58" t="s">
        <v>104</v>
      </c>
      <c r="B12" s="58">
        <v>0</v>
      </c>
      <c r="C12" s="58">
        <v>15</v>
      </c>
      <c r="D12" s="58">
        <v>0</v>
      </c>
      <c r="E12" s="58">
        <v>0</v>
      </c>
      <c r="F12" s="58">
        <v>0</v>
      </c>
      <c r="G12" s="58">
        <v>0</v>
      </c>
      <c r="H12" s="58">
        <v>0</v>
      </c>
      <c r="I12" s="58">
        <v>0</v>
      </c>
      <c r="J12" s="58">
        <v>0</v>
      </c>
      <c r="K12" s="58">
        <v>0</v>
      </c>
      <c r="L12" s="58">
        <v>0</v>
      </c>
      <c r="M12" s="58">
        <v>0</v>
      </c>
      <c r="N12" s="58">
        <v>0</v>
      </c>
      <c r="O12" s="58">
        <v>0</v>
      </c>
      <c r="P12" s="58">
        <v>0</v>
      </c>
      <c r="Q12" s="58">
        <v>2</v>
      </c>
      <c r="R12" s="58">
        <v>4</v>
      </c>
      <c r="S12" s="58">
        <v>0</v>
      </c>
      <c r="T12" s="58">
        <v>0</v>
      </c>
      <c r="U12" s="58">
        <v>0</v>
      </c>
      <c r="V12" s="58">
        <v>5</v>
      </c>
      <c r="W12" s="58">
        <v>0</v>
      </c>
      <c r="X12" s="58">
        <v>0</v>
      </c>
      <c r="Y12" s="58"/>
      <c r="Z12" s="58"/>
      <c r="AA12" s="58"/>
    </row>
    <row r="13" spans="1:27" x14ac:dyDescent="0.35">
      <c r="A13" s="58" t="s">
        <v>108</v>
      </c>
      <c r="B13" s="58">
        <v>0</v>
      </c>
      <c r="C13" s="58">
        <v>0</v>
      </c>
      <c r="D13" s="58">
        <v>0</v>
      </c>
      <c r="E13" s="58">
        <v>0</v>
      </c>
      <c r="F13" s="58">
        <v>0</v>
      </c>
      <c r="G13" s="58">
        <v>0</v>
      </c>
      <c r="H13" s="58">
        <v>0</v>
      </c>
      <c r="I13" s="58">
        <v>0</v>
      </c>
      <c r="J13" s="58">
        <v>0</v>
      </c>
      <c r="K13" s="58">
        <v>3</v>
      </c>
      <c r="L13" s="58"/>
      <c r="M13" s="58">
        <v>40</v>
      </c>
      <c r="N13" s="58">
        <v>40</v>
      </c>
      <c r="O13" s="58">
        <v>34</v>
      </c>
      <c r="P13" s="58">
        <v>40</v>
      </c>
      <c r="Q13" s="58">
        <v>32</v>
      </c>
      <c r="R13" s="58">
        <v>28</v>
      </c>
      <c r="S13" s="58">
        <v>30</v>
      </c>
      <c r="T13" s="58">
        <v>0</v>
      </c>
      <c r="U13" s="58">
        <v>0</v>
      </c>
      <c r="V13" s="58">
        <v>0</v>
      </c>
      <c r="W13" s="58">
        <v>0</v>
      </c>
      <c r="X13" s="58">
        <v>0</v>
      </c>
      <c r="Y13" s="58"/>
      <c r="Z13" s="58"/>
      <c r="AA13" s="58"/>
    </row>
  </sheetData>
  <phoneticPr fontId="1"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4405A37C4175C479A3F644649DB0607" ma:contentTypeVersion="13" ma:contentTypeDescription="Create a new document." ma:contentTypeScope="" ma:versionID="4db0d50a355b6844d237d19c12b84034">
  <xsd:schema xmlns:xsd="http://www.w3.org/2001/XMLSchema" xmlns:xs="http://www.w3.org/2001/XMLSchema" xmlns:p="http://schemas.microsoft.com/office/2006/metadata/properties" xmlns:ns2="00853702-0edb-428b-b670-bdc009093857" xmlns:ns3="1aff17e5-78a8-44a2-976d-c6cb29aeffe7" targetNamespace="http://schemas.microsoft.com/office/2006/metadata/properties" ma:root="true" ma:fieldsID="27b31a9bdcf8b22ab0401670791409d6" ns2:_="" ns3:_="">
    <xsd:import namespace="00853702-0edb-428b-b670-bdc009093857"/>
    <xsd:import namespace="1aff17e5-78a8-44a2-976d-c6cb29aeff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853702-0edb-428b-b670-bdc00909385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19" nillable="true" ma:displayName="MediaLengthInSeconds" ma:hidden="true"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aff17e5-78a8-44a2-976d-c6cb29aeffe7"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2412BFF-E377-4C10-9F75-F120679454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853702-0edb-428b-b670-bdc009093857"/>
    <ds:schemaRef ds:uri="1aff17e5-78a8-44a2-976d-c6cb29aeff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0FBC239-FD4A-41E6-8E8B-260AF24E977B}">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03BD40DB-B3D2-4933-B9FC-79227531E67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FEDXA Overal Scheme</vt:lpstr>
      <vt:lpstr>FEDXA01</vt:lpstr>
      <vt:lpstr>FEDXA02</vt:lpstr>
      <vt:lpstr>FEDXA03</vt:lpstr>
      <vt:lpstr>FEDXA04</vt:lpstr>
      <vt:lpstr>FEDXA05</vt:lpstr>
      <vt:lpstr>FEDXA06</vt:lpstr>
      <vt:lpstr>FEDXA07</vt:lpstr>
      <vt:lpstr>FEDXA08</vt:lpstr>
      <vt:lpstr>FEDXA09</vt:lpstr>
      <vt:lpstr>FEDXA10</vt:lpstr>
      <vt:lpstr>FEDXA11</vt:lpstr>
      <vt:lpstr>FEDXA12</vt:lpstr>
      <vt:lpstr>Analysis</vt:lpstr>
      <vt:lpstr>METAFILE</vt:lpstr>
      <vt:lpstr>METAFILE_BW</vt:lpstr>
      <vt:lpstr>METAFILE_HO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Hamid Taghipourbibalan</dc:creator>
  <cp:keywords/>
  <dc:description/>
  <cp:lastModifiedBy>Hamid Taghipourbibalan</cp:lastModifiedBy>
  <cp:revision/>
  <cp:lastPrinted>2022-05-25T13:33:19Z</cp:lastPrinted>
  <dcterms:created xsi:type="dcterms:W3CDTF">2015-06-05T18:17:20Z</dcterms:created>
  <dcterms:modified xsi:type="dcterms:W3CDTF">2022-05-26T12:56:17Z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0x01010054405A37C4175C479A3F644649DB0607</vt:lpwstr>
  </property>
</Properties>
</file>