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7"/>
  <workbookPr/>
  <mc:AlternateContent xmlns:mc="http://schemas.openxmlformats.org/markup-compatibility/2006">
    <mc:Choice Requires="x15">
      <x15ac:absPath xmlns:x15ac="http://schemas.microsoft.com/office/spreadsheetml/2010/11/ac" url="/Users/jon/Dropbox (Arima Genomics)/TradeSecret/Projects/Standard Protocols/bioinformatics/HiChIP_MAPS_pipeline/v1.9/test/"/>
    </mc:Choice>
  </mc:AlternateContent>
  <xr:revisionPtr revIDLastSave="0" documentId="13_ncr:1_{7E2E03F7-FC49-5341-9E12-600167832C92}" xr6:coauthVersionLast="36" xr6:coauthVersionMax="45" xr10:uidLastSave="{00000000-0000-0000-0000-000000000000}"/>
  <bookViews>
    <workbookView xWindow="320" yWindow="500" windowWidth="38080" windowHeight="10280" activeTab="5" xr2:uid="{46E93B95-C026-A449-B424-3DE1635D10C7}"/>
  </bookViews>
  <sheets>
    <sheet name="Cover Page" sheetId="9" r:id="rId1"/>
    <sheet name="ChIP Efficiency" sheetId="12" r:id="rId2"/>
    <sheet name="Arima-QC1" sheetId="2" r:id="rId3"/>
    <sheet name="Library Complexity QC" sheetId="8" r:id="rId4"/>
    <sheet name="Data QC - Shallow Seq " sheetId="10" r:id="rId5"/>
    <sheet name="Data QC - Deep Seq" sheetId="13" r:id="rId6"/>
    <sheet name="Metric Definitions" sheetId="11" r:id="rId7"/>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0" i="10" l="1"/>
  <c r="A19" i="13"/>
  <c r="O40" i="8" l="1"/>
  <c r="M40" i="8"/>
  <c r="B42" i="12" l="1"/>
  <c r="E18" i="12"/>
  <c r="F31" i="2"/>
  <c r="F17" i="2"/>
  <c r="C15" i="12" l="1"/>
  <c r="C21" i="10" l="1"/>
  <c r="C22" i="10"/>
  <c r="C23" i="10"/>
  <c r="C24" i="10"/>
  <c r="C25" i="10"/>
  <c r="C26" i="10"/>
  <c r="C27" i="10"/>
  <c r="C20" i="10"/>
  <c r="B27" i="10"/>
  <c r="A27" i="10"/>
  <c r="B26" i="10"/>
  <c r="A26" i="10"/>
  <c r="B25" i="10"/>
  <c r="A25" i="10"/>
  <c r="B24" i="10"/>
  <c r="A24" i="10"/>
  <c r="B23" i="10"/>
  <c r="A23" i="10"/>
  <c r="B22" i="10"/>
  <c r="A22" i="10"/>
  <c r="B21" i="10"/>
  <c r="A21" i="10"/>
  <c r="B20" i="10"/>
  <c r="B26" i="13" l="1"/>
  <c r="A26" i="13"/>
  <c r="B25" i="13"/>
  <c r="A25" i="13"/>
  <c r="B24" i="13"/>
  <c r="A24" i="13"/>
  <c r="B23" i="13"/>
  <c r="A23" i="13"/>
  <c r="B22" i="13"/>
  <c r="A22" i="13"/>
  <c r="B21" i="13"/>
  <c r="A21" i="13"/>
  <c r="B20" i="13"/>
  <c r="A20" i="13"/>
  <c r="B19" i="13"/>
  <c r="K59" i="8" l="1"/>
  <c r="G59" i="8"/>
  <c r="F59" i="8"/>
  <c r="K58" i="8"/>
  <c r="G58" i="8"/>
  <c r="F58" i="8"/>
  <c r="K57" i="8"/>
  <c r="G57" i="8"/>
  <c r="F57" i="8"/>
  <c r="K56" i="8"/>
  <c r="G56" i="8"/>
  <c r="F56" i="8"/>
  <c r="K55" i="8"/>
  <c r="G55" i="8"/>
  <c r="F55" i="8"/>
  <c r="K54" i="8"/>
  <c r="G54" i="8"/>
  <c r="F54" i="8"/>
  <c r="K53" i="8"/>
  <c r="G53" i="8"/>
  <c r="F53" i="8"/>
  <c r="K52" i="8"/>
  <c r="G52" i="8"/>
  <c r="F52" i="8"/>
  <c r="F18" i="2" l="1"/>
  <c r="G18" i="2" s="1"/>
  <c r="F19" i="2"/>
  <c r="G19" i="2" s="1"/>
  <c r="F20" i="2"/>
  <c r="G20" i="2" s="1"/>
  <c r="F21" i="2"/>
  <c r="G21" i="2" s="1"/>
  <c r="F22" i="2"/>
  <c r="G22" i="2" s="1"/>
  <c r="F23" i="2"/>
  <c r="G23" i="2" s="1"/>
  <c r="F24" i="2"/>
  <c r="G24" i="2" s="1"/>
  <c r="G17" i="2"/>
  <c r="E18" i="2"/>
  <c r="E19" i="2"/>
  <c r="E20" i="2"/>
  <c r="E21" i="2"/>
  <c r="E22" i="2"/>
  <c r="E23" i="2"/>
  <c r="E24" i="2"/>
  <c r="E17" i="2"/>
  <c r="E19" i="12"/>
  <c r="E20" i="12"/>
  <c r="E21" i="12"/>
  <c r="E22" i="12"/>
  <c r="E23" i="12"/>
  <c r="E24" i="12"/>
  <c r="E25" i="12"/>
  <c r="E32" i="12"/>
  <c r="B43" i="12" s="1"/>
  <c r="E33" i="12"/>
  <c r="B44" i="12" s="1"/>
  <c r="E34" i="12"/>
  <c r="E35" i="12"/>
  <c r="E36" i="12"/>
  <c r="E37" i="12"/>
  <c r="B48" i="12" s="1"/>
  <c r="E38" i="12"/>
  <c r="E31" i="12"/>
  <c r="B47" i="12" l="1"/>
  <c r="B46" i="12"/>
  <c r="B49" i="12"/>
  <c r="B45" i="12"/>
  <c r="E32" i="2"/>
  <c r="E33" i="2"/>
  <c r="E34" i="2"/>
  <c r="F34" i="2" s="1"/>
  <c r="G34" i="2" s="1"/>
  <c r="E35" i="2"/>
  <c r="F35" i="2" s="1"/>
  <c r="G35" i="2" s="1"/>
  <c r="E36" i="2"/>
  <c r="E37" i="2"/>
  <c r="E38" i="2"/>
  <c r="E31" i="2"/>
  <c r="G31" i="2" s="1"/>
  <c r="G41" i="8"/>
  <c r="G42" i="8"/>
  <c r="G43" i="8"/>
  <c r="G44" i="8"/>
  <c r="G45" i="8"/>
  <c r="G46" i="8"/>
  <c r="G47" i="8"/>
  <c r="F41" i="8"/>
  <c r="F42" i="8"/>
  <c r="F43" i="8"/>
  <c r="F44" i="8"/>
  <c r="F45" i="8"/>
  <c r="F46" i="8"/>
  <c r="F47" i="8"/>
  <c r="F40" i="8"/>
  <c r="H21" i="8"/>
  <c r="H22" i="8"/>
  <c r="H23" i="8"/>
  <c r="H24" i="8"/>
  <c r="H25" i="8"/>
  <c r="H26" i="8"/>
  <c r="H20" i="8"/>
  <c r="F21" i="8"/>
  <c r="F22" i="8"/>
  <c r="F23" i="8"/>
  <c r="F24" i="8"/>
  <c r="F25" i="8"/>
  <c r="F26" i="8"/>
  <c r="E21" i="8"/>
  <c r="E22" i="8"/>
  <c r="E23" i="8"/>
  <c r="E24" i="8"/>
  <c r="E25" i="8"/>
  <c r="E26" i="8"/>
  <c r="F32" i="2"/>
  <c r="G32" i="2" s="1"/>
  <c r="F33" i="2"/>
  <c r="G33" i="2" s="1"/>
  <c r="F36" i="2"/>
  <c r="G36" i="2" s="1"/>
  <c r="F37" i="2"/>
  <c r="G37" i="2" s="1"/>
  <c r="F38" i="2"/>
  <c r="G38" i="2" s="1"/>
  <c r="E20" i="8"/>
  <c r="K41" i="8"/>
  <c r="K42" i="8"/>
  <c r="K43" i="8"/>
  <c r="K44" i="8"/>
  <c r="K45" i="8"/>
  <c r="K46" i="8"/>
  <c r="K47" i="8"/>
  <c r="K40" i="8"/>
  <c r="G40" i="8"/>
  <c r="F20" i="8"/>
  <c r="I22" i="8" l="1"/>
  <c r="I21" i="8"/>
  <c r="I25" i="8"/>
  <c r="I23" i="8"/>
  <c r="B28" i="8"/>
  <c r="B29" i="8"/>
  <c r="I24" i="8"/>
  <c r="H56" i="8" l="1"/>
  <c r="J56" i="8" s="1"/>
  <c r="L56" i="8" s="1"/>
  <c r="M56" i="8" s="1"/>
  <c r="H52" i="8"/>
  <c r="J52" i="8" s="1"/>
  <c r="L52" i="8" s="1"/>
  <c r="M52" i="8" s="1"/>
  <c r="H55" i="8"/>
  <c r="J55" i="8" s="1"/>
  <c r="L55" i="8" s="1"/>
  <c r="M55" i="8" s="1"/>
  <c r="H54" i="8"/>
  <c r="J54" i="8" s="1"/>
  <c r="L54" i="8" s="1"/>
  <c r="M54" i="8" s="1"/>
  <c r="H58" i="8"/>
  <c r="J58" i="8" s="1"/>
  <c r="L58" i="8" s="1"/>
  <c r="M58" i="8" s="1"/>
  <c r="H59" i="8"/>
  <c r="J59" i="8" s="1"/>
  <c r="L59" i="8" s="1"/>
  <c r="M59" i="8" s="1"/>
  <c r="H53" i="8"/>
  <c r="J53" i="8" s="1"/>
  <c r="L53" i="8" s="1"/>
  <c r="M53" i="8" s="1"/>
  <c r="H57" i="8"/>
  <c r="J57" i="8" s="1"/>
  <c r="L57" i="8" s="1"/>
  <c r="M57" i="8" s="1"/>
  <c r="H45" i="8"/>
  <c r="J45" i="8" s="1"/>
  <c r="L45" i="8" s="1"/>
  <c r="M45" i="8" s="1"/>
  <c r="H46" i="8"/>
  <c r="J46" i="8" s="1"/>
  <c r="L46" i="8" s="1"/>
  <c r="M46" i="8" s="1"/>
  <c r="H47" i="8"/>
  <c r="J47" i="8" s="1"/>
  <c r="L47" i="8" s="1"/>
  <c r="M47" i="8" s="1"/>
  <c r="H40" i="8"/>
  <c r="J40" i="8" s="1"/>
  <c r="L40" i="8" s="1"/>
  <c r="H44" i="8"/>
  <c r="J44" i="8" s="1"/>
  <c r="L44" i="8" s="1"/>
  <c r="M44" i="8" s="1"/>
  <c r="H43" i="8"/>
  <c r="J43" i="8" s="1"/>
  <c r="L43" i="8" s="1"/>
  <c r="M43" i="8" s="1"/>
  <c r="H42" i="8"/>
  <c r="J42" i="8" s="1"/>
  <c r="L42" i="8" s="1"/>
  <c r="M42" i="8" s="1"/>
  <c r="H41" i="8"/>
  <c r="J41" i="8" s="1"/>
  <c r="L41" i="8" s="1"/>
  <c r="M41" i="8" s="1"/>
  <c r="P40" i="8" l="1"/>
  <c r="Q40" i="8" s="1"/>
  <c r="O47" i="8"/>
  <c r="P47" i="8" s="1"/>
  <c r="Q47" i="8" s="1"/>
  <c r="O43" i="8"/>
  <c r="P43" i="8" s="1"/>
  <c r="Q43" i="8" s="1"/>
  <c r="O46" i="8"/>
  <c r="P46" i="8" s="1"/>
  <c r="Q46" i="8" s="1"/>
  <c r="O57" i="8"/>
  <c r="P57" i="8" s="1"/>
  <c r="Q57" i="8" s="1"/>
  <c r="O53" i="8"/>
  <c r="P53" i="8" s="1"/>
  <c r="Q53" i="8" s="1"/>
  <c r="O59" i="8"/>
  <c r="P59" i="8" s="1"/>
  <c r="Q59" i="8" s="1"/>
  <c r="O52" i="8"/>
  <c r="P52" i="8" s="1"/>
  <c r="Q52" i="8" s="1"/>
  <c r="O54" i="8"/>
  <c r="P54" i="8" s="1"/>
  <c r="Q54" i="8" s="1"/>
  <c r="O55" i="8"/>
  <c r="P55" i="8" s="1"/>
  <c r="Q55" i="8" s="1"/>
  <c r="O58" i="8"/>
  <c r="P58" i="8" s="1"/>
  <c r="Q58" i="8" s="1"/>
  <c r="O56" i="8"/>
  <c r="P56" i="8" s="1"/>
  <c r="Q56" i="8" s="1"/>
  <c r="O45" i="8"/>
  <c r="P45" i="8" s="1"/>
  <c r="Q45" i="8" s="1"/>
  <c r="O41" i="8"/>
  <c r="P41" i="8" s="1"/>
  <c r="Q41" i="8" s="1"/>
  <c r="O42" i="8"/>
  <c r="P42" i="8" s="1"/>
  <c r="Q42" i="8" s="1"/>
  <c r="O44" i="8"/>
  <c r="P44" i="8" s="1"/>
  <c r="Q44" i="8" s="1"/>
</calcChain>
</file>

<file path=xl/sharedStrings.xml><?xml version="1.0" encoding="utf-8"?>
<sst xmlns="http://schemas.openxmlformats.org/spreadsheetml/2006/main" count="395" uniqueCount="177">
  <si>
    <t>Units</t>
  </si>
  <si>
    <t>Sample</t>
  </si>
  <si>
    <t>Quant Assay</t>
  </si>
  <si>
    <t>Qubit Concentration</t>
  </si>
  <si>
    <t>ng/µL</t>
  </si>
  <si>
    <t>dsDNA HS</t>
  </si>
  <si>
    <t>uL</t>
  </si>
  <si>
    <t>Conc pM</t>
  </si>
  <si>
    <t>Log Conc</t>
  </si>
  <si>
    <t>Slope</t>
  </si>
  <si>
    <t>Y-intercept</t>
  </si>
  <si>
    <t>PCR Efficiency</t>
  </si>
  <si>
    <t>*100%</t>
  </si>
  <si>
    <t>Dilution</t>
  </si>
  <si>
    <t>log conc</t>
  </si>
  <si>
    <t>Avg bp</t>
  </si>
  <si>
    <t>Conc nM</t>
  </si>
  <si>
    <t>MW</t>
  </si>
  <si>
    <t>ng/uL</t>
  </si>
  <si>
    <t>ng in PCR</t>
  </si>
  <si>
    <t>PCR cycles</t>
  </si>
  <si>
    <t>ng Post PCR</t>
  </si>
  <si>
    <t>ng/uL post PCR</t>
  </si>
  <si>
    <t>nM post PCR</t>
  </si>
  <si>
    <t>Arima-QC1</t>
  </si>
  <si>
    <t>Sample A</t>
  </si>
  <si>
    <t>Sample B</t>
  </si>
  <si>
    <t>Sample C</t>
  </si>
  <si>
    <t>Sample D</t>
  </si>
  <si>
    <t>Sample E</t>
  </si>
  <si>
    <t>Sample F</t>
  </si>
  <si>
    <t>Sample G</t>
  </si>
  <si>
    <t>Sample H</t>
  </si>
  <si>
    <t>Yield (ng)</t>
  </si>
  <si>
    <t>Cq 1</t>
  </si>
  <si>
    <t>Cq 2</t>
  </si>
  <si>
    <t>Cq 3</t>
  </si>
  <si>
    <t>Avg Cq</t>
  </si>
  <si>
    <t>Stdev Cq</t>
  </si>
  <si>
    <t>ΔCq</t>
  </si>
  <si>
    <t>Bead-bound library used in PCR reaction</t>
  </si>
  <si>
    <t xml:space="preserve">1. Fill in the 'Sample' column in the below table. </t>
  </si>
  <si>
    <t>Input to Arima-QC Quality Control protocol (ng)</t>
  </si>
  <si>
    <t>Standard 1</t>
  </si>
  <si>
    <t>Standard 2</t>
  </si>
  <si>
    <t>Standard 3</t>
  </si>
  <si>
    <t>Standard 4</t>
  </si>
  <si>
    <t>Standard 5</t>
  </si>
  <si>
    <t>Standard 6</t>
  </si>
  <si>
    <t>Control (Water)</t>
  </si>
  <si>
    <t>Instructions:</t>
  </si>
  <si>
    <t>n/a</t>
  </si>
  <si>
    <t>-</t>
  </si>
  <si>
    <t>Arima-QC1 Calculation Worksheet</t>
  </si>
  <si>
    <t>Arima-QC2 Calculation Worksheet</t>
  </si>
  <si>
    <t>Standards and Control</t>
  </si>
  <si>
    <t>1. Fill in the Cq values for the standards and control (water) sample in the "Standards and Control" section.</t>
  </si>
  <si>
    <t>2. Check that the ΔCq value (Column I) between DNA Standards is in the range of 3.1 – 3.6,  the control (water) has Cq&gt;30, and the standard curve R2 value is ≥0.99.</t>
  </si>
  <si>
    <t>Post PCR Elution Volume</t>
  </si>
  <si>
    <t>DNA Purification Bead Sample Loss</t>
  </si>
  <si>
    <r>
      <rPr>
        <b/>
        <sz val="12"/>
        <color theme="1"/>
        <rFont val="Calibri (Body)_x0000_"/>
      </rPr>
      <t>Important</t>
    </r>
    <r>
      <rPr>
        <b/>
        <sz val="12"/>
        <color theme="1"/>
        <rFont val="Calibri"/>
        <family val="2"/>
        <scheme val="minor"/>
      </rPr>
      <t>: All values in italics with a gray background in the below worksheet are values that need to be filled in by the user. Example values are currently filled in to provide guidance.</t>
    </r>
  </si>
  <si>
    <t>Arima-HiChIP QC Worksheet</t>
  </si>
  <si>
    <t>Arima-HiChIP Samples</t>
  </si>
  <si>
    <t>Arima-HiC Data QC Worksheet</t>
  </si>
  <si>
    <t>MAPS Pipeline</t>
  </si>
  <si>
    <t>MAPS Version #</t>
  </si>
  <si>
    <r>
      <rPr>
        <b/>
        <sz val="12"/>
        <color theme="1"/>
        <rFont val="Calibri (Body)_x0000_"/>
      </rPr>
      <t>Important</t>
    </r>
    <r>
      <rPr>
        <b/>
        <sz val="12"/>
        <color theme="1"/>
        <rFont val="Calibri"/>
        <family val="2"/>
        <scheme val="minor"/>
      </rPr>
      <t xml:space="preserve">: All values in italics with a gray background are values that </t>
    </r>
    <r>
      <rPr>
        <b/>
        <u/>
        <sz val="12"/>
        <color theme="1"/>
        <rFont val="Calibri (Body)"/>
      </rPr>
      <t>need to be filled in by the user</t>
    </r>
    <r>
      <rPr>
        <b/>
        <sz val="12"/>
        <color theme="1"/>
        <rFont val="Calibri"/>
        <family val="2"/>
        <scheme val="minor"/>
      </rPr>
      <t>. Example values are currently filled in to provide guidance.</t>
    </r>
  </si>
  <si>
    <t xml:space="preserve">3. Fill in the 'Sample' column in the "Arima-HiChIP Samples" section. </t>
  </si>
  <si>
    <t>4. Fill in the Cq values for the bead-bound Arima-HiChIP libraries in the "Arima-HiChIP Samples" section.</t>
  </si>
  <si>
    <t>Sample Name</t>
  </si>
  <si>
    <t>Raw PE Reads</t>
  </si>
  <si>
    <t>Example Data</t>
  </si>
  <si>
    <t>Mapped Reads</t>
  </si>
  <si>
    <t>PCR Dups</t>
  </si>
  <si>
    <t>% PCR Dups</t>
  </si>
  <si>
    <t>INTRA pairs</t>
  </si>
  <si>
    <t>% INTRA pairs</t>
  </si>
  <si>
    <t>INTER pairs</t>
  </si>
  <si>
    <t>% INTER pairs</t>
  </si>
  <si>
    <t>ChIP Peaks</t>
  </si>
  <si>
    <t>Short VIPs</t>
  </si>
  <si>
    <t>ChIP Data Features</t>
  </si>
  <si>
    <t>HiC Data Features</t>
  </si>
  <si>
    <t>HiChIP Data Features</t>
  </si>
  <si>
    <t>AND pairs</t>
  </si>
  <si>
    <t>XOR pairs</t>
  </si>
  <si>
    <t>NOT pairs</t>
  </si>
  <si>
    <t>LR FRIPs</t>
  </si>
  <si>
    <t>LR FRIPS per Peak Bin</t>
  </si>
  <si>
    <t>Target Raw PE Reads</t>
  </si>
  <si>
    <t>Basic Arima-HiChIP Data Processing Stats</t>
  </si>
  <si>
    <t>ChIP peaks</t>
  </si>
  <si>
    <t>Peak Bins</t>
  </si>
  <si>
    <t>LR FRIPs per Peak Bin</t>
  </si>
  <si>
    <t>ChIP Efficiency Calculation Worksheet</t>
  </si>
  <si>
    <r>
      <t xml:space="preserve">The </t>
    </r>
    <r>
      <rPr>
        <sz val="12"/>
        <color theme="1"/>
        <rFont val="Calibri (Body)_x0000_"/>
      </rPr>
      <t>instructions</t>
    </r>
    <r>
      <rPr>
        <sz val="12"/>
        <color theme="1"/>
        <rFont val="Calibri"/>
        <family val="2"/>
        <scheme val="minor"/>
      </rPr>
      <t xml:space="preserve"> below provide a step-by-step guide to determining the ChIP Efficiency value of a sample midway through the Arima-HiChIP workflow.</t>
    </r>
  </si>
  <si>
    <t>Shearing QC Samples</t>
  </si>
  <si>
    <t>ChIP QC Samples</t>
  </si>
  <si>
    <t>ChIP Efficiency Values</t>
  </si>
  <si>
    <t>Sample Volume (uL)</t>
  </si>
  <si>
    <t>Fraction of Sheared Chromatin Used</t>
  </si>
  <si>
    <t>ChIP Efficiency</t>
  </si>
  <si>
    <t>2. Fill in the 'Qubit Concentration' values obtained from purifying the Ligation QC aliquots. Ensure that you record the sample concentration in ng/uL. This will automatically calculate how much sample and Elution Buffer is required as input to the Arima-QC1 assay.</t>
  </si>
  <si>
    <t>Ligation QC Samples</t>
  </si>
  <si>
    <t>Arima-QC1 Samples</t>
  </si>
  <si>
    <r>
      <t xml:space="preserve">The </t>
    </r>
    <r>
      <rPr>
        <sz val="12"/>
        <color theme="1"/>
        <rFont val="Calibri (Body)_x0000_"/>
      </rPr>
      <t>instructions</t>
    </r>
    <r>
      <rPr>
        <sz val="12"/>
        <color theme="1"/>
        <rFont val="Calibri"/>
        <family val="2"/>
        <scheme val="minor"/>
      </rPr>
      <t xml:space="preserve"> below provide a step-by-step guide towards determining the Arima-QC1 value and PASS/FAIL status of a sample midway through the Arima-HiChIP workflow.</t>
    </r>
  </si>
  <si>
    <t>Ligation QC Volume for 75ng (uL)</t>
  </si>
  <si>
    <t>Volume of Elution Buffer to bring Arima-QC1 Sample to 50uL (uL)</t>
  </si>
  <si>
    <t>Metric</t>
  </si>
  <si>
    <t>Definition</t>
  </si>
  <si>
    <t># loops</t>
  </si>
  <si>
    <t>Loops</t>
  </si>
  <si>
    <t>number of loops identified by MAPS using the Arima-HiChIP data</t>
  </si>
  <si>
    <t>non-overlapping 5kb bins that contain at least 1 ChIP peak</t>
  </si>
  <si>
    <t>raw paired-end (PE) sequence reads</t>
  </si>
  <si>
    <t>mapped and de-duplicated read-pairs where both read-ends align to the same chromosome</t>
  </si>
  <si>
    <t>percentage of all mapped and de-duplicated read-pairs that have both read-ends aligning to the same chromosome</t>
  </si>
  <si>
    <t>1. Run the MAPS pipeline with Arima-HiChIP data and known set of ChIP peaks. Please note the MAPS version number above.</t>
  </si>
  <si>
    <t>HiC QC</t>
  </si>
  <si>
    <t>ChIP QC</t>
  </si>
  <si>
    <t>Lib Complexity QC</t>
  </si>
  <si>
    <t>INTRA &gt; 15kb pairs</t>
  </si>
  <si>
    <t>% INTRA &gt; 15kb pairs</t>
  </si>
  <si>
    <t>Short VIPs in Peaks</t>
  </si>
  <si>
    <t>% Short VIPs in Peaks</t>
  </si>
  <si>
    <t xml:space="preserve">% Short VIPs in Peaks </t>
  </si>
  <si>
    <t>Short VIPs that overlap the coordinates of a ChIP peak</t>
  </si>
  <si>
    <t>% of all Short VIPs that overlap the coordinates of a ChIP peak. Defined as (Short_VIPs_in_Peaks)/(Short_VIPs)</t>
  </si>
  <si>
    <t>Overall Performance Indicators</t>
  </si>
  <si>
    <t>read-pairs aligned to the genome, where both read-ends have a mapping quality &gt;= 30</t>
  </si>
  <si>
    <t>mapped and de-duplicated read-pairs where both read-ends align to the same chromosome and have an insert size &gt;=15kb</t>
  </si>
  <si>
    <t>percentage of all mapped and de-duplicated read-pairs that have both read-ends aligning to the same chromosome and have an insert size &gt;=15kb</t>
  </si>
  <si>
    <t>General quality of the HiC-like features in the Arima-HiChIP data. Defined as PASS if (% INTRA &gt;15kb) &gt;= 40</t>
  </si>
  <si>
    <t>General quality of the ChIP-like features in the Arima-HiChIP data. Defined as PASS if (% Short VIPs in Peak Bins) &gt;= 15</t>
  </si>
  <si>
    <t>Arima-HiC Data QC Worksheet - Shallow Sequencing Analysis</t>
  </si>
  <si>
    <t>The instructions below provide a step-by-step guide to determining the optimal number of PCR cycles for Library Amplification for an Arima-HiChIP library.</t>
  </si>
  <si>
    <t>5. Manually adjust the values in the 'PCR Cycles' column of the "Arima-HiChIP Samples" section in order to determine the minimum number of PCR cycles required to obtain at least a 10nM library in the 'nM post PCR' column. This is how many cycles should be used to amplify your bead-bound Arima-HiChIP library.</t>
  </si>
  <si>
    <r>
      <t xml:space="preserve">This worksheet is intended to help organize and interpret Arima-HiChIP data quality metrics that are produced by running the MAPS pipeline on </t>
    </r>
    <r>
      <rPr>
        <u/>
        <sz val="12"/>
        <color theme="1"/>
        <rFont val="Calibri (Body)"/>
      </rPr>
      <t xml:space="preserve">lightly sequenced </t>
    </r>
    <r>
      <rPr>
        <sz val="12"/>
        <color theme="1"/>
        <rFont val="Calibri"/>
        <family val="2"/>
        <scheme val="minor"/>
      </rPr>
      <t xml:space="preserve">Arima-HiChIP libraries.  </t>
    </r>
  </si>
  <si>
    <t>This worksheet also provides a high level indication of the quality of the Arima-HiChIP libraries, and how much sequencing depth is required for a robust and reproducible loop calling analysis.</t>
  </si>
  <si>
    <r>
      <t xml:space="preserve">This worksheet is intended to help organize and  interpret Arima-HiChIP data quality metrics that are produced by running the MAPS pipeline on </t>
    </r>
    <r>
      <rPr>
        <u/>
        <sz val="12"/>
        <color theme="1"/>
        <rFont val="Calibri (Body)"/>
      </rPr>
      <t>deeply sequenced</t>
    </r>
    <r>
      <rPr>
        <sz val="12"/>
        <color theme="1"/>
        <rFont val="Calibri"/>
        <family val="2"/>
        <scheme val="minor"/>
      </rPr>
      <t xml:space="preserve"> Arima-HiChIP libraries. </t>
    </r>
  </si>
  <si>
    <t>mapped and de-duplicated intra-chromosomal read-pairs where both read-ends map to a 5kb Peak Bin</t>
  </si>
  <si>
    <t>mapped and de-duplicated intra-chromosomal read-pairs where only one read-end maps to a 5kb Peak Bin</t>
  </si>
  <si>
    <t>mapped and de-duplicated intra-chromosomal read-pairs where neither read-end maps to a 5kb Peak Bin.</t>
  </si>
  <si>
    <t xml:space="preserve">1. Fill in the 'Sample' column in the below tables. </t>
  </si>
  <si>
    <t>3. Fill in the 'Qubit Concentration' values obtained from completing the Arima-QC assay. Ensure that you record the sample concentration in ng/uL. Completing this will automatically calculate the Yield, Arima-QC1 value, and PASS/ALERT status.</t>
  </si>
  <si>
    <t xml:space="preserve">Assessment of Arima-HiChIP library complexity. In shallow seq analysis, this metric indicates whether the library is going to be complex enough to obtain the Target Raw PE Read for reproducible loop calling analysis. </t>
  </si>
  <si>
    <r>
      <t xml:space="preserve">Material Part Number: </t>
    </r>
    <r>
      <rPr>
        <sz val="11"/>
        <color rgb="FF000000"/>
        <rFont val="Avenir Book"/>
        <family val="2"/>
      </rPr>
      <t>A101020</t>
    </r>
  </si>
  <si>
    <t>mapped and de-duplicated read-pairs where each read-end aligns to a different chromosome</t>
  </si>
  <si>
    <t>percentage of all mapped and de-duplicated read-pairs where each read-end aligns to a different chromosome</t>
  </si>
  <si>
    <t>LR FRIPs per Peak Bin per Million Mapped and De-duplicated Reads</t>
  </si>
  <si>
    <t>% Mapped Reads</t>
  </si>
  <si>
    <t>Mapped and De-duped</t>
  </si>
  <si>
    <t>% Mapped and De-duped</t>
  </si>
  <si>
    <t>percentage of all raw read-pairs that align to the genome, where both read-ends have a mapping quality &gt;= 30</t>
  </si>
  <si>
    <t>PCR duplicate read-pairs aligned to the genome, where both read-ends have a mapping quality &gt;= 30</t>
  </si>
  <si>
    <t>percentage of all Mapped Reads that are PCR duplicates</t>
  </si>
  <si>
    <t>monocloncal read-pairs aligned to the genome, where both read-ends have a mapping quality &gt;= 30</t>
  </si>
  <si>
    <t>percentage of all raw read-pairs that align to the genome and are monocloncal, and where both read-ends have a mapping quality &gt;= 30</t>
  </si>
  <si>
    <t>2. Fill in the 'Qubit Concentration' column in the below tables. Ensure that you record the sample concentration in ng/uL. Completing this will automatically calculate the ChIP Efficiency values.</t>
  </si>
  <si>
    <r>
      <t xml:space="preserve">Release Date: </t>
    </r>
    <r>
      <rPr>
        <sz val="11"/>
        <color rgb="FF000000"/>
        <rFont val="Avenir Book"/>
        <family val="2"/>
      </rPr>
      <t>December 2019</t>
    </r>
  </si>
  <si>
    <t>PASS/ALERT</t>
  </si>
  <si>
    <t>LR FRIPS per Peak Bin per Million Mapped and De-duped Reads</t>
  </si>
  <si>
    <t>average number of LR FRIPs eminating from a Peak Bin for every 1M mapped and de-duped read-pairs. Defined as ((LR_FRIPs)/(Peak_Bins))*(1000000/Mapped_Deduped_Reads)</t>
  </si>
  <si>
    <t>https://github.com/ijuric/MAPS/tree/master/Arima_Genomics</t>
  </si>
  <si>
    <t>Optical Dups</t>
  </si>
  <si>
    <t>% Optical Dups</t>
  </si>
  <si>
    <t xml:space="preserve">2. Copy/Paste the output table of deep sequencing metrics (Arima_QC_deep.txt) produced by the MAPS pipeline (excluding column headers) into the table below under the "Arima-HiChIP Samples" section. </t>
  </si>
  <si>
    <t>2. Copy/Paste the output table of shallow sequencing metrics (Arima_QC_shallow.txt) produced by the MAPS pipeline (excluding column headers) into the table below under the "Arima-HiChIP Samples" section.</t>
  </si>
  <si>
    <t>percentage of all Mapped Reads that are Optical duplicates</t>
  </si>
  <si>
    <t>Duplicate molecules resulting from sequencing platform specific artifacts, primarily observed with Patterned flowcells.</t>
  </si>
  <si>
    <t>Number of individual ChIP peaks used for loop calling</t>
  </si>
  <si>
    <t>Short Valid Interaction Pairs (VIPs), mapped and de-duplicated read-pairs where both read-ends align to the same chromosome and have an insert size =&lt;1kb</t>
  </si>
  <si>
    <t>Long Range Fragments in Peaks (LR FRIPs), mapped and de-duplicated intra-chromosomal read-pairs with a interaction distance between 1kb-2Mb and where at least one read-end maps to a 5kb Peak Bin. Defined as a subset of (AND+XOR) where interaction distance is 1kb-2Mb, the range used by MAPS to identify loops.</t>
  </si>
  <si>
    <t>average number of LR FRIPs mapped to a 5kb Peak Bin. Defined as (LR_FRIPs)/(Peak_Bins).  Threshold is &gt;= 382 based on internal benchmarking that showed that this value is required to obtain &gt;= 70% loop recall between replicates</t>
  </si>
  <si>
    <t>Estimated number of Raw PE Reads to obtain 382 LR FRIPs per Peak Bin. We calculate this: 1000000*(382/LR FRIPs per Peak Bin per Million Mapped and Deduplicated Reads) to determine the Minimal number of Mapped Deduplicated reads needed for deep sequencing.  Then we scale this value by empirically determined mapping and duplicate rates and round upto the nearest 10 million reads to obtain the estimated raw sequencing depth for the library.</t>
  </si>
  <si>
    <r>
      <t xml:space="preserve">Document Part Number: </t>
    </r>
    <r>
      <rPr>
        <sz val="11"/>
        <color rgb="FF000000"/>
        <rFont val="Avenir Book"/>
        <family val="2"/>
      </rPr>
      <t>A160170</t>
    </r>
  </si>
  <si>
    <t>Arima-MAPS-test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</si>
</sst>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0.0"/>
  </numFmts>
  <fonts count="3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i/>
      <sz val="12"/>
      <color theme="1"/>
      <name val="Calibri"/>
      <family val="2"/>
      <scheme val="minor"/>
    </font>
    <font>
      <sz val="12"/>
      <color rgb="FFFF0000"/>
      <name val="Calibri (Body)"/>
    </font>
    <font>
      <i/>
      <sz val="12"/>
      <name val="Calibri"/>
      <family val="2"/>
      <scheme val="minor"/>
    </font>
    <font>
      <b/>
      <sz val="12"/>
      <color theme="0"/>
      <name val="Calibri"/>
      <family val="2"/>
      <scheme val="minor"/>
    </font>
    <font>
      <sz val="12"/>
      <color theme="0"/>
      <name val="Calibri"/>
      <family val="2"/>
      <scheme val="minor"/>
    </font>
    <font>
      <b/>
      <sz val="14"/>
      <color theme="1"/>
      <name val="Calibri"/>
      <family val="2"/>
      <scheme val="minor"/>
    </font>
    <font>
      <b/>
      <u/>
      <sz val="12"/>
      <color theme="1"/>
      <name val="Calibri"/>
      <family val="2"/>
      <scheme val="minor"/>
    </font>
    <font>
      <sz val="8"/>
      <name val="Calibri"/>
      <family val="2"/>
      <scheme val="minor"/>
    </font>
    <font>
      <b/>
      <sz val="11"/>
      <color rgb="FF000000"/>
      <name val="Avenir Book"/>
      <family val="2"/>
    </font>
    <font>
      <sz val="11"/>
      <color rgb="FF000000"/>
      <name val="Avenir Book"/>
      <family val="2"/>
    </font>
    <font>
      <b/>
      <u/>
      <sz val="16"/>
      <color theme="1"/>
      <name val="Calibri"/>
      <family val="2"/>
      <scheme val="minor"/>
    </font>
    <font>
      <sz val="12"/>
      <color theme="1"/>
      <name val="Calibri (Body)_x0000_"/>
    </font>
    <font>
      <b/>
      <sz val="12"/>
      <color theme="1"/>
      <name val="Calibri (Body)_x0000_"/>
    </font>
    <font>
      <b/>
      <u/>
      <sz val="12"/>
      <color theme="1"/>
      <name val="Calibri (Body)"/>
    </font>
    <font>
      <b/>
      <sz val="16"/>
      <color theme="0"/>
      <name val="Calibri"/>
      <family val="2"/>
      <scheme val="minor"/>
    </font>
    <font>
      <b/>
      <sz val="16"/>
      <color theme="1"/>
      <name val="Calibri"/>
      <family val="2"/>
      <scheme val="minor"/>
    </font>
    <font>
      <sz val="12"/>
      <color rgb="FF1A6CB7"/>
      <name val="Calibri"/>
      <family val="2"/>
      <scheme val="minor"/>
    </font>
    <font>
      <sz val="12"/>
      <color theme="0" tint="-0.499984740745262"/>
      <name val="Calibri"/>
      <family val="2"/>
      <scheme val="minor"/>
    </font>
    <font>
      <sz val="12"/>
      <color rgb="FF7030A0"/>
      <name val="Calibri"/>
      <family val="2"/>
      <scheme val="minor"/>
    </font>
    <font>
      <u/>
      <sz val="12"/>
      <color theme="1"/>
      <name val="Calibri (Body)"/>
    </font>
    <font>
      <u/>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1A6CB7"/>
        <bgColor indexed="64"/>
      </patternFill>
    </fill>
    <fill>
      <patternFill patternType="solid">
        <fgColor rgb="FFD9D9D9"/>
        <bgColor indexed="64"/>
      </patternFill>
    </fill>
    <fill>
      <patternFill patternType="solid">
        <fgColor theme="0" tint="-0.499984740745262"/>
        <bgColor indexed="64"/>
      </patternFill>
    </fill>
    <fill>
      <patternFill patternType="solid">
        <fgColor rgb="FF7030A0"/>
        <bgColor indexed="64"/>
      </patternFill>
    </fill>
    <fill>
      <patternFill patternType="solid">
        <fgColor theme="9"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theme="0"/>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bottom/>
      <diagonal/>
    </border>
  </borders>
  <cellStyleXfs count="1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7" fillId="0" borderId="1" xfId="0" applyFont="1" applyBorder="1"/>
    <xf numFmtId="0" fontId="4" fillId="0" borderId="0" xfId="0" applyFont="1"/>
    <xf numFmtId="0" fontId="3" fillId="0" borderId="0" xfId="0" applyFont="1"/>
    <xf numFmtId="164" fontId="7" fillId="0" borderId="0" xfId="0" applyNumberFormat="1" applyFont="1"/>
    <xf numFmtId="0" fontId="9" fillId="0" borderId="1" xfId="0" applyNumberFormat="1" applyFont="1" applyBorder="1" applyAlignment="1">
      <alignment horizontal="center"/>
    </xf>
    <xf numFmtId="0" fontId="9" fillId="0" borderId="1" xfId="0" applyFont="1" applyBorder="1" applyAlignment="1">
      <alignment horizontal="center"/>
    </xf>
    <xf numFmtId="0" fontId="11" fillId="0" borderId="0" xfId="0" applyFont="1"/>
    <xf numFmtId="0" fontId="0" fillId="0" borderId="5" xfId="0" applyBorder="1"/>
    <xf numFmtId="0" fontId="16" fillId="0" borderId="0" xfId="0" applyFont="1"/>
    <xf numFmtId="0" fontId="0" fillId="0" borderId="0" xfId="0" applyFont="1"/>
    <xf numFmtId="0" fontId="0" fillId="0" borderId="0" xfId="0" applyFont="1" applyBorder="1"/>
    <xf numFmtId="0" fontId="0" fillId="0" borderId="4" xfId="0" applyFont="1" applyBorder="1"/>
    <xf numFmtId="2" fontId="0" fillId="0" borderId="1" xfId="0" applyNumberFormat="1" applyBorder="1"/>
    <xf numFmtId="43" fontId="0" fillId="0" borderId="1" xfId="8" applyFont="1" applyBorder="1" applyAlignment="1">
      <alignment horizontal="center"/>
    </xf>
    <xf numFmtId="43" fontId="9" fillId="0" borderId="1" xfId="8" applyFont="1" applyBorder="1" applyAlignment="1">
      <alignment horizontal="center"/>
    </xf>
    <xf numFmtId="0" fontId="0" fillId="0" borderId="0" xfId="0" applyAlignment="1">
      <alignment horizontal="center"/>
    </xf>
    <xf numFmtId="0" fontId="4" fillId="0" borderId="0" xfId="0" applyFont="1" applyFill="1"/>
    <xf numFmtId="0" fontId="0" fillId="0" borderId="0" xfId="0" applyFill="1"/>
    <xf numFmtId="0" fontId="0" fillId="0" borderId="1" xfId="0" applyFill="1" applyBorder="1"/>
    <xf numFmtId="2" fontId="9" fillId="0" borderId="1" xfId="8" applyNumberFormat="1" applyFont="1" applyBorder="1" applyAlignment="1">
      <alignment horizontal="center"/>
    </xf>
    <xf numFmtId="0" fontId="10" fillId="2" borderId="1" xfId="0" applyFont="1" applyFill="1" applyBorder="1" applyAlignment="1">
      <alignment horizontal="center"/>
    </xf>
    <xf numFmtId="2" fontId="10" fillId="2" borderId="1" xfId="0" applyNumberFormat="1" applyFont="1" applyFill="1" applyBorder="1" applyAlignment="1">
      <alignment horizontal="center"/>
    </xf>
    <xf numFmtId="0" fontId="10" fillId="2" borderId="1" xfId="0" applyFont="1" applyFill="1" applyBorder="1"/>
    <xf numFmtId="0" fontId="12" fillId="2" borderId="1" xfId="0" applyNumberFormat="1" applyFont="1" applyFill="1" applyBorder="1" applyAlignment="1">
      <alignment horizontal="center"/>
    </xf>
    <xf numFmtId="0" fontId="15" fillId="2" borderId="0" xfId="0" applyFont="1" applyFill="1"/>
    <xf numFmtId="0" fontId="0" fillId="2" borderId="0" xfId="0" applyFill="1"/>
    <xf numFmtId="0" fontId="0" fillId="3" borderId="0" xfId="0" applyFill="1"/>
    <xf numFmtId="0" fontId="18" fillId="3" borderId="0" xfId="0" applyFont="1" applyFill="1"/>
    <xf numFmtId="0" fontId="20" fillId="0" borderId="0" xfId="0" applyFont="1"/>
    <xf numFmtId="0" fontId="15" fillId="0" borderId="0" xfId="0" applyFont="1" applyFill="1"/>
    <xf numFmtId="0" fontId="0" fillId="0" borderId="0" xfId="0" applyFill="1" applyBorder="1"/>
    <xf numFmtId="0" fontId="13" fillId="4" borderId="1" xfId="0" applyFont="1" applyFill="1" applyBorder="1" applyAlignment="1">
      <alignment horizontal="center"/>
    </xf>
    <xf numFmtId="0" fontId="13" fillId="4" borderId="1" xfId="0" applyFont="1" applyFill="1" applyBorder="1"/>
    <xf numFmtId="0" fontId="13" fillId="4" borderId="1" xfId="0" applyFont="1" applyFill="1" applyBorder="1" applyAlignment="1">
      <alignment horizontal="center" wrapText="1"/>
    </xf>
    <xf numFmtId="0" fontId="13" fillId="4" borderId="2" xfId="0" applyFont="1" applyFill="1" applyBorder="1"/>
    <xf numFmtId="0" fontId="14" fillId="4" borderId="3" xfId="0" applyFont="1" applyFill="1" applyBorder="1"/>
    <xf numFmtId="0" fontId="15" fillId="5" borderId="0" xfId="0" applyFont="1" applyFill="1"/>
    <xf numFmtId="0" fontId="0" fillId="5" borderId="0" xfId="0" applyFill="1"/>
    <xf numFmtId="0" fontId="0" fillId="0" borderId="0" xfId="0" applyFont="1" applyFill="1"/>
    <xf numFmtId="0" fontId="0" fillId="0" borderId="6" xfId="0" applyBorder="1"/>
    <xf numFmtId="0" fontId="10" fillId="0" borderId="0" xfId="0" applyFont="1" applyFill="1" applyBorder="1"/>
    <xf numFmtId="0" fontId="10" fillId="0" borderId="1" xfId="0" applyFont="1" applyFill="1" applyBorder="1"/>
    <xf numFmtId="0" fontId="13" fillId="4" borderId="7" xfId="0" applyFont="1" applyFill="1" applyBorder="1" applyAlignment="1">
      <alignment horizontal="center"/>
    </xf>
    <xf numFmtId="0" fontId="14" fillId="0" borderId="0" xfId="0" applyFont="1" applyFill="1"/>
    <xf numFmtId="0" fontId="13" fillId="6" borderId="7" xfId="0" applyFont="1" applyFill="1" applyBorder="1" applyAlignment="1">
      <alignment horizontal="center"/>
    </xf>
    <xf numFmtId="0" fontId="13" fillId="7" borderId="7" xfId="0" applyFont="1" applyFill="1" applyBorder="1" applyAlignment="1">
      <alignment horizontal="center"/>
    </xf>
    <xf numFmtId="0" fontId="4" fillId="0" borderId="7" xfId="0" applyFont="1" applyFill="1" applyBorder="1" applyAlignment="1">
      <alignment horizontal="center"/>
    </xf>
    <xf numFmtId="0" fontId="10" fillId="0" borderId="0" xfId="0" applyFont="1"/>
    <xf numFmtId="0" fontId="13" fillId="6" borderId="1" xfId="0" applyFont="1" applyFill="1" applyBorder="1" applyAlignment="1">
      <alignment horizontal="center" wrapText="1"/>
    </xf>
    <xf numFmtId="0" fontId="13" fillId="7" borderId="1" xfId="0" applyFont="1" applyFill="1" applyBorder="1" applyAlignment="1">
      <alignment horizontal="center" wrapText="1"/>
    </xf>
    <xf numFmtId="0" fontId="13" fillId="4" borderId="6" xfId="0" applyFont="1" applyFill="1" applyBorder="1" applyAlignment="1">
      <alignment horizontal="center" wrapText="1"/>
    </xf>
    <xf numFmtId="0" fontId="7" fillId="0" borderId="0" xfId="0" applyFont="1" applyFill="1" applyBorder="1"/>
    <xf numFmtId="165" fontId="7" fillId="0" borderId="0" xfId="0" applyNumberFormat="1" applyFont="1" applyFill="1" applyBorder="1"/>
    <xf numFmtId="0" fontId="4" fillId="0" borderId="0" xfId="0" applyFont="1" applyFill="1" applyBorder="1"/>
    <xf numFmtId="0" fontId="0" fillId="0" borderId="0" xfId="0" applyAlignment="1">
      <alignment horizontal="left"/>
    </xf>
    <xf numFmtId="166" fontId="10" fillId="2" borderId="1" xfId="0" applyNumberFormat="1" applyFont="1" applyFill="1" applyBorder="1"/>
    <xf numFmtId="10" fontId="7" fillId="0" borderId="1" xfId="3" applyNumberFormat="1" applyFont="1" applyBorder="1"/>
    <xf numFmtId="166" fontId="0" fillId="0" borderId="0" xfId="0" applyNumberFormat="1"/>
    <xf numFmtId="1" fontId="0" fillId="0" borderId="0" xfId="0" applyNumberFormat="1"/>
    <xf numFmtId="0" fontId="13" fillId="6" borderId="11" xfId="0" applyFont="1" applyFill="1" applyBorder="1" applyAlignment="1">
      <alignment horizontal="center" wrapText="1"/>
    </xf>
    <xf numFmtId="166" fontId="10" fillId="2" borderId="1" xfId="0" applyNumberFormat="1" applyFont="1" applyFill="1" applyBorder="1" applyAlignment="1">
      <alignment horizontal="center"/>
    </xf>
    <xf numFmtId="0" fontId="7" fillId="0" borderId="1" xfId="0" applyFont="1" applyBorder="1" applyAlignment="1">
      <alignment horizontal="center"/>
    </xf>
    <xf numFmtId="166" fontId="7" fillId="0" borderId="1" xfId="0" applyNumberFormat="1" applyFont="1" applyBorder="1" applyAlignment="1">
      <alignment horizontal="center"/>
    </xf>
    <xf numFmtId="2" fontId="7" fillId="0" borderId="2" xfId="0" applyNumberFormat="1" applyFont="1" applyBorder="1" applyAlignment="1">
      <alignment horizontal="center"/>
    </xf>
    <xf numFmtId="2" fontId="0" fillId="0" borderId="1" xfId="0" applyNumberFormat="1" applyBorder="1" applyAlignment="1">
      <alignment horizontal="center"/>
    </xf>
    <xf numFmtId="165" fontId="7" fillId="0" borderId="1" xfId="0" applyNumberFormat="1" applyFont="1" applyBorder="1" applyAlignment="1">
      <alignment horizontal="center"/>
    </xf>
    <xf numFmtId="0" fontId="13" fillId="7" borderId="8" xfId="0" applyFont="1" applyFill="1" applyBorder="1" applyAlignment="1">
      <alignment horizontal="center"/>
    </xf>
    <xf numFmtId="0" fontId="0" fillId="0" borderId="12" xfId="0" applyBorder="1"/>
    <xf numFmtId="0" fontId="0" fillId="0" borderId="2" xfId="0" applyBorder="1"/>
    <xf numFmtId="0" fontId="0" fillId="0" borderId="6" xfId="0" applyBorder="1" applyAlignment="1">
      <alignment horizontal="center"/>
    </xf>
    <xf numFmtId="2" fontId="0" fillId="0" borderId="0" xfId="0" applyNumberFormat="1"/>
    <xf numFmtId="0" fontId="4" fillId="8" borderId="7" xfId="0" applyFont="1" applyFill="1" applyBorder="1" applyAlignment="1">
      <alignment horizontal="center"/>
    </xf>
    <xf numFmtId="0" fontId="0" fillId="0" borderId="0" xfId="0" applyFont="1" applyFill="1" applyBorder="1"/>
    <xf numFmtId="43" fontId="0" fillId="0" borderId="0" xfId="0" applyNumberFormat="1"/>
    <xf numFmtId="0" fontId="9" fillId="0" borderId="1" xfId="0" applyNumberFormat="1" applyFont="1" applyFill="1" applyBorder="1" applyAlignment="1">
      <alignment horizontal="center"/>
    </xf>
    <xf numFmtId="2" fontId="0" fillId="0" borderId="0" xfId="0" applyNumberFormat="1" applyAlignment="1">
      <alignment horizontal="left"/>
    </xf>
    <xf numFmtId="0" fontId="0" fillId="0" borderId="0" xfId="0" applyAlignment="1">
      <alignment wrapText="1"/>
    </xf>
    <xf numFmtId="0" fontId="18" fillId="0" borderId="0" xfId="0" applyFont="1" applyFill="1"/>
    <xf numFmtId="0" fontId="0" fillId="0" borderId="0" xfId="0" applyAlignment="1">
      <alignment vertical="center"/>
    </xf>
    <xf numFmtId="0" fontId="0" fillId="0" borderId="0" xfId="0" applyAlignment="1">
      <alignment vertical="center" wrapText="1"/>
    </xf>
    <xf numFmtId="0" fontId="26" fillId="0" borderId="0" xfId="0" applyFont="1" applyFill="1" applyAlignment="1">
      <alignment vertical="center"/>
    </xf>
    <xf numFmtId="0" fontId="0" fillId="0" borderId="0" xfId="0" applyFill="1" applyAlignment="1">
      <alignment vertical="center" wrapText="1"/>
    </xf>
    <xf numFmtId="0" fontId="27" fillId="0" borderId="0" xfId="0" applyFont="1" applyFill="1" applyAlignment="1">
      <alignment vertical="center"/>
    </xf>
    <xf numFmtId="0" fontId="28" fillId="0"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28" fillId="0" borderId="0" xfId="0" applyFont="1" applyAlignment="1">
      <alignment vertical="center"/>
    </xf>
    <xf numFmtId="0" fontId="28" fillId="0" borderId="0" xfId="0" applyFont="1" applyAlignment="1">
      <alignment vertical="center" wrapText="1"/>
    </xf>
    <xf numFmtId="0" fontId="20" fillId="0" borderId="0" xfId="0" applyFont="1" applyAlignment="1">
      <alignment horizontal="left"/>
    </xf>
    <xf numFmtId="0" fontId="20" fillId="0" borderId="0" xfId="0" applyFont="1" applyAlignment="1">
      <alignment horizontal="left" wrapText="1"/>
    </xf>
    <xf numFmtId="0" fontId="24" fillId="7" borderId="9" xfId="0" applyFont="1" applyFill="1" applyBorder="1" applyAlignment="1">
      <alignment horizontal="center"/>
    </xf>
    <xf numFmtId="0" fontId="9" fillId="0" borderId="1" xfId="8" applyNumberFormat="1" applyFont="1" applyBorder="1" applyAlignment="1">
      <alignment horizontal="center"/>
    </xf>
    <xf numFmtId="0" fontId="0" fillId="0" borderId="0" xfId="0" applyFont="1" applyBorder="1" applyAlignment="1">
      <alignment horizontal="left" wrapText="1"/>
    </xf>
    <xf numFmtId="0" fontId="30" fillId="5" borderId="1" xfId="9" applyFont="1" applyFill="1" applyBorder="1" applyAlignment="1">
      <alignment horizontal="left" vertical="center"/>
    </xf>
    <xf numFmtId="0" fontId="25" fillId="8" borderId="8" xfId="0" applyFont="1" applyFill="1" applyBorder="1" applyAlignment="1">
      <alignment horizontal="center"/>
    </xf>
    <xf numFmtId="0" fontId="25" fillId="8" borderId="9" xfId="0" applyFont="1" applyFill="1" applyBorder="1" applyAlignment="1">
      <alignment horizontal="center"/>
    </xf>
    <xf numFmtId="0" fontId="25" fillId="8" borderId="10" xfId="0" applyFont="1" applyFill="1" applyBorder="1" applyAlignment="1">
      <alignment horizontal="center"/>
    </xf>
    <xf numFmtId="0" fontId="25" fillId="0" borderId="8" xfId="0" applyFont="1" applyFill="1" applyBorder="1" applyAlignment="1">
      <alignment horizontal="center"/>
    </xf>
    <xf numFmtId="0" fontId="25" fillId="0" borderId="9" xfId="0" applyFont="1" applyFill="1" applyBorder="1" applyAlignment="1">
      <alignment horizontal="center"/>
    </xf>
    <xf numFmtId="0" fontId="25" fillId="0" borderId="10" xfId="0" applyFont="1" applyFill="1" applyBorder="1" applyAlignment="1">
      <alignment horizontal="center"/>
    </xf>
    <xf numFmtId="0" fontId="24" fillId="4" borderId="8" xfId="0" applyFont="1" applyFill="1" applyBorder="1" applyAlignment="1">
      <alignment horizontal="center" vertical="center"/>
    </xf>
    <xf numFmtId="0" fontId="24" fillId="4" borderId="9" xfId="0" applyFont="1" applyFill="1" applyBorder="1" applyAlignment="1">
      <alignment horizontal="center" vertical="center"/>
    </xf>
    <xf numFmtId="0" fontId="24" fillId="4" borderId="10" xfId="0" applyFont="1" applyFill="1" applyBorder="1" applyAlignment="1">
      <alignment horizontal="center" vertical="center"/>
    </xf>
    <xf numFmtId="0" fontId="24" fillId="6" borderId="8" xfId="0" applyFont="1" applyFill="1" applyBorder="1" applyAlignment="1">
      <alignment horizontal="center"/>
    </xf>
    <xf numFmtId="0" fontId="24" fillId="6" borderId="9" xfId="0" applyFont="1" applyFill="1" applyBorder="1" applyAlignment="1">
      <alignment horizontal="center"/>
    </xf>
    <xf numFmtId="0" fontId="24" fillId="6" borderId="10" xfId="0" applyFont="1" applyFill="1" applyBorder="1" applyAlignment="1">
      <alignment horizontal="center"/>
    </xf>
    <xf numFmtId="0" fontId="24" fillId="7" borderId="8" xfId="0" applyFont="1" applyFill="1" applyBorder="1" applyAlignment="1">
      <alignment horizontal="center"/>
    </xf>
    <xf numFmtId="0" fontId="24" fillId="7" borderId="9" xfId="0" applyFont="1" applyFill="1" applyBorder="1" applyAlignment="1">
      <alignment horizontal="center"/>
    </xf>
    <xf numFmtId="0" fontId="0" fillId="5" borderId="1" xfId="0" applyFill="1" applyBorder="1" applyAlignment="1">
      <alignment horizontal="center"/>
    </xf>
    <xf numFmtId="0" fontId="30" fillId="5" borderId="13" xfId="9" applyFont="1" applyFill="1" applyBorder="1" applyAlignment="1">
      <alignment horizontal="center" vertical="center"/>
    </xf>
    <xf numFmtId="0" fontId="30" fillId="5" borderId="0" xfId="9" applyFont="1" applyFill="1" applyBorder="1" applyAlignment="1">
      <alignment horizontal="center" vertical="center"/>
    </xf>
    <xf numFmtId="0" fontId="0" fillId="5" borderId="13" xfId="0" applyFill="1" applyBorder="1" applyAlignment="1">
      <alignment horizontal="center"/>
    </xf>
    <xf numFmtId="0" fontId="0" fillId="5" borderId="0" xfId="0" applyFill="1" applyBorder="1" applyAlignment="1">
      <alignment horizontal="center"/>
    </xf>
  </cellXfs>
  <cellStyles count="10">
    <cellStyle name="Comma" xfId="8" builtinId="3"/>
    <cellStyle name="Followed Hyperlink" xfId="2" builtinId="9" hidden="1"/>
    <cellStyle name="Followed Hyperlink" xfId="5" builtinId="9" hidden="1"/>
    <cellStyle name="Followed Hyperlink" xfId="7" builtinId="9" hidden="1"/>
    <cellStyle name="Hyperlink" xfId="1" builtinId="8" hidden="1"/>
    <cellStyle name="Hyperlink" xfId="4" builtinId="8" hidden="1"/>
    <cellStyle name="Hyperlink" xfId="6" builtinId="8" hidden="1"/>
    <cellStyle name="Hyperlink" xfId="9" builtinId="8"/>
    <cellStyle name="Normal" xfId="0" builtinId="0"/>
    <cellStyle name="Percent" xfId="3" builtinId="5"/>
  </cellStyles>
  <dxfs count="2">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center" textRotation="0" wrapText="0" indent="0" justifyLastLine="0" shrinkToFit="0" readingOrder="0"/>
    </dxf>
  </dxfs>
  <tableStyles count="0" defaultTableStyle="TableStyleMedium9" defaultPivotStyle="PivotStyleMedium7"/>
  <colors>
    <mruColors>
      <color rgb="FF1A6CB7"/>
      <color rgb="FFD9D9D9"/>
      <color rgb="FFFFAFAD"/>
      <color rgb="FF007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4.6270778652668397E-2"/>
          <c:y val="0.224427083333333"/>
          <c:w val="0.91128477690288701"/>
          <c:h val="0.64105068897637796"/>
        </c:manualLayout>
      </c:layout>
      <c:scatterChart>
        <c:scatterStyle val="lineMarker"/>
        <c:varyColors val="0"/>
        <c:ser>
          <c:idx val="0"/>
          <c:order val="0"/>
          <c:tx>
            <c:v>Standard Curve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1"/>
            <c:dispEq val="1"/>
            <c:trendlineLbl>
              <c:layout>
                <c:manualLayout>
                  <c:x val="-0.44870100612423403"/>
                  <c:y val="-7.1975430154563994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rendlineLbl>
          </c:trendline>
          <c:xVal>
            <c:numRef>
              <c:f>'Library Complexity QC'!$H$20:$H$25</c:f>
              <c:numCache>
                <c:formatCode>_(* #,##0.00_);_(* \(#,##0.00\);_(* "-"??_);_(@_)</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 Complexity QC'!$E$20:$E$25</c:f>
              <c:numCache>
                <c:formatCode>_(* #,##0.00_);_(* \(#,##0.00\);_(* "-"??_);_(@_)</c:formatCode>
                <c:ptCount val="6"/>
                <c:pt idx="0">
                  <c:v>9.5466666666666669</c:v>
                </c:pt>
                <c:pt idx="1">
                  <c:v>12.64</c:v>
                </c:pt>
                <c:pt idx="2">
                  <c:v>15.96</c:v>
                </c:pt>
                <c:pt idx="3">
                  <c:v>19.41333333333333</c:v>
                </c:pt>
                <c:pt idx="4">
                  <c:v>22.939999999999998</c:v>
                </c:pt>
                <c:pt idx="5">
                  <c:v>26.106666666666666</c:v>
                </c:pt>
              </c:numCache>
            </c:numRef>
          </c:yVal>
          <c:smooth val="0"/>
          <c:extLst>
            <c:ext xmlns:c16="http://schemas.microsoft.com/office/drawing/2014/chart" uri="{C3380CC4-5D6E-409C-BE32-E72D297353CC}">
              <c16:uniqueId val="{00000001-4966-314E-8A3B-3FD64E6A51DF}"/>
            </c:ext>
          </c:extLst>
        </c:ser>
        <c:dLbls>
          <c:showLegendKey val="0"/>
          <c:showVal val="0"/>
          <c:showCatName val="0"/>
          <c:showSerName val="0"/>
          <c:showPercent val="0"/>
          <c:showBubbleSize val="0"/>
        </c:dLbls>
        <c:axId val="1800499136"/>
        <c:axId val="1797123760"/>
      </c:scatterChart>
      <c:valAx>
        <c:axId val="18004991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1" i="0" u="none" strike="noStrike" kern="1200" spc="0" baseline="0">
                <a:solidFill>
                  <a:schemeClr val="dk1">
                    <a:lumMod val="65000"/>
                    <a:lumOff val="35000"/>
                  </a:schemeClr>
                </a:solidFill>
                <a:latin typeface="+mn-lt"/>
                <a:ea typeface="+mn-ea"/>
                <a:cs typeface="+mn-cs"/>
              </a:defRPr>
            </a:pPr>
            <a:endParaRPr lang="en-US"/>
          </a:p>
        </c:txPr>
        <c:crossAx val="1797123760"/>
        <c:crosses val="autoZero"/>
        <c:crossBetween val="midCat"/>
      </c:valAx>
      <c:valAx>
        <c:axId val="17971237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1" i="0" u="none" strike="noStrike" kern="1200" spc="0" baseline="0">
                <a:solidFill>
                  <a:schemeClr val="dk1">
                    <a:lumMod val="65000"/>
                    <a:lumOff val="35000"/>
                  </a:schemeClr>
                </a:solidFill>
                <a:latin typeface="+mn-lt"/>
                <a:ea typeface="+mn-ea"/>
                <a:cs typeface="+mn-cs"/>
              </a:defRPr>
            </a:pPr>
            <a:endParaRPr lang="en-US"/>
          </a:p>
        </c:txPr>
        <c:crossAx val="18004991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151301</xdr:rowOff>
    </xdr:from>
    <xdr:to>
      <xdr:col>2</xdr:col>
      <xdr:colOff>83820</xdr:colOff>
      <xdr:row>3</xdr:row>
      <xdr:rowOff>15323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51301"/>
          <a:ext cx="1950720" cy="473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151301</xdr:rowOff>
    </xdr:from>
    <xdr:to>
      <xdr:col>1</xdr:col>
      <xdr:colOff>655320</xdr:colOff>
      <xdr:row>3</xdr:row>
      <xdr:rowOff>15323</xdr:rowOff>
    </xdr:to>
    <xdr:pic>
      <xdr:nvPicPr>
        <xdr:cNvPr id="2" name="Picture 1">
          <a:extLst>
            <a:ext uri="{FF2B5EF4-FFF2-40B4-BE49-F238E27FC236}">
              <a16:creationId xmlns:a16="http://schemas.microsoft.com/office/drawing/2014/main" id="{C8A3092B-C238-974C-A135-B975749E3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151301"/>
          <a:ext cx="1950720" cy="473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151301</xdr:rowOff>
    </xdr:from>
    <xdr:to>
      <xdr:col>1</xdr:col>
      <xdr:colOff>871220</xdr:colOff>
      <xdr:row>3</xdr:row>
      <xdr:rowOff>15323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151301"/>
          <a:ext cx="1950720" cy="4736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362856</xdr:colOff>
      <xdr:row>18</xdr:row>
      <xdr:rowOff>3630</xdr:rowOff>
    </xdr:from>
    <xdr:to>
      <xdr:col>16</xdr:col>
      <xdr:colOff>571499</xdr:colOff>
      <xdr:row>31</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151301</xdr:rowOff>
    </xdr:from>
    <xdr:to>
      <xdr:col>1</xdr:col>
      <xdr:colOff>680720</xdr:colOff>
      <xdr:row>3</xdr:row>
      <xdr:rowOff>15323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800" y="151301"/>
          <a:ext cx="1950720" cy="4736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63500</xdr:rowOff>
    </xdr:from>
    <xdr:to>
      <xdr:col>1</xdr:col>
      <xdr:colOff>909320</xdr:colOff>
      <xdr:row>2</xdr:row>
      <xdr:rowOff>130722</xdr:rowOff>
    </xdr:to>
    <xdr:pic>
      <xdr:nvPicPr>
        <xdr:cNvPr id="2" name="Picture 1">
          <a:extLst>
            <a:ext uri="{FF2B5EF4-FFF2-40B4-BE49-F238E27FC236}">
              <a16:creationId xmlns:a16="http://schemas.microsoft.com/office/drawing/2014/main" id="{E6840BB5-2906-9E47-A290-0824EA8E6F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 y="63500"/>
          <a:ext cx="1950720" cy="4736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63500</xdr:rowOff>
    </xdr:from>
    <xdr:to>
      <xdr:col>1</xdr:col>
      <xdr:colOff>909320</xdr:colOff>
      <xdr:row>2</xdr:row>
      <xdr:rowOff>130722</xdr:rowOff>
    </xdr:to>
    <xdr:pic>
      <xdr:nvPicPr>
        <xdr:cNvPr id="2" name="Picture 1">
          <a:extLst>
            <a:ext uri="{FF2B5EF4-FFF2-40B4-BE49-F238E27FC236}">
              <a16:creationId xmlns:a16="http://schemas.microsoft.com/office/drawing/2014/main" id="{6781B9DA-4F77-DE4C-A495-94F4EF93AA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 y="63500"/>
          <a:ext cx="1950720" cy="4736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2FB5D1-7F2F-5246-8100-C3CAAA59E4AD}" name="Table1" displayName="Table1" ref="A1:B32" totalsRowShown="0">
  <autoFilter ref="A1:B32" xr:uid="{CA907D62-2CC0-274F-AD5E-05FAF8F9DD39}"/>
  <tableColumns count="2">
    <tableColumn id="1" xr3:uid="{E622D1C5-41E3-444F-A58E-6FA5239E0177}" name="Metric" dataDxfId="1"/>
    <tableColumn id="2" xr3:uid="{11666211-4D1E-2243-8C92-696D7F32BAB9}" name="Defini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github.com/ijuric/MAPS/tree/master/Arima_Genomics" TargetMode="External"/><Relationship Id="rId1" Type="http://schemas.openxmlformats.org/officeDocument/2006/relationships/hyperlink" Target="https://github.com/ijuric/MAP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github.com/ijuric/MAPS/tree/master/Arima_Genomics"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D8"/>
  <sheetViews>
    <sheetView showGridLines="0" zoomScale="150" zoomScaleNormal="150" workbookViewId="0">
      <selection activeCell="A7" sqref="A7"/>
    </sheetView>
  </sheetViews>
  <sheetFormatPr baseColWidth="10" defaultRowHeight="16"/>
  <cols>
    <col min="1" max="1" width="10.83203125" style="31"/>
    <col min="2" max="2" width="14.5" style="31" customWidth="1"/>
    <col min="3" max="3" width="3.5" style="31" customWidth="1"/>
    <col min="4" max="16384" width="10.83203125" style="31"/>
  </cols>
  <sheetData>
    <row r="5" spans="1:4" ht="19">
      <c r="A5" s="41" t="s">
        <v>61</v>
      </c>
      <c r="B5" s="42"/>
      <c r="C5" s="42"/>
    </row>
    <row r="6" spans="1:4" ht="17">
      <c r="A6" s="82" t="s">
        <v>146</v>
      </c>
      <c r="B6" s="22"/>
      <c r="C6" s="35"/>
      <c r="D6" s="22"/>
    </row>
    <row r="7" spans="1:4" ht="17">
      <c r="A7" s="32" t="s">
        <v>175</v>
      </c>
    </row>
    <row r="8" spans="1:4" ht="17">
      <c r="A8" s="32" t="s">
        <v>159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E8AD-05AC-104C-852F-92504B393E61}">
  <sheetPr>
    <pageSetUpPr fitToPage="1"/>
  </sheetPr>
  <dimension ref="A5:I49"/>
  <sheetViews>
    <sheetView showGridLines="0" topLeftCell="A7" workbookViewId="0">
      <selection activeCell="B41" sqref="B41"/>
    </sheetView>
  </sheetViews>
  <sheetFormatPr baseColWidth="10" defaultRowHeight="16"/>
  <cols>
    <col min="1" max="1" width="17.5" customWidth="1"/>
    <col min="2" max="3" width="13.33203125" customWidth="1"/>
    <col min="4" max="4" width="7.33203125" customWidth="1"/>
    <col min="5" max="5" width="9.5" customWidth="1"/>
    <col min="6" max="6" width="10.5" customWidth="1"/>
    <col min="7" max="7" width="9.6640625" bestFit="1" customWidth="1"/>
    <col min="8" max="8" width="13.33203125" customWidth="1"/>
    <col min="9" max="9" width="15" customWidth="1"/>
  </cols>
  <sheetData>
    <row r="5" spans="1:9" ht="19">
      <c r="A5" s="29" t="s">
        <v>94</v>
      </c>
      <c r="B5" s="30"/>
      <c r="C5" s="30"/>
      <c r="E5" s="12"/>
    </row>
    <row r="6" spans="1:9">
      <c r="A6" s="14" t="s">
        <v>95</v>
      </c>
    </row>
    <row r="7" spans="1:9" s="22" customFormat="1" ht="19">
      <c r="A7" s="34"/>
      <c r="E7" s="35"/>
    </row>
    <row r="8" spans="1:9">
      <c r="A8" s="13" t="s">
        <v>50</v>
      </c>
      <c r="B8" s="14"/>
      <c r="C8" s="14"/>
      <c r="D8" s="14"/>
      <c r="E8" s="14"/>
      <c r="F8" s="14"/>
      <c r="G8" s="14"/>
      <c r="H8" s="14"/>
      <c r="I8" s="14"/>
    </row>
    <row r="9" spans="1:9" s="6" customFormat="1">
      <c r="A9" s="6" t="s">
        <v>60</v>
      </c>
    </row>
    <row r="10" spans="1:9">
      <c r="A10" s="14" t="s">
        <v>143</v>
      </c>
      <c r="B10" s="14"/>
      <c r="C10" s="14"/>
      <c r="D10" s="14"/>
      <c r="E10" s="14"/>
      <c r="F10" s="14"/>
      <c r="G10" s="14"/>
      <c r="H10" s="14"/>
      <c r="I10" s="14"/>
    </row>
    <row r="11" spans="1:9" s="1" customFormat="1">
      <c r="A11" s="15" t="s">
        <v>158</v>
      </c>
      <c r="B11" s="15"/>
      <c r="C11" s="15"/>
      <c r="D11" s="15"/>
      <c r="E11" s="15"/>
      <c r="F11" s="15"/>
      <c r="G11" s="15"/>
      <c r="H11" s="15"/>
      <c r="I11" s="15"/>
    </row>
    <row r="12" spans="1:9" s="1" customFormat="1">
      <c r="A12" s="15"/>
      <c r="B12" s="15"/>
      <c r="C12" s="15"/>
      <c r="D12" s="15"/>
      <c r="E12" s="15"/>
      <c r="F12" s="15"/>
      <c r="G12" s="15"/>
      <c r="H12" s="15"/>
      <c r="I12" s="15"/>
    </row>
    <row r="13" spans="1:9">
      <c r="A13" s="14"/>
      <c r="B13" s="14"/>
      <c r="C13" s="14"/>
      <c r="D13" s="14"/>
      <c r="E13" s="14"/>
      <c r="F13" s="14"/>
      <c r="G13" s="14"/>
      <c r="H13" s="14"/>
      <c r="I13" s="14"/>
    </row>
    <row r="14" spans="1:9" ht="21">
      <c r="A14" s="33" t="s">
        <v>96</v>
      </c>
    </row>
    <row r="15" spans="1:9">
      <c r="A15" s="58" t="s">
        <v>100</v>
      </c>
      <c r="C15" s="80">
        <f>10/130</f>
        <v>7.6923076923076927E-2</v>
      </c>
    </row>
    <row r="16" spans="1:9">
      <c r="A16" s="58" t="s">
        <v>99</v>
      </c>
      <c r="C16" s="59">
        <v>30</v>
      </c>
      <c r="F16" s="57"/>
    </row>
    <row r="17" spans="1:6" ht="34" customHeight="1">
      <c r="A17" s="53" t="s">
        <v>1</v>
      </c>
      <c r="B17" s="53" t="s">
        <v>2</v>
      </c>
      <c r="C17" s="53" t="s">
        <v>3</v>
      </c>
      <c r="D17" s="53" t="s">
        <v>0</v>
      </c>
      <c r="E17" s="53" t="s">
        <v>33</v>
      </c>
      <c r="F17" s="4"/>
    </row>
    <row r="18" spans="1:6">
      <c r="A18" s="27" t="s">
        <v>25</v>
      </c>
      <c r="B18" s="5" t="s">
        <v>5</v>
      </c>
      <c r="C18" s="60">
        <v>24.312820512820515</v>
      </c>
      <c r="D18" s="5" t="s">
        <v>4</v>
      </c>
      <c r="E18" s="5">
        <f>C18*$C$16*(1/$C$15)</f>
        <v>9482.0000000000018</v>
      </c>
      <c r="F18" s="3"/>
    </row>
    <row r="19" spans="1:6">
      <c r="A19" s="27" t="s">
        <v>26</v>
      </c>
      <c r="B19" s="5" t="s">
        <v>5</v>
      </c>
      <c r="C19" s="60">
        <v>22.410256410256412</v>
      </c>
      <c r="D19" s="5" t="s">
        <v>4</v>
      </c>
      <c r="E19" s="5">
        <f t="shared" ref="E19:E25" si="0">C19*$C$16*(1/$C$15)</f>
        <v>8740</v>
      </c>
      <c r="F19" s="3"/>
    </row>
    <row r="20" spans="1:6">
      <c r="A20" s="27" t="s">
        <v>27</v>
      </c>
      <c r="B20" s="5" t="s">
        <v>5</v>
      </c>
      <c r="C20" s="60">
        <v>32.261538461538464</v>
      </c>
      <c r="D20" s="5" t="s">
        <v>4</v>
      </c>
      <c r="E20" s="5">
        <f t="shared" si="0"/>
        <v>12582.000000000002</v>
      </c>
      <c r="F20" s="8"/>
    </row>
    <row r="21" spans="1:6">
      <c r="A21" s="27" t="s">
        <v>28</v>
      </c>
      <c r="B21" s="5" t="s">
        <v>5</v>
      </c>
      <c r="C21" s="60">
        <v>29.217948717948715</v>
      </c>
      <c r="D21" s="5" t="s">
        <v>4</v>
      </c>
      <c r="E21" s="5">
        <f t="shared" si="0"/>
        <v>11394.999999999998</v>
      </c>
      <c r="F21" s="8"/>
    </row>
    <row r="22" spans="1:6">
      <c r="A22" s="27" t="s">
        <v>29</v>
      </c>
      <c r="B22" s="5" t="s">
        <v>5</v>
      </c>
      <c r="C22" s="60">
        <v>26.592307692307699</v>
      </c>
      <c r="D22" s="5" t="s">
        <v>4</v>
      </c>
      <c r="E22" s="5">
        <f t="shared" si="0"/>
        <v>10371.000000000002</v>
      </c>
      <c r="F22" s="8"/>
    </row>
    <row r="23" spans="1:6">
      <c r="A23" s="27" t="s">
        <v>30</v>
      </c>
      <c r="B23" s="5" t="s">
        <v>5</v>
      </c>
      <c r="C23" s="60">
        <v>20.092307692307696</v>
      </c>
      <c r="D23" s="5" t="s">
        <v>4</v>
      </c>
      <c r="E23" s="5">
        <f t="shared" si="0"/>
        <v>7836.0000000000009</v>
      </c>
      <c r="F23" s="8"/>
    </row>
    <row r="24" spans="1:6">
      <c r="A24" s="27" t="s">
        <v>31</v>
      </c>
      <c r="B24" s="5" t="s">
        <v>5</v>
      </c>
      <c r="C24" s="60">
        <v>23.361538461538466</v>
      </c>
      <c r="D24" s="5" t="s">
        <v>4</v>
      </c>
      <c r="E24" s="5">
        <f t="shared" si="0"/>
        <v>9111.0000000000018</v>
      </c>
      <c r="F24" s="14"/>
    </row>
    <row r="25" spans="1:6">
      <c r="A25" s="27" t="s">
        <v>32</v>
      </c>
      <c r="B25" s="5" t="s">
        <v>5</v>
      </c>
      <c r="C25" s="60">
        <v>33.464102564102568</v>
      </c>
      <c r="D25" s="5" t="s">
        <v>4</v>
      </c>
      <c r="E25" s="5">
        <f t="shared" si="0"/>
        <v>13051.000000000002</v>
      </c>
      <c r="F25" s="14"/>
    </row>
    <row r="27" spans="1:6" ht="21">
      <c r="A27" s="33" t="s">
        <v>97</v>
      </c>
    </row>
    <row r="28" spans="1:6">
      <c r="A28" s="58" t="s">
        <v>99</v>
      </c>
      <c r="B28" s="59">
        <v>50</v>
      </c>
    </row>
    <row r="29" spans="1:6">
      <c r="B29" s="56"/>
      <c r="C29" s="45"/>
      <c r="D29" s="56"/>
      <c r="E29" s="56"/>
    </row>
    <row r="30" spans="1:6" ht="34">
      <c r="A30" s="55" t="s">
        <v>1</v>
      </c>
      <c r="B30" s="55" t="s">
        <v>2</v>
      </c>
      <c r="C30" s="55" t="s">
        <v>3</v>
      </c>
      <c r="D30" s="55" t="s">
        <v>0</v>
      </c>
      <c r="E30" s="55" t="s">
        <v>33</v>
      </c>
    </row>
    <row r="31" spans="1:6">
      <c r="A31" s="27" t="s">
        <v>25</v>
      </c>
      <c r="B31" s="5" t="s">
        <v>5</v>
      </c>
      <c r="C31" s="27">
        <v>0.2</v>
      </c>
      <c r="D31" s="5" t="s">
        <v>4</v>
      </c>
      <c r="E31" s="5">
        <f t="shared" ref="E31:E38" si="1">C31*$B$28</f>
        <v>10</v>
      </c>
    </row>
    <row r="32" spans="1:6">
      <c r="A32" s="27" t="s">
        <v>26</v>
      </c>
      <c r="B32" s="5" t="s">
        <v>5</v>
      </c>
      <c r="C32" s="27">
        <v>0.7</v>
      </c>
      <c r="D32" s="5" t="s">
        <v>4</v>
      </c>
      <c r="E32" s="5">
        <f t="shared" si="1"/>
        <v>35</v>
      </c>
    </row>
    <row r="33" spans="1:5">
      <c r="A33" s="27" t="s">
        <v>27</v>
      </c>
      <c r="B33" s="5" t="s">
        <v>5</v>
      </c>
      <c r="C33" s="27">
        <v>0.3</v>
      </c>
      <c r="D33" s="5" t="s">
        <v>4</v>
      </c>
      <c r="E33" s="5">
        <f t="shared" si="1"/>
        <v>15</v>
      </c>
    </row>
    <row r="34" spans="1:5">
      <c r="A34" s="27" t="s">
        <v>28</v>
      </c>
      <c r="B34" s="5" t="s">
        <v>5</v>
      </c>
      <c r="C34" s="27">
        <v>0.36</v>
      </c>
      <c r="D34" s="5" t="s">
        <v>4</v>
      </c>
      <c r="E34" s="5">
        <f t="shared" si="1"/>
        <v>18</v>
      </c>
    </row>
    <row r="35" spans="1:5">
      <c r="A35" s="27" t="s">
        <v>29</v>
      </c>
      <c r="B35" s="5" t="s">
        <v>5</v>
      </c>
      <c r="C35" s="27">
        <v>1.1000000000000001</v>
      </c>
      <c r="D35" s="5" t="s">
        <v>4</v>
      </c>
      <c r="E35" s="5">
        <f t="shared" si="1"/>
        <v>55.000000000000007</v>
      </c>
    </row>
    <row r="36" spans="1:5">
      <c r="A36" s="27" t="s">
        <v>30</v>
      </c>
      <c r="B36" s="5" t="s">
        <v>5</v>
      </c>
      <c r="C36" s="27">
        <v>0.9</v>
      </c>
      <c r="D36" s="5" t="s">
        <v>4</v>
      </c>
      <c r="E36" s="5">
        <f t="shared" si="1"/>
        <v>45</v>
      </c>
    </row>
    <row r="37" spans="1:5">
      <c r="A37" s="27" t="s">
        <v>31</v>
      </c>
      <c r="B37" s="5" t="s">
        <v>5</v>
      </c>
      <c r="C37" s="27">
        <v>0.42</v>
      </c>
      <c r="D37" s="5" t="s">
        <v>4</v>
      </c>
      <c r="E37" s="5">
        <f t="shared" si="1"/>
        <v>21</v>
      </c>
    </row>
    <row r="38" spans="1:5">
      <c r="A38" s="27" t="s">
        <v>32</v>
      </c>
      <c r="B38" s="5" t="s">
        <v>5</v>
      </c>
      <c r="C38" s="27">
        <v>0.32</v>
      </c>
      <c r="D38" s="5" t="s">
        <v>4</v>
      </c>
      <c r="E38" s="5">
        <f t="shared" si="1"/>
        <v>16</v>
      </c>
    </row>
    <row r="40" spans="1:5" ht="21">
      <c r="A40" s="33" t="s">
        <v>98</v>
      </c>
    </row>
    <row r="41" spans="1:5" ht="17">
      <c r="A41" s="54" t="s">
        <v>1</v>
      </c>
      <c r="B41" s="54" t="s">
        <v>101</v>
      </c>
    </row>
    <row r="42" spans="1:5">
      <c r="A42" s="27" t="s">
        <v>25</v>
      </c>
      <c r="B42" s="61">
        <f>E31/E18</f>
        <v>1.054629824931449E-3</v>
      </c>
    </row>
    <row r="43" spans="1:5">
      <c r="A43" s="27" t="s">
        <v>26</v>
      </c>
      <c r="B43" s="61">
        <f t="shared" ref="B43:B49" si="2">E32/E19</f>
        <v>4.0045766590389017E-3</v>
      </c>
    </row>
    <row r="44" spans="1:5">
      <c r="A44" s="27" t="s">
        <v>27</v>
      </c>
      <c r="B44" s="61">
        <f t="shared" si="2"/>
        <v>1.1921793037672865E-3</v>
      </c>
    </row>
    <row r="45" spans="1:5">
      <c r="A45" s="27" t="s">
        <v>28</v>
      </c>
      <c r="B45" s="61">
        <f t="shared" si="2"/>
        <v>1.579640193067135E-3</v>
      </c>
    </row>
    <row r="46" spans="1:5">
      <c r="A46" s="27" t="s">
        <v>29</v>
      </c>
      <c r="B46" s="61">
        <f t="shared" si="2"/>
        <v>5.303249445569376E-3</v>
      </c>
    </row>
    <row r="47" spans="1:5">
      <c r="A47" s="27" t="s">
        <v>30</v>
      </c>
      <c r="B47" s="61">
        <f t="shared" si="2"/>
        <v>5.7427258805513009E-3</v>
      </c>
    </row>
    <row r="48" spans="1:5">
      <c r="A48" s="27" t="s">
        <v>31</v>
      </c>
      <c r="B48" s="61">
        <f t="shared" si="2"/>
        <v>2.3049061573921629E-3</v>
      </c>
    </row>
    <row r="49" spans="1:2">
      <c r="A49" s="27" t="s">
        <v>32</v>
      </c>
      <c r="B49" s="61">
        <f t="shared" si="2"/>
        <v>1.225959696574975E-3</v>
      </c>
    </row>
  </sheetData>
  <pageMargins left="0.7" right="0.7" top="0.75" bottom="0.75" header="0.3" footer="0.3"/>
  <pageSetup scale="63"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5:J38"/>
  <sheetViews>
    <sheetView showGridLines="0" topLeftCell="A16" workbookViewId="0">
      <selection activeCell="F32" sqref="F32"/>
    </sheetView>
  </sheetViews>
  <sheetFormatPr baseColWidth="10" defaultRowHeight="16"/>
  <cols>
    <col min="1" max="1" width="14.6640625" customWidth="1"/>
    <col min="2" max="2" width="12.33203125" customWidth="1"/>
    <col min="3" max="3" width="13.33203125" customWidth="1"/>
    <col min="4" max="4" width="7.33203125" customWidth="1"/>
    <col min="5" max="5" width="9.5" customWidth="1"/>
    <col min="6" max="6" width="10.5" customWidth="1"/>
    <col min="7" max="7" width="26.1640625" customWidth="1"/>
    <col min="8" max="8" width="13.33203125" customWidth="1"/>
    <col min="9" max="9" width="15" customWidth="1"/>
  </cols>
  <sheetData>
    <row r="5" spans="1:9" ht="19">
      <c r="A5" s="29" t="s">
        <v>53</v>
      </c>
      <c r="B5" s="30"/>
      <c r="C5" s="30"/>
      <c r="E5" s="12"/>
    </row>
    <row r="6" spans="1:9">
      <c r="A6" s="14" t="s">
        <v>105</v>
      </c>
    </row>
    <row r="7" spans="1:9" s="22" customFormat="1" ht="19">
      <c r="A7" s="34"/>
      <c r="E7" s="35"/>
    </row>
    <row r="8" spans="1:9">
      <c r="A8" s="13" t="s">
        <v>50</v>
      </c>
      <c r="B8" s="14"/>
      <c r="C8" s="14"/>
      <c r="D8" s="14"/>
      <c r="E8" s="14"/>
      <c r="F8" s="14"/>
      <c r="G8" s="14"/>
      <c r="H8" s="14"/>
      <c r="I8" s="14"/>
    </row>
    <row r="9" spans="1:9" s="6" customFormat="1">
      <c r="A9" s="6" t="s">
        <v>60</v>
      </c>
    </row>
    <row r="10" spans="1:9">
      <c r="A10" s="14" t="s">
        <v>41</v>
      </c>
      <c r="B10" s="14"/>
      <c r="C10" s="14"/>
      <c r="D10" s="14"/>
      <c r="E10" s="14"/>
      <c r="F10" s="14"/>
      <c r="G10" s="14"/>
      <c r="H10" s="14"/>
      <c r="I10" s="14"/>
    </row>
    <row r="11" spans="1:9" s="1" customFormat="1" ht="34" customHeight="1">
      <c r="A11" s="97" t="s">
        <v>102</v>
      </c>
      <c r="B11" s="97"/>
      <c r="C11" s="97"/>
      <c r="D11" s="97"/>
      <c r="E11" s="97"/>
      <c r="F11" s="97"/>
      <c r="G11" s="97"/>
      <c r="H11" s="97"/>
      <c r="I11" s="97"/>
    </row>
    <row r="12" spans="1:9" s="1" customFormat="1" ht="32" customHeight="1">
      <c r="A12" s="97" t="s">
        <v>144</v>
      </c>
      <c r="B12" s="97"/>
      <c r="C12" s="97"/>
      <c r="D12" s="97"/>
      <c r="E12" s="97"/>
      <c r="F12" s="97"/>
      <c r="G12" s="97"/>
      <c r="H12" s="97"/>
      <c r="I12" s="97"/>
    </row>
    <row r="14" spans="1:9" ht="21">
      <c r="A14" s="33" t="s">
        <v>103</v>
      </c>
    </row>
    <row r="15" spans="1:9">
      <c r="A15" s="58" t="s">
        <v>99</v>
      </c>
      <c r="C15" s="59">
        <v>30</v>
      </c>
    </row>
    <row r="16" spans="1:9" ht="51">
      <c r="A16" s="53" t="s">
        <v>1</v>
      </c>
      <c r="B16" s="53" t="s">
        <v>2</v>
      </c>
      <c r="C16" s="53" t="s">
        <v>3</v>
      </c>
      <c r="D16" s="53" t="s">
        <v>0</v>
      </c>
      <c r="E16" s="53" t="s">
        <v>33</v>
      </c>
      <c r="F16" s="53" t="s">
        <v>106</v>
      </c>
      <c r="G16" s="64" t="s">
        <v>107</v>
      </c>
    </row>
    <row r="17" spans="1:10">
      <c r="A17" s="27" t="s">
        <v>25</v>
      </c>
      <c r="B17" s="5" t="s">
        <v>5</v>
      </c>
      <c r="C17" s="65">
        <v>18.164750957854412</v>
      </c>
      <c r="D17" s="66" t="s">
        <v>4</v>
      </c>
      <c r="E17" s="67">
        <f>C17*$C$15</f>
        <v>544.94252873563232</v>
      </c>
      <c r="F17" s="68">
        <f>$D$28/C17</f>
        <v>4.1288757646066214</v>
      </c>
      <c r="G17" s="69">
        <f>50-F17</f>
        <v>45.871124235393381</v>
      </c>
      <c r="I17" s="75"/>
      <c r="J17" s="62"/>
    </row>
    <row r="18" spans="1:10">
      <c r="A18" s="27" t="s">
        <v>26</v>
      </c>
      <c r="B18" s="5" t="s">
        <v>5</v>
      </c>
      <c r="C18" s="65">
        <v>16.743295019157088</v>
      </c>
      <c r="D18" s="66" t="s">
        <v>4</v>
      </c>
      <c r="E18" s="67">
        <f t="shared" ref="E18:E24" si="0">C18*$C$15</f>
        <v>502.29885057471267</v>
      </c>
      <c r="F18" s="68">
        <f t="shared" ref="F18:F24" si="1">$D$28/C18</f>
        <v>4.4794050343249427</v>
      </c>
      <c r="G18" s="69">
        <f t="shared" ref="G18:G24" si="2">50-F18</f>
        <v>45.520594965675059</v>
      </c>
      <c r="I18" s="75"/>
      <c r="J18" s="62"/>
    </row>
    <row r="19" spans="1:10">
      <c r="A19" s="27" t="s">
        <v>27</v>
      </c>
      <c r="B19" s="5" t="s">
        <v>5</v>
      </c>
      <c r="C19" s="65">
        <v>24.103448275862068</v>
      </c>
      <c r="D19" s="66" t="s">
        <v>4</v>
      </c>
      <c r="E19" s="67">
        <f t="shared" si="0"/>
        <v>723.10344827586198</v>
      </c>
      <c r="F19" s="68">
        <f t="shared" si="1"/>
        <v>3.1115879828326181</v>
      </c>
      <c r="G19" s="69">
        <f t="shared" si="2"/>
        <v>46.888412017167383</v>
      </c>
      <c r="I19" s="75"/>
      <c r="J19" s="62"/>
    </row>
    <row r="20" spans="1:10">
      <c r="A20" s="27" t="s">
        <v>28</v>
      </c>
      <c r="B20" s="5" t="s">
        <v>5</v>
      </c>
      <c r="C20" s="65">
        <v>21.829501915708814</v>
      </c>
      <c r="D20" s="66" t="s">
        <v>4</v>
      </c>
      <c r="E20" s="67">
        <f t="shared" si="0"/>
        <v>654.88505747126442</v>
      </c>
      <c r="F20" s="68">
        <f t="shared" si="1"/>
        <v>3.4357174199210179</v>
      </c>
      <c r="G20" s="69">
        <f t="shared" si="2"/>
        <v>46.564282580078981</v>
      </c>
      <c r="I20" s="75"/>
      <c r="J20" s="62"/>
    </row>
    <row r="21" spans="1:10">
      <c r="A21" s="27" t="s">
        <v>29</v>
      </c>
      <c r="B21" s="5" t="s">
        <v>5</v>
      </c>
      <c r="C21" s="65">
        <v>19.86781609195403</v>
      </c>
      <c r="D21" s="66" t="s">
        <v>4</v>
      </c>
      <c r="E21" s="67">
        <f t="shared" si="0"/>
        <v>596.03448275862092</v>
      </c>
      <c r="F21" s="68">
        <f t="shared" si="1"/>
        <v>3.7749493780734729</v>
      </c>
      <c r="G21" s="69">
        <f t="shared" si="2"/>
        <v>46.225050621926528</v>
      </c>
      <c r="I21" s="75"/>
      <c r="J21" s="62"/>
    </row>
    <row r="22" spans="1:10">
      <c r="A22" s="27" t="s">
        <v>30</v>
      </c>
      <c r="B22" s="5" t="s">
        <v>5</v>
      </c>
      <c r="C22" s="65">
        <v>15.011494252873563</v>
      </c>
      <c r="D22" s="66" t="s">
        <v>4</v>
      </c>
      <c r="E22" s="67">
        <f t="shared" si="0"/>
        <v>450.34482758620686</v>
      </c>
      <c r="F22" s="68">
        <f t="shared" si="1"/>
        <v>4.9961715160796327</v>
      </c>
      <c r="G22" s="69">
        <f t="shared" si="2"/>
        <v>45.003828483920365</v>
      </c>
      <c r="I22" s="75"/>
      <c r="J22" s="62"/>
    </row>
    <row r="23" spans="1:10">
      <c r="A23" s="27" t="s">
        <v>31</v>
      </c>
      <c r="B23" s="5" t="s">
        <v>5</v>
      </c>
      <c r="C23" s="65">
        <v>17.454022988505749</v>
      </c>
      <c r="D23" s="66" t="s">
        <v>4</v>
      </c>
      <c r="E23" s="67">
        <f t="shared" si="0"/>
        <v>523.62068965517244</v>
      </c>
      <c r="F23" s="68">
        <f t="shared" si="1"/>
        <v>4.2970036219953895</v>
      </c>
      <c r="G23" s="69">
        <f t="shared" si="2"/>
        <v>45.702996378004613</v>
      </c>
      <c r="I23" s="75"/>
      <c r="J23" s="62"/>
    </row>
    <row r="24" spans="1:10">
      <c r="A24" s="27" t="s">
        <v>32</v>
      </c>
      <c r="B24" s="5" t="s">
        <v>5</v>
      </c>
      <c r="C24" s="65">
        <v>25.001915708812266</v>
      </c>
      <c r="D24" s="66" t="s">
        <v>4</v>
      </c>
      <c r="E24" s="67">
        <f t="shared" si="0"/>
        <v>750.05747126436802</v>
      </c>
      <c r="F24" s="68">
        <f t="shared" si="1"/>
        <v>2.9997701325568915</v>
      </c>
      <c r="G24" s="69">
        <f t="shared" si="2"/>
        <v>47.00022986744311</v>
      </c>
      <c r="I24" s="75"/>
      <c r="J24" s="62"/>
    </row>
    <row r="27" spans="1:10" ht="21">
      <c r="A27" s="33" t="s">
        <v>104</v>
      </c>
    </row>
    <row r="28" spans="1:10">
      <c r="A28" s="39" t="s">
        <v>42</v>
      </c>
      <c r="B28" s="40"/>
      <c r="C28" s="40"/>
      <c r="D28" s="16">
        <v>75</v>
      </c>
      <c r="E28" s="14"/>
      <c r="F28" s="14"/>
      <c r="G28" s="14"/>
      <c r="H28" s="14"/>
      <c r="I28" s="14"/>
    </row>
    <row r="29" spans="1:10">
      <c r="A29" s="14"/>
      <c r="B29" s="14"/>
      <c r="C29" s="14"/>
      <c r="D29" s="14"/>
      <c r="E29" s="14"/>
      <c r="F29" s="14"/>
      <c r="G29" s="14"/>
      <c r="H29" s="14"/>
      <c r="I29" s="14"/>
    </row>
    <row r="30" spans="1:10" ht="34" customHeight="1">
      <c r="A30" s="38" t="s">
        <v>1</v>
      </c>
      <c r="B30" s="38" t="s">
        <v>2</v>
      </c>
      <c r="C30" s="38" t="s">
        <v>3</v>
      </c>
      <c r="D30" s="38" t="s">
        <v>0</v>
      </c>
      <c r="E30" s="38" t="s">
        <v>33</v>
      </c>
      <c r="F30" s="38" t="s">
        <v>24</v>
      </c>
      <c r="G30" s="38" t="s">
        <v>160</v>
      </c>
      <c r="H30" s="4"/>
      <c r="I30" s="3"/>
    </row>
    <row r="31" spans="1:10">
      <c r="A31" s="27" t="s">
        <v>25</v>
      </c>
      <c r="B31" s="5" t="s">
        <v>5</v>
      </c>
      <c r="C31" s="25">
        <v>1.7</v>
      </c>
      <c r="D31" s="66" t="s">
        <v>4</v>
      </c>
      <c r="E31" s="66">
        <f>C31*7</f>
        <v>11.9</v>
      </c>
      <c r="F31" s="70">
        <f>E31/$D$28</f>
        <v>0.15866666666666668</v>
      </c>
      <c r="G31" s="66" t="str">
        <f>IF(F31&gt;=0.15,"PASS","ALERT")</f>
        <v>PASS</v>
      </c>
      <c r="H31" s="3"/>
      <c r="I31" s="3"/>
    </row>
    <row r="32" spans="1:10">
      <c r="A32" s="27" t="s">
        <v>26</v>
      </c>
      <c r="B32" s="5" t="s">
        <v>5</v>
      </c>
      <c r="C32" s="25">
        <v>4.8</v>
      </c>
      <c r="D32" s="66" t="s">
        <v>4</v>
      </c>
      <c r="E32" s="66">
        <f t="shared" ref="E32:E38" si="3">C32*7</f>
        <v>33.6</v>
      </c>
      <c r="F32" s="70">
        <f t="shared" ref="F32:F38" si="4">E32/$D$28</f>
        <v>0.44800000000000001</v>
      </c>
      <c r="G32" s="66" t="str">
        <f t="shared" ref="G32:G38" si="5">IF(F32&gt;=0.15,"PASS","ALERT")</f>
        <v>PASS</v>
      </c>
      <c r="H32" s="3"/>
      <c r="I32" s="3"/>
    </row>
    <row r="33" spans="1:9">
      <c r="A33" s="27" t="s">
        <v>27</v>
      </c>
      <c r="B33" s="5" t="s">
        <v>5</v>
      </c>
      <c r="C33" s="25">
        <v>3.21</v>
      </c>
      <c r="D33" s="66" t="s">
        <v>4</v>
      </c>
      <c r="E33" s="66">
        <f t="shared" si="3"/>
        <v>22.47</v>
      </c>
      <c r="F33" s="70">
        <f t="shared" si="4"/>
        <v>0.29959999999999998</v>
      </c>
      <c r="G33" s="66" t="str">
        <f t="shared" si="5"/>
        <v>PASS</v>
      </c>
      <c r="H33" s="8"/>
      <c r="I33" s="3"/>
    </row>
    <row r="34" spans="1:9">
      <c r="A34" s="27" t="s">
        <v>28</v>
      </c>
      <c r="B34" s="5" t="s">
        <v>5</v>
      </c>
      <c r="C34" s="25">
        <v>2.5099999999999998</v>
      </c>
      <c r="D34" s="66" t="s">
        <v>4</v>
      </c>
      <c r="E34" s="66">
        <f t="shared" si="3"/>
        <v>17.57</v>
      </c>
      <c r="F34" s="70">
        <f t="shared" si="4"/>
        <v>0.23426666666666668</v>
      </c>
      <c r="G34" s="66" t="str">
        <f t="shared" si="5"/>
        <v>PASS</v>
      </c>
      <c r="H34" s="8"/>
      <c r="I34" s="3"/>
    </row>
    <row r="35" spans="1:9">
      <c r="A35" s="27" t="s">
        <v>29</v>
      </c>
      <c r="B35" s="5" t="s">
        <v>5</v>
      </c>
      <c r="C35" s="25">
        <v>2.98</v>
      </c>
      <c r="D35" s="66" t="s">
        <v>4</v>
      </c>
      <c r="E35" s="66">
        <f t="shared" si="3"/>
        <v>20.86</v>
      </c>
      <c r="F35" s="70">
        <f t="shared" si="4"/>
        <v>0.27813333333333334</v>
      </c>
      <c r="G35" s="66" t="str">
        <f t="shared" si="5"/>
        <v>PASS</v>
      </c>
      <c r="H35" s="8"/>
      <c r="I35" s="3"/>
    </row>
    <row r="36" spans="1:9">
      <c r="A36" s="27" t="s">
        <v>30</v>
      </c>
      <c r="B36" s="5" t="s">
        <v>5</v>
      </c>
      <c r="C36" s="25">
        <v>3.05</v>
      </c>
      <c r="D36" s="66" t="s">
        <v>4</v>
      </c>
      <c r="E36" s="66">
        <f t="shared" si="3"/>
        <v>21.349999999999998</v>
      </c>
      <c r="F36" s="70">
        <f t="shared" si="4"/>
        <v>0.28466666666666662</v>
      </c>
      <c r="G36" s="66" t="str">
        <f t="shared" si="5"/>
        <v>PASS</v>
      </c>
      <c r="H36" s="8"/>
      <c r="I36" s="3"/>
    </row>
    <row r="37" spans="1:9">
      <c r="A37" s="27" t="s">
        <v>31</v>
      </c>
      <c r="B37" s="5" t="s">
        <v>5</v>
      </c>
      <c r="C37" s="25">
        <v>2.4500000000000002</v>
      </c>
      <c r="D37" s="66" t="s">
        <v>4</v>
      </c>
      <c r="E37" s="66">
        <f t="shared" si="3"/>
        <v>17.150000000000002</v>
      </c>
      <c r="F37" s="70">
        <f t="shared" si="4"/>
        <v>0.22866666666666668</v>
      </c>
      <c r="G37" s="66" t="str">
        <f t="shared" si="5"/>
        <v>PASS</v>
      </c>
      <c r="H37" s="14"/>
      <c r="I37" s="14"/>
    </row>
    <row r="38" spans="1:9">
      <c r="A38" s="27" t="s">
        <v>32</v>
      </c>
      <c r="B38" s="5" t="s">
        <v>5</v>
      </c>
      <c r="C38" s="25">
        <v>3.18</v>
      </c>
      <c r="D38" s="66" t="s">
        <v>4</v>
      </c>
      <c r="E38" s="66">
        <f t="shared" si="3"/>
        <v>22.26</v>
      </c>
      <c r="F38" s="70">
        <f t="shared" si="4"/>
        <v>0.29680000000000001</v>
      </c>
      <c r="G38" s="66" t="str">
        <f t="shared" si="5"/>
        <v>PASS</v>
      </c>
      <c r="H38" s="14"/>
      <c r="I38" s="14"/>
    </row>
  </sheetData>
  <mergeCells count="2">
    <mergeCell ref="A11:I11"/>
    <mergeCell ref="A12:I12"/>
  </mergeCells>
  <phoneticPr fontId="17" type="noConversion"/>
  <pageMargins left="0.7" right="0.7" top="0.75" bottom="0.75" header="0.3" footer="0.3"/>
  <pageSetup scale="63"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5:Q59"/>
  <sheetViews>
    <sheetView showGridLines="0" topLeftCell="A22" workbookViewId="0">
      <selection activeCell="O41" sqref="O41"/>
    </sheetView>
  </sheetViews>
  <sheetFormatPr baseColWidth="10" defaultRowHeight="16"/>
  <cols>
    <col min="1" max="1" width="17.33203125" customWidth="1"/>
    <col min="2" max="2" width="9.83203125" customWidth="1"/>
    <col min="3" max="3" width="7.5" customWidth="1"/>
    <col min="4" max="4" width="8.1640625" customWidth="1"/>
    <col min="5" max="5" width="11" bestFit="1" customWidth="1"/>
    <col min="9" max="10" width="9.5" customWidth="1"/>
    <col min="15" max="15" width="12.1640625" bestFit="1" customWidth="1"/>
    <col min="16" max="16" width="13.6640625" bestFit="1" customWidth="1"/>
    <col min="17" max="17" width="12.1640625" bestFit="1" customWidth="1"/>
  </cols>
  <sheetData>
    <row r="5" spans="1:9" ht="19">
      <c r="A5" s="29" t="s">
        <v>54</v>
      </c>
      <c r="B5" s="30"/>
      <c r="C5" s="30"/>
    </row>
    <row r="6" spans="1:9" s="22" customFormat="1">
      <c r="A6" s="43" t="s">
        <v>135</v>
      </c>
    </row>
    <row r="7" spans="1:9" ht="5" customHeight="1"/>
    <row r="8" spans="1:9">
      <c r="A8" s="13" t="s">
        <v>50</v>
      </c>
      <c r="B8" s="14"/>
      <c r="C8" s="14"/>
      <c r="D8" s="14"/>
      <c r="E8" s="14"/>
      <c r="F8" s="14"/>
      <c r="G8" s="14"/>
      <c r="H8" s="14"/>
      <c r="I8" s="14"/>
    </row>
    <row r="9" spans="1:9" s="6" customFormat="1">
      <c r="A9" s="6" t="s">
        <v>66</v>
      </c>
    </row>
    <row r="10" spans="1:9">
      <c r="A10" s="14" t="s">
        <v>56</v>
      </c>
      <c r="B10" s="14"/>
      <c r="C10" s="14"/>
      <c r="D10" s="14"/>
      <c r="E10" s="14"/>
      <c r="F10" s="14"/>
      <c r="G10" s="14"/>
      <c r="H10" s="14"/>
      <c r="I10" s="14"/>
    </row>
    <row r="11" spans="1:9">
      <c r="A11" t="s">
        <v>57</v>
      </c>
    </row>
    <row r="12" spans="1:9">
      <c r="A12" t="s">
        <v>67</v>
      </c>
    </row>
    <row r="13" spans="1:9">
      <c r="A13" t="s">
        <v>68</v>
      </c>
    </row>
    <row r="14" spans="1:9" s="1" customFormat="1">
      <c r="A14" s="1" t="s">
        <v>136</v>
      </c>
    </row>
    <row r="16" spans="1:9" s="1" customFormat="1"/>
    <row r="17" spans="1:10" ht="21">
      <c r="A17" s="33" t="s">
        <v>55</v>
      </c>
    </row>
    <row r="18" spans="1:10">
      <c r="A18" s="13"/>
    </row>
    <row r="19" spans="1:10">
      <c r="A19" s="36" t="s">
        <v>1</v>
      </c>
      <c r="B19" s="36" t="s">
        <v>34</v>
      </c>
      <c r="C19" s="36" t="s">
        <v>35</v>
      </c>
      <c r="D19" s="36" t="s">
        <v>36</v>
      </c>
      <c r="E19" s="36" t="s">
        <v>37</v>
      </c>
      <c r="F19" s="36" t="s">
        <v>38</v>
      </c>
      <c r="G19" s="36" t="s">
        <v>7</v>
      </c>
      <c r="H19" s="36" t="s">
        <v>8</v>
      </c>
      <c r="I19" s="36" t="s">
        <v>39</v>
      </c>
      <c r="J19" s="7"/>
    </row>
    <row r="20" spans="1:10">
      <c r="A20" s="23" t="s">
        <v>43</v>
      </c>
      <c r="B20" s="25">
        <v>9.66</v>
      </c>
      <c r="C20" s="25">
        <v>9.69</v>
      </c>
      <c r="D20" s="25">
        <v>9.2899999999999991</v>
      </c>
      <c r="E20" s="18">
        <f>AVERAGE(B20:D20)</f>
        <v>9.5466666666666669</v>
      </c>
      <c r="F20" s="18">
        <f>STDEV(B20:D20)</f>
        <v>0.22278539748675966</v>
      </c>
      <c r="G20" s="18">
        <v>20</v>
      </c>
      <c r="H20" s="18">
        <f>IFERROR((LOG10(G20)),"-")</f>
        <v>1.3010299956639813</v>
      </c>
      <c r="I20" s="18" t="s">
        <v>51</v>
      </c>
    </row>
    <row r="21" spans="1:10">
      <c r="A21" s="23" t="s">
        <v>44</v>
      </c>
      <c r="B21" s="25">
        <v>12.61</v>
      </c>
      <c r="C21" s="25">
        <v>12.7</v>
      </c>
      <c r="D21" s="25">
        <v>12.61</v>
      </c>
      <c r="E21" s="18">
        <f t="shared" ref="E21:E26" si="0">AVERAGE(B21:D21)</f>
        <v>12.64</v>
      </c>
      <c r="F21" s="18">
        <f t="shared" ref="F21:F26" si="1">STDEV(B21:D21)</f>
        <v>5.1961524227066236E-2</v>
      </c>
      <c r="G21" s="18">
        <v>2</v>
      </c>
      <c r="H21" s="18">
        <f t="shared" ref="H21:H26" si="2">IFERROR((LOG10(G21)),"-")</f>
        <v>0.3010299956639812</v>
      </c>
      <c r="I21" s="18">
        <f>E21-E20</f>
        <v>3.0933333333333337</v>
      </c>
    </row>
    <row r="22" spans="1:10">
      <c r="A22" s="23" t="s">
        <v>45</v>
      </c>
      <c r="B22" s="25">
        <v>16.07</v>
      </c>
      <c r="C22" s="25">
        <v>15.84</v>
      </c>
      <c r="D22" s="25">
        <v>15.97</v>
      </c>
      <c r="E22" s="18">
        <f t="shared" si="0"/>
        <v>15.96</v>
      </c>
      <c r="F22" s="18">
        <f t="shared" si="1"/>
        <v>0.1153256259467082</v>
      </c>
      <c r="G22" s="18">
        <v>0.2</v>
      </c>
      <c r="H22" s="18">
        <f t="shared" si="2"/>
        <v>-0.69897000433601875</v>
      </c>
      <c r="I22" s="18">
        <f t="shared" ref="I22:I25" si="3">E22-E21</f>
        <v>3.3200000000000003</v>
      </c>
    </row>
    <row r="23" spans="1:10">
      <c r="A23" s="23" t="s">
        <v>46</v>
      </c>
      <c r="B23" s="25">
        <v>19.309999999999999</v>
      </c>
      <c r="C23" s="25">
        <v>19.43</v>
      </c>
      <c r="D23" s="25">
        <v>19.5</v>
      </c>
      <c r="E23" s="18">
        <f t="shared" si="0"/>
        <v>19.41333333333333</v>
      </c>
      <c r="F23" s="18">
        <f t="shared" si="1"/>
        <v>9.6090235369331159E-2</v>
      </c>
      <c r="G23" s="18">
        <v>0.02</v>
      </c>
      <c r="H23" s="18">
        <f t="shared" si="2"/>
        <v>-1.6989700043360187</v>
      </c>
      <c r="I23" s="18">
        <f t="shared" si="3"/>
        <v>3.4533333333333296</v>
      </c>
    </row>
    <row r="24" spans="1:10">
      <c r="A24" s="23" t="s">
        <v>47</v>
      </c>
      <c r="B24" s="25">
        <v>23.2</v>
      </c>
      <c r="C24" s="25">
        <v>23.12</v>
      </c>
      <c r="D24" s="25">
        <v>22.5</v>
      </c>
      <c r="E24" s="18">
        <f t="shared" si="0"/>
        <v>22.939999999999998</v>
      </c>
      <c r="F24" s="18">
        <f t="shared" si="1"/>
        <v>0.38314488121336032</v>
      </c>
      <c r="G24" s="18">
        <v>2E-3</v>
      </c>
      <c r="H24" s="18">
        <f t="shared" si="2"/>
        <v>-2.6989700043360187</v>
      </c>
      <c r="I24" s="18">
        <f t="shared" si="3"/>
        <v>3.5266666666666673</v>
      </c>
    </row>
    <row r="25" spans="1:10">
      <c r="A25" s="23" t="s">
        <v>48</v>
      </c>
      <c r="B25" s="25">
        <v>25.97</v>
      </c>
      <c r="C25" s="25">
        <v>26.17</v>
      </c>
      <c r="D25" s="25">
        <v>26.18</v>
      </c>
      <c r="E25" s="18">
        <f t="shared" si="0"/>
        <v>26.106666666666666</v>
      </c>
      <c r="F25" s="18">
        <f t="shared" si="1"/>
        <v>0.11846237095944676</v>
      </c>
      <c r="G25" s="18">
        <v>2.0000000000000001E-4</v>
      </c>
      <c r="H25" s="18">
        <f t="shared" si="2"/>
        <v>-3.6989700043360187</v>
      </c>
      <c r="I25" s="18">
        <f t="shared" si="3"/>
        <v>3.1666666666666679</v>
      </c>
    </row>
    <row r="26" spans="1:10">
      <c r="A26" s="23" t="s">
        <v>49</v>
      </c>
      <c r="B26" s="26">
        <v>30</v>
      </c>
      <c r="C26" s="26">
        <v>30</v>
      </c>
      <c r="D26" s="26">
        <v>30</v>
      </c>
      <c r="E26" s="18">
        <f t="shared" si="0"/>
        <v>30</v>
      </c>
      <c r="F26" s="18">
        <f t="shared" si="1"/>
        <v>0</v>
      </c>
      <c r="G26" s="18">
        <v>0</v>
      </c>
      <c r="H26" s="18" t="str">
        <f t="shared" si="2"/>
        <v>-</v>
      </c>
      <c r="I26" s="18" t="s">
        <v>52</v>
      </c>
    </row>
    <row r="28" spans="1:10">
      <c r="A28" s="37" t="s">
        <v>9</v>
      </c>
      <c r="B28" s="17">
        <f>SLOPE(E19:E25,H19:H25)</f>
        <v>-3.3472380952380947</v>
      </c>
    </row>
    <row r="29" spans="1:10">
      <c r="A29" s="37" t="s">
        <v>10</v>
      </c>
      <c r="B29" s="17">
        <f>INTERCEPT(E19:E25,H19:H25)</f>
        <v>13.754539704216471</v>
      </c>
    </row>
    <row r="31" spans="1:10">
      <c r="A31" s="21" t="s">
        <v>40</v>
      </c>
      <c r="B31" s="22"/>
      <c r="C31" s="22"/>
      <c r="D31" s="77">
        <v>20</v>
      </c>
      <c r="E31" s="22" t="s">
        <v>6</v>
      </c>
    </row>
    <row r="32" spans="1:10">
      <c r="A32" s="21" t="s">
        <v>58</v>
      </c>
      <c r="B32" s="22"/>
      <c r="C32" s="22"/>
      <c r="D32" s="22">
        <v>20</v>
      </c>
      <c r="E32" s="22" t="s">
        <v>6</v>
      </c>
    </row>
    <row r="33" spans="1:17">
      <c r="A33" s="21" t="s">
        <v>11</v>
      </c>
      <c r="B33" s="22"/>
      <c r="C33" s="22"/>
      <c r="D33" s="22">
        <v>0.75</v>
      </c>
      <c r="E33" s="22" t="s">
        <v>12</v>
      </c>
    </row>
    <row r="34" spans="1:17">
      <c r="A34" s="21" t="s">
        <v>59</v>
      </c>
      <c r="B34" s="22"/>
      <c r="C34" s="22"/>
      <c r="D34" s="22">
        <v>0.3</v>
      </c>
      <c r="E34" s="22" t="s">
        <v>12</v>
      </c>
    </row>
    <row r="37" spans="1:17" ht="21">
      <c r="A37" s="33" t="s">
        <v>62</v>
      </c>
    </row>
    <row r="38" spans="1:17">
      <c r="A38" s="13"/>
    </row>
    <row r="39" spans="1:17" s="20" customFormat="1">
      <c r="A39" s="36" t="s">
        <v>1</v>
      </c>
      <c r="B39" s="36" t="s">
        <v>13</v>
      </c>
      <c r="C39" s="36" t="s">
        <v>34</v>
      </c>
      <c r="D39" s="36" t="s">
        <v>35</v>
      </c>
      <c r="E39" s="36" t="s">
        <v>36</v>
      </c>
      <c r="F39" s="36" t="s">
        <v>37</v>
      </c>
      <c r="G39" s="36" t="s">
        <v>38</v>
      </c>
      <c r="H39" s="36" t="s">
        <v>14</v>
      </c>
      <c r="I39" s="36" t="s">
        <v>15</v>
      </c>
      <c r="J39" s="36" t="s">
        <v>16</v>
      </c>
      <c r="K39" s="36" t="s">
        <v>17</v>
      </c>
      <c r="L39" s="36" t="s">
        <v>18</v>
      </c>
      <c r="M39" s="36" t="s">
        <v>19</v>
      </c>
      <c r="N39" s="36" t="s">
        <v>20</v>
      </c>
      <c r="O39" s="36" t="s">
        <v>21</v>
      </c>
      <c r="P39" s="36" t="s">
        <v>22</v>
      </c>
      <c r="Q39" s="36" t="s">
        <v>23</v>
      </c>
    </row>
    <row r="40" spans="1:17">
      <c r="A40" s="27" t="s">
        <v>25</v>
      </c>
      <c r="B40" s="9">
        <v>1000</v>
      </c>
      <c r="C40" s="26"/>
      <c r="D40" s="26"/>
      <c r="E40" s="26"/>
      <c r="F40" s="19" t="e">
        <f>AVERAGE(C40:E40)</f>
        <v>#DIV/0!</v>
      </c>
      <c r="G40" s="19" t="e">
        <f>STDEV(C40:E40)</f>
        <v>#DIV/0!</v>
      </c>
      <c r="H40" s="24" t="e">
        <f t="shared" ref="H40:H47" si="4">(F40-$B$29)/$B$28</f>
        <v>#DIV/0!</v>
      </c>
      <c r="I40" s="79">
        <v>550</v>
      </c>
      <c r="J40" s="19" t="e">
        <f>10^H40*(452/I40)*B40/1000</f>
        <v>#DIV/0!</v>
      </c>
      <c r="K40" s="10">
        <f>660*I40</f>
        <v>363000</v>
      </c>
      <c r="L40" s="19" t="e">
        <f>((J40*0.000000001)*K40*0.000001)*1000000000</f>
        <v>#DIV/0!</v>
      </c>
      <c r="M40" s="96" t="e">
        <f>$D$31*L40</f>
        <v>#DIV/0!</v>
      </c>
      <c r="N40" s="28"/>
      <c r="O40" s="19" t="e">
        <f>(M40*(1+$D$33)^N40)*(1-$D$34)</f>
        <v>#DIV/0!</v>
      </c>
      <c r="P40" s="19" t="e">
        <f t="shared" ref="P40:P47" si="5">(O40/$D$32)</f>
        <v>#DIV/0!</v>
      </c>
      <c r="Q40" s="19" t="e">
        <f>(P40*(0.001)/K40)*1000000000</f>
        <v>#DIV/0!</v>
      </c>
    </row>
    <row r="41" spans="1:17">
      <c r="A41" s="27" t="s">
        <v>26</v>
      </c>
      <c r="B41" s="9">
        <v>1000</v>
      </c>
      <c r="C41" s="26"/>
      <c r="D41" s="26"/>
      <c r="E41" s="26"/>
      <c r="F41" s="19" t="e">
        <f t="shared" ref="F41:F47" si="6">AVERAGE(C41:E41)</f>
        <v>#DIV/0!</v>
      </c>
      <c r="G41" s="19" t="e">
        <f t="shared" ref="G41:G47" si="7">STDEV(C41:E41)</f>
        <v>#DIV/0!</v>
      </c>
      <c r="H41" s="24" t="e">
        <f t="shared" si="4"/>
        <v>#DIV/0!</v>
      </c>
      <c r="I41" s="79">
        <v>550</v>
      </c>
      <c r="J41" s="19" t="e">
        <f t="shared" ref="J41:J47" si="8">10^H41*(452/I41)*B41/1000</f>
        <v>#DIV/0!</v>
      </c>
      <c r="K41" s="10">
        <f t="shared" ref="K41:K47" si="9">660*I41</f>
        <v>363000</v>
      </c>
      <c r="L41" s="19" t="e">
        <f t="shared" ref="L41:L47" si="10">((J41*0.000000001)*K41*0.000001)*1000000000</f>
        <v>#DIV/0!</v>
      </c>
      <c r="M41" s="19" t="e">
        <f t="shared" ref="M41:M47" si="11">$D$31*L41</f>
        <v>#DIV/0!</v>
      </c>
      <c r="N41" s="28"/>
      <c r="O41" s="19" t="e">
        <f t="shared" ref="O41:O47" si="12">(M41*(1+$D$33)^N41)*(1-$D$34)</f>
        <v>#DIV/0!</v>
      </c>
      <c r="P41" s="19" t="e">
        <f t="shared" si="5"/>
        <v>#DIV/0!</v>
      </c>
      <c r="Q41" s="19" t="e">
        <f t="shared" ref="Q41:Q47" si="13">(P41*(0.001)/K41)*1000000000</f>
        <v>#DIV/0!</v>
      </c>
    </row>
    <row r="42" spans="1:17">
      <c r="A42" s="27" t="s">
        <v>27</v>
      </c>
      <c r="B42" s="9">
        <v>1000</v>
      </c>
      <c r="C42" s="26"/>
      <c r="D42" s="26"/>
      <c r="E42" s="26"/>
      <c r="F42" s="19" t="e">
        <f t="shared" si="6"/>
        <v>#DIV/0!</v>
      </c>
      <c r="G42" s="19" t="e">
        <f t="shared" si="7"/>
        <v>#DIV/0!</v>
      </c>
      <c r="H42" s="24" t="e">
        <f t="shared" si="4"/>
        <v>#DIV/0!</v>
      </c>
      <c r="I42" s="79">
        <v>550</v>
      </c>
      <c r="J42" s="19" t="e">
        <f t="shared" si="8"/>
        <v>#DIV/0!</v>
      </c>
      <c r="K42" s="10">
        <f t="shared" si="9"/>
        <v>363000</v>
      </c>
      <c r="L42" s="19" t="e">
        <f t="shared" si="10"/>
        <v>#DIV/0!</v>
      </c>
      <c r="M42" s="19" t="e">
        <f t="shared" si="11"/>
        <v>#DIV/0!</v>
      </c>
      <c r="N42" s="28"/>
      <c r="O42" s="19" t="e">
        <f t="shared" si="12"/>
        <v>#DIV/0!</v>
      </c>
      <c r="P42" s="19" t="e">
        <f t="shared" si="5"/>
        <v>#DIV/0!</v>
      </c>
      <c r="Q42" s="19" t="e">
        <f t="shared" si="13"/>
        <v>#DIV/0!</v>
      </c>
    </row>
    <row r="43" spans="1:17">
      <c r="A43" s="27" t="s">
        <v>28</v>
      </c>
      <c r="B43" s="9">
        <v>1000</v>
      </c>
      <c r="C43" s="26"/>
      <c r="D43" s="26"/>
      <c r="E43" s="26"/>
      <c r="F43" s="19" t="e">
        <f t="shared" si="6"/>
        <v>#DIV/0!</v>
      </c>
      <c r="G43" s="19" t="e">
        <f t="shared" si="7"/>
        <v>#DIV/0!</v>
      </c>
      <c r="H43" s="24" t="e">
        <f t="shared" si="4"/>
        <v>#DIV/0!</v>
      </c>
      <c r="I43" s="79">
        <v>550</v>
      </c>
      <c r="J43" s="19" t="e">
        <f t="shared" si="8"/>
        <v>#DIV/0!</v>
      </c>
      <c r="K43" s="10">
        <f t="shared" si="9"/>
        <v>363000</v>
      </c>
      <c r="L43" s="19" t="e">
        <f t="shared" si="10"/>
        <v>#DIV/0!</v>
      </c>
      <c r="M43" s="19" t="e">
        <f t="shared" si="11"/>
        <v>#DIV/0!</v>
      </c>
      <c r="N43" s="28"/>
      <c r="O43" s="19" t="e">
        <f t="shared" si="12"/>
        <v>#DIV/0!</v>
      </c>
      <c r="P43" s="19" t="e">
        <f t="shared" si="5"/>
        <v>#DIV/0!</v>
      </c>
      <c r="Q43" s="19" t="e">
        <f t="shared" si="13"/>
        <v>#DIV/0!</v>
      </c>
    </row>
    <row r="44" spans="1:17">
      <c r="A44" s="27" t="s">
        <v>29</v>
      </c>
      <c r="B44" s="9">
        <v>1000</v>
      </c>
      <c r="C44" s="26"/>
      <c r="D44" s="26"/>
      <c r="E44" s="26"/>
      <c r="F44" s="19" t="e">
        <f t="shared" si="6"/>
        <v>#DIV/0!</v>
      </c>
      <c r="G44" s="19" t="e">
        <f t="shared" si="7"/>
        <v>#DIV/0!</v>
      </c>
      <c r="H44" s="24" t="e">
        <f t="shared" si="4"/>
        <v>#DIV/0!</v>
      </c>
      <c r="I44" s="79">
        <v>550</v>
      </c>
      <c r="J44" s="19" t="e">
        <f t="shared" si="8"/>
        <v>#DIV/0!</v>
      </c>
      <c r="K44" s="10">
        <f t="shared" si="9"/>
        <v>363000</v>
      </c>
      <c r="L44" s="19" t="e">
        <f t="shared" si="10"/>
        <v>#DIV/0!</v>
      </c>
      <c r="M44" s="19" t="e">
        <f t="shared" si="11"/>
        <v>#DIV/0!</v>
      </c>
      <c r="N44" s="28"/>
      <c r="O44" s="19" t="e">
        <f t="shared" si="12"/>
        <v>#DIV/0!</v>
      </c>
      <c r="P44" s="19" t="e">
        <f t="shared" si="5"/>
        <v>#DIV/0!</v>
      </c>
      <c r="Q44" s="19" t="e">
        <f t="shared" si="13"/>
        <v>#DIV/0!</v>
      </c>
    </row>
    <row r="45" spans="1:17">
      <c r="A45" s="27" t="s">
        <v>30</v>
      </c>
      <c r="B45" s="9">
        <v>1000</v>
      </c>
      <c r="C45" s="26"/>
      <c r="D45" s="26"/>
      <c r="E45" s="26"/>
      <c r="F45" s="19" t="e">
        <f t="shared" si="6"/>
        <v>#DIV/0!</v>
      </c>
      <c r="G45" s="19" t="e">
        <f t="shared" si="7"/>
        <v>#DIV/0!</v>
      </c>
      <c r="H45" s="24" t="e">
        <f t="shared" si="4"/>
        <v>#DIV/0!</v>
      </c>
      <c r="I45" s="79">
        <v>550</v>
      </c>
      <c r="J45" s="19" t="e">
        <f t="shared" si="8"/>
        <v>#DIV/0!</v>
      </c>
      <c r="K45" s="10">
        <f t="shared" si="9"/>
        <v>363000</v>
      </c>
      <c r="L45" s="19" t="e">
        <f t="shared" si="10"/>
        <v>#DIV/0!</v>
      </c>
      <c r="M45" s="19" t="e">
        <f t="shared" si="11"/>
        <v>#DIV/0!</v>
      </c>
      <c r="N45" s="28"/>
      <c r="O45" s="19" t="e">
        <f t="shared" si="12"/>
        <v>#DIV/0!</v>
      </c>
      <c r="P45" s="19" t="e">
        <f t="shared" si="5"/>
        <v>#DIV/0!</v>
      </c>
      <c r="Q45" s="19" t="e">
        <f t="shared" si="13"/>
        <v>#DIV/0!</v>
      </c>
    </row>
    <row r="46" spans="1:17">
      <c r="A46" s="27" t="s">
        <v>31</v>
      </c>
      <c r="B46" s="9">
        <v>1000</v>
      </c>
      <c r="C46" s="26"/>
      <c r="D46" s="26"/>
      <c r="E46" s="26"/>
      <c r="F46" s="19" t="e">
        <f t="shared" si="6"/>
        <v>#DIV/0!</v>
      </c>
      <c r="G46" s="19" t="e">
        <f t="shared" si="7"/>
        <v>#DIV/0!</v>
      </c>
      <c r="H46" s="24" t="e">
        <f t="shared" si="4"/>
        <v>#DIV/0!</v>
      </c>
      <c r="I46" s="79">
        <v>550</v>
      </c>
      <c r="J46" s="19" t="e">
        <f t="shared" si="8"/>
        <v>#DIV/0!</v>
      </c>
      <c r="K46" s="10">
        <f t="shared" si="9"/>
        <v>363000</v>
      </c>
      <c r="L46" s="19" t="e">
        <f t="shared" si="10"/>
        <v>#DIV/0!</v>
      </c>
      <c r="M46" s="19" t="e">
        <f t="shared" si="11"/>
        <v>#DIV/0!</v>
      </c>
      <c r="N46" s="28"/>
      <c r="O46" s="19" t="e">
        <f t="shared" si="12"/>
        <v>#DIV/0!</v>
      </c>
      <c r="P46" s="19" t="e">
        <f t="shared" si="5"/>
        <v>#DIV/0!</v>
      </c>
      <c r="Q46" s="19" t="e">
        <f t="shared" si="13"/>
        <v>#DIV/0!</v>
      </c>
    </row>
    <row r="47" spans="1:17">
      <c r="A47" s="27" t="s">
        <v>32</v>
      </c>
      <c r="B47" s="9">
        <v>1000</v>
      </c>
      <c r="C47" s="26"/>
      <c r="D47" s="26"/>
      <c r="E47" s="26"/>
      <c r="F47" s="19" t="e">
        <f t="shared" si="6"/>
        <v>#DIV/0!</v>
      </c>
      <c r="G47" s="19" t="e">
        <f t="shared" si="7"/>
        <v>#DIV/0!</v>
      </c>
      <c r="H47" s="24" t="e">
        <f t="shared" si="4"/>
        <v>#DIV/0!</v>
      </c>
      <c r="I47" s="79">
        <v>550</v>
      </c>
      <c r="J47" s="19" t="e">
        <f t="shared" si="8"/>
        <v>#DIV/0!</v>
      </c>
      <c r="K47" s="10">
        <f t="shared" si="9"/>
        <v>363000</v>
      </c>
      <c r="L47" s="19" t="e">
        <f t="shared" si="10"/>
        <v>#DIV/0!</v>
      </c>
      <c r="M47" s="19" t="e">
        <f t="shared" si="11"/>
        <v>#DIV/0!</v>
      </c>
      <c r="N47" s="28"/>
      <c r="O47" s="19" t="e">
        <f t="shared" si="12"/>
        <v>#DIV/0!</v>
      </c>
      <c r="P47" s="19" t="e">
        <f t="shared" si="5"/>
        <v>#DIV/0!</v>
      </c>
      <c r="Q47" s="19" t="e">
        <f t="shared" si="13"/>
        <v>#DIV/0!</v>
      </c>
    </row>
    <row r="48" spans="1:17">
      <c r="M48" s="11"/>
    </row>
    <row r="49" spans="1:17" ht="21">
      <c r="A49" s="33" t="s">
        <v>71</v>
      </c>
    </row>
    <row r="50" spans="1:17">
      <c r="A50" s="13"/>
    </row>
    <row r="51" spans="1:17" s="20" customFormat="1">
      <c r="A51" s="36" t="s">
        <v>1</v>
      </c>
      <c r="B51" s="36" t="s">
        <v>13</v>
      </c>
      <c r="C51" s="36" t="s">
        <v>34</v>
      </c>
      <c r="D51" s="36" t="s">
        <v>35</v>
      </c>
      <c r="E51" s="36" t="s">
        <v>36</v>
      </c>
      <c r="F51" s="36" t="s">
        <v>37</v>
      </c>
      <c r="G51" s="36" t="s">
        <v>38</v>
      </c>
      <c r="H51" s="36" t="s">
        <v>14</v>
      </c>
      <c r="I51" s="36" t="s">
        <v>15</v>
      </c>
      <c r="J51" s="36" t="s">
        <v>16</v>
      </c>
      <c r="K51" s="36" t="s">
        <v>17</v>
      </c>
      <c r="L51" s="36" t="s">
        <v>18</v>
      </c>
      <c r="M51" s="36" t="s">
        <v>19</v>
      </c>
      <c r="N51" s="36" t="s">
        <v>20</v>
      </c>
      <c r="O51" s="36" t="s">
        <v>21</v>
      </c>
      <c r="P51" s="36" t="s">
        <v>22</v>
      </c>
      <c r="Q51" s="36" t="s">
        <v>23</v>
      </c>
    </row>
    <row r="52" spans="1:17">
      <c r="A52" s="27" t="s">
        <v>25</v>
      </c>
      <c r="B52" s="9">
        <v>1000</v>
      </c>
      <c r="C52" s="26">
        <v>17.45</v>
      </c>
      <c r="D52" s="26">
        <v>17.34</v>
      </c>
      <c r="E52" s="26">
        <v>17.559999999999999</v>
      </c>
      <c r="F52" s="19">
        <f>AVERAGE(C52:E52)</f>
        <v>17.45</v>
      </c>
      <c r="G52" s="19">
        <f>STDEV(C52:E52)</f>
        <v>0.10999999999999943</v>
      </c>
      <c r="H52" s="24">
        <f t="shared" ref="H52:H59" si="14">(F52-$B$29)/$B$28</f>
        <v>-1.104032695206483</v>
      </c>
      <c r="I52" s="79">
        <v>550</v>
      </c>
      <c r="J52" s="19">
        <f>10^H52*(452/I52)*B52/1000</f>
        <v>6.467598477202445E-2</v>
      </c>
      <c r="K52" s="10">
        <f>660*I52</f>
        <v>363000</v>
      </c>
      <c r="L52" s="19">
        <f>((J52*0.000000001)*K52*0.000001)*1000000000</f>
        <v>2.3477382472244877E-2</v>
      </c>
      <c r="M52" s="19">
        <f t="shared" ref="M52:M59" si="15">$D$31*L52</f>
        <v>0.46954764944489752</v>
      </c>
      <c r="N52" s="28">
        <v>11</v>
      </c>
      <c r="O52" s="19">
        <f t="shared" ref="O52:O59" si="16">(M52*(1+$D$33)^N52)*(1-$D$34)</f>
        <v>154.95166469863165</v>
      </c>
      <c r="P52" s="19">
        <f t="shared" ref="P52:P59" si="17">(O52/$D$32)</f>
        <v>7.7475832349315823</v>
      </c>
      <c r="Q52" s="19">
        <f>(P52*(0.001)/K52)*1000000000</f>
        <v>21.343204503943753</v>
      </c>
    </row>
    <row r="53" spans="1:17">
      <c r="A53" s="27" t="s">
        <v>26</v>
      </c>
      <c r="B53" s="9">
        <v>1000</v>
      </c>
      <c r="C53" s="26">
        <v>16.309999999999999</v>
      </c>
      <c r="D53" s="26">
        <v>16.23</v>
      </c>
      <c r="E53" s="26">
        <v>16.05</v>
      </c>
      <c r="F53" s="19">
        <f t="shared" ref="F53:F59" si="18">AVERAGE(C53:E53)</f>
        <v>16.196666666666669</v>
      </c>
      <c r="G53" s="19">
        <f t="shared" ref="G53:G59" si="19">STDEV(C53:E53)</f>
        <v>0.13316656236958699</v>
      </c>
      <c r="H53" s="24">
        <f t="shared" si="14"/>
        <v>-0.72959463682146131</v>
      </c>
      <c r="I53" s="79">
        <v>550</v>
      </c>
      <c r="J53" s="19">
        <f t="shared" ref="J53:J59" si="20">10^H53*(452/I53)*B53/1000</f>
        <v>0.1531726085437492</v>
      </c>
      <c r="K53" s="10">
        <f t="shared" ref="K53:K59" si="21">660*I53</f>
        <v>363000</v>
      </c>
      <c r="L53" s="19">
        <f t="shared" ref="L53:L59" si="22">((J53*0.000000001)*K53*0.000001)*1000000000</f>
        <v>5.5601656901380955E-2</v>
      </c>
      <c r="M53" s="19">
        <f t="shared" si="15"/>
        <v>1.1120331380276192</v>
      </c>
      <c r="N53" s="28">
        <v>10</v>
      </c>
      <c r="O53" s="19">
        <f t="shared" si="16"/>
        <v>209.69895009271826</v>
      </c>
      <c r="P53" s="19">
        <f t="shared" si="17"/>
        <v>10.484947504635914</v>
      </c>
      <c r="Q53" s="19">
        <f t="shared" ref="Q53:Q59" si="23">(P53*(0.001)/K53)*1000000000</f>
        <v>28.884152905333099</v>
      </c>
    </row>
    <row r="54" spans="1:17">
      <c r="A54" s="27" t="s">
        <v>27</v>
      </c>
      <c r="B54" s="9">
        <v>1000</v>
      </c>
      <c r="C54" s="26">
        <v>18.41</v>
      </c>
      <c r="D54" s="26">
        <v>18.739999999999998</v>
      </c>
      <c r="E54" s="26">
        <v>18.29</v>
      </c>
      <c r="F54" s="19">
        <f t="shared" si="18"/>
        <v>18.48</v>
      </c>
      <c r="G54" s="19">
        <f t="shared" si="19"/>
        <v>0.23302360395462035</v>
      </c>
      <c r="H54" s="24">
        <f t="shared" si="14"/>
        <v>-1.4117490782941746</v>
      </c>
      <c r="I54" s="79">
        <v>550</v>
      </c>
      <c r="J54" s="19">
        <f t="shared" si="20"/>
        <v>3.1843930472945731E-2</v>
      </c>
      <c r="K54" s="10">
        <f t="shared" si="21"/>
        <v>363000</v>
      </c>
      <c r="L54" s="19">
        <f t="shared" si="22"/>
        <v>1.1559346761679299E-2</v>
      </c>
      <c r="M54" s="19">
        <f t="shared" si="15"/>
        <v>0.23118693523358599</v>
      </c>
      <c r="N54" s="28">
        <v>12</v>
      </c>
      <c r="O54" s="19">
        <f t="shared" si="16"/>
        <v>133.51126536017267</v>
      </c>
      <c r="P54" s="19">
        <f t="shared" si="17"/>
        <v>6.6755632680086334</v>
      </c>
      <c r="Q54" s="19">
        <f t="shared" si="23"/>
        <v>18.389981454569238</v>
      </c>
    </row>
    <row r="55" spans="1:17">
      <c r="A55" s="27" t="s">
        <v>28</v>
      </c>
      <c r="B55" s="9">
        <v>1000</v>
      </c>
      <c r="C55" s="26">
        <v>18.27</v>
      </c>
      <c r="D55" s="26">
        <v>18.18</v>
      </c>
      <c r="E55" s="26">
        <v>18.41</v>
      </c>
      <c r="F55" s="19">
        <f t="shared" si="18"/>
        <v>18.286666666666665</v>
      </c>
      <c r="G55" s="19">
        <f t="shared" si="19"/>
        <v>0.11590225767142498</v>
      </c>
      <c r="H55" s="24">
        <f t="shared" si="14"/>
        <v>-1.3539900160964846</v>
      </c>
      <c r="I55" s="79">
        <v>550</v>
      </c>
      <c r="J55" s="19">
        <f t="shared" si="20"/>
        <v>3.6373553321165299E-2</v>
      </c>
      <c r="K55" s="10">
        <f t="shared" si="21"/>
        <v>363000</v>
      </c>
      <c r="L55" s="19">
        <f t="shared" si="22"/>
        <v>1.3203599855583005E-2</v>
      </c>
      <c r="M55" s="19">
        <f t="shared" si="15"/>
        <v>0.26407199711166013</v>
      </c>
      <c r="N55" s="28">
        <v>12</v>
      </c>
      <c r="O55" s="19">
        <f t="shared" si="16"/>
        <v>152.50250385015553</v>
      </c>
      <c r="P55" s="19">
        <f t="shared" si="17"/>
        <v>7.6251251925077765</v>
      </c>
      <c r="Q55" s="19">
        <f t="shared" si="23"/>
        <v>21.005854524814815</v>
      </c>
    </row>
    <row r="56" spans="1:17">
      <c r="A56" s="27" t="s">
        <v>29</v>
      </c>
      <c r="B56" s="9">
        <v>1000</v>
      </c>
      <c r="C56" s="26">
        <v>16.149999999999999</v>
      </c>
      <c r="D56" s="26">
        <v>16.309999999999999</v>
      </c>
      <c r="E56" s="26">
        <v>16.420000000000002</v>
      </c>
      <c r="F56" s="19">
        <f t="shared" si="18"/>
        <v>16.293333333333333</v>
      </c>
      <c r="G56" s="19">
        <f t="shared" si="19"/>
        <v>0.13576941236277681</v>
      </c>
      <c r="H56" s="24">
        <f t="shared" si="14"/>
        <v>-0.75847416792030542</v>
      </c>
      <c r="I56" s="79">
        <v>550</v>
      </c>
      <c r="J56" s="19">
        <f t="shared" si="20"/>
        <v>0.14331827668435132</v>
      </c>
      <c r="K56" s="10">
        <f t="shared" si="21"/>
        <v>363000</v>
      </c>
      <c r="L56" s="19">
        <f t="shared" si="22"/>
        <v>5.2024534436419537E-2</v>
      </c>
      <c r="M56" s="19">
        <f t="shared" si="15"/>
        <v>1.0404906887283907</v>
      </c>
      <c r="N56" s="28">
        <v>10</v>
      </c>
      <c r="O56" s="19">
        <f t="shared" si="16"/>
        <v>196.20800635005335</v>
      </c>
      <c r="P56" s="19">
        <f t="shared" si="17"/>
        <v>9.8104003175026673</v>
      </c>
      <c r="Q56" s="19">
        <f t="shared" si="23"/>
        <v>27.0258961914674</v>
      </c>
    </row>
    <row r="57" spans="1:17">
      <c r="A57" s="27" t="s">
        <v>30</v>
      </c>
      <c r="B57" s="9">
        <v>1000</v>
      </c>
      <c r="C57" s="26">
        <v>17.71</v>
      </c>
      <c r="D57" s="26">
        <v>17.809999999999999</v>
      </c>
      <c r="E57" s="26">
        <v>17.690000000000001</v>
      </c>
      <c r="F57" s="19">
        <f t="shared" si="18"/>
        <v>17.736666666666665</v>
      </c>
      <c r="G57" s="19">
        <f t="shared" si="19"/>
        <v>6.4291005073285001E-2</v>
      </c>
      <c r="H57" s="24">
        <f t="shared" si="14"/>
        <v>-1.1896754426030569</v>
      </c>
      <c r="I57" s="79">
        <v>550</v>
      </c>
      <c r="J57" s="19">
        <f t="shared" si="20"/>
        <v>5.3100706909132031E-2</v>
      </c>
      <c r="K57" s="10">
        <f t="shared" si="21"/>
        <v>363000</v>
      </c>
      <c r="L57" s="19">
        <f t="shared" si="22"/>
        <v>1.9275556608014929E-2</v>
      </c>
      <c r="M57" s="19">
        <f t="shared" si="15"/>
        <v>0.38551113216029859</v>
      </c>
      <c r="N57" s="28">
        <v>11</v>
      </c>
      <c r="O57" s="19">
        <f t="shared" si="16"/>
        <v>127.21944569142724</v>
      </c>
      <c r="P57" s="19">
        <f t="shared" si="17"/>
        <v>6.3609722845713623</v>
      </c>
      <c r="Q57" s="19">
        <f t="shared" si="23"/>
        <v>17.523339626918354</v>
      </c>
    </row>
    <row r="58" spans="1:17">
      <c r="A58" s="27" t="s">
        <v>31</v>
      </c>
      <c r="B58" s="9">
        <v>1000</v>
      </c>
      <c r="C58" s="26">
        <v>18.14</v>
      </c>
      <c r="D58" s="26">
        <v>18.190000000000001</v>
      </c>
      <c r="E58" s="26">
        <v>18.059999999999999</v>
      </c>
      <c r="F58" s="19">
        <f t="shared" si="18"/>
        <v>18.13</v>
      </c>
      <c r="G58" s="19">
        <f t="shared" si="19"/>
        <v>6.557438524302131E-2</v>
      </c>
      <c r="H58" s="24">
        <f t="shared" si="14"/>
        <v>-1.3071852587983568</v>
      </c>
      <c r="I58" s="79">
        <v>550</v>
      </c>
      <c r="J58" s="19">
        <f t="shared" si="20"/>
        <v>4.051263455963712E-2</v>
      </c>
      <c r="K58" s="10">
        <f t="shared" si="21"/>
        <v>363000</v>
      </c>
      <c r="L58" s="19">
        <f t="shared" si="22"/>
        <v>1.4706086345148273E-2</v>
      </c>
      <c r="M58" s="19">
        <f t="shared" si="15"/>
        <v>0.29412172690296545</v>
      </c>
      <c r="N58" s="28">
        <v>12</v>
      </c>
      <c r="O58" s="19">
        <f t="shared" si="16"/>
        <v>169.85632812277214</v>
      </c>
      <c r="P58" s="19">
        <f t="shared" si="17"/>
        <v>8.4928164061386067</v>
      </c>
      <c r="Q58" s="19">
        <f t="shared" si="23"/>
        <v>23.39618844666283</v>
      </c>
    </row>
    <row r="59" spans="1:17">
      <c r="A59" s="27" t="s">
        <v>32</v>
      </c>
      <c r="B59" s="9">
        <v>1000</v>
      </c>
      <c r="C59" s="26">
        <v>18.25</v>
      </c>
      <c r="D59" s="26">
        <v>18.41</v>
      </c>
      <c r="E59" s="26">
        <v>18.329999999999998</v>
      </c>
      <c r="F59" s="19">
        <f t="shared" si="18"/>
        <v>18.329999999999998</v>
      </c>
      <c r="G59" s="19">
        <f t="shared" si="19"/>
        <v>8.0000000000000071E-2</v>
      </c>
      <c r="H59" s="24">
        <f t="shared" si="14"/>
        <v>-1.3669360127959667</v>
      </c>
      <c r="I59" s="79">
        <v>550</v>
      </c>
      <c r="J59" s="19">
        <f t="shared" si="20"/>
        <v>3.5305285882647572E-2</v>
      </c>
      <c r="K59" s="10">
        <f t="shared" si="21"/>
        <v>363000</v>
      </c>
      <c r="L59" s="19">
        <f t="shared" si="22"/>
        <v>1.2815818775401069E-2</v>
      </c>
      <c r="M59" s="19">
        <f t="shared" si="15"/>
        <v>0.25631637550802139</v>
      </c>
      <c r="N59" s="28">
        <v>12</v>
      </c>
      <c r="O59" s="19">
        <f t="shared" si="16"/>
        <v>148.02360519219161</v>
      </c>
      <c r="P59" s="19">
        <f t="shared" si="17"/>
        <v>7.4011802596095801</v>
      </c>
      <c r="Q59" s="19">
        <f t="shared" si="23"/>
        <v>20.38892633501262</v>
      </c>
    </row>
  </sheetData>
  <phoneticPr fontId="17" type="noConversion"/>
  <pageMargins left="0.7" right="0.7" top="0.75" bottom="0.75" header="0.3" footer="0.3"/>
  <pageSetup scale="48"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CAE9-517B-A343-888E-4E76207032C2}">
  <dimension ref="A4:AK38"/>
  <sheetViews>
    <sheetView showGridLines="0" topLeftCell="Q7" workbookViewId="0">
      <selection activeCell="J22" sqref="J22"/>
    </sheetView>
  </sheetViews>
  <sheetFormatPr baseColWidth="10" defaultRowHeight="16"/>
  <cols>
    <col min="1" max="1" width="14.33203125" customWidth="1"/>
    <col min="2" max="2" width="27.33203125" customWidth="1"/>
    <col min="3" max="4" width="16.33203125" bestFit="1" customWidth="1"/>
    <col min="5" max="5" width="15.83203125" customWidth="1"/>
    <col min="6" max="6" width="14" customWidth="1"/>
    <col min="7" max="7" width="15.33203125" bestFit="1" customWidth="1"/>
    <col min="8" max="8" width="11.5" bestFit="1" customWidth="1"/>
    <col min="9" max="10" width="11.5" customWidth="1"/>
    <col min="11" max="11" width="13.6640625" bestFit="1" customWidth="1"/>
    <col min="12" max="12" width="20" bestFit="1" customWidth="1"/>
    <col min="13" max="13" width="22.1640625" bestFit="1" customWidth="1"/>
    <col min="14" max="14" width="18.83203125" bestFit="1" customWidth="1"/>
    <col min="15" max="15" width="54.5" bestFit="1" customWidth="1"/>
    <col min="16" max="16" width="19.33203125" bestFit="1" customWidth="1"/>
    <col min="17" max="17" width="10.83203125" bestFit="1" customWidth="1"/>
    <col min="18" max="18" width="12.83203125" bestFit="1" customWidth="1"/>
    <col min="19" max="19" width="17" bestFit="1" customWidth="1"/>
    <col min="20" max="20" width="19" bestFit="1" customWidth="1"/>
    <col min="21" max="21" width="10.83203125" bestFit="1" customWidth="1"/>
    <col min="22" max="22" width="12.83203125" bestFit="1" customWidth="1"/>
    <col min="23" max="23" width="10" bestFit="1" customWidth="1"/>
    <col min="24" max="24" width="9.1640625" bestFit="1" customWidth="1"/>
    <col min="25" max="25" width="9.5" bestFit="1" customWidth="1"/>
    <col min="26" max="26" width="17" bestFit="1" customWidth="1"/>
    <col min="27" max="27" width="19" bestFit="1" customWidth="1"/>
    <col min="37" max="37" width="17.83203125" bestFit="1" customWidth="1"/>
  </cols>
  <sheetData>
    <row r="4" spans="1:7" ht="19">
      <c r="A4" s="41" t="s">
        <v>134</v>
      </c>
      <c r="B4" s="42"/>
      <c r="C4" s="42"/>
      <c r="D4" s="42"/>
      <c r="F4" s="48"/>
      <c r="G4" s="48"/>
    </row>
    <row r="5" spans="1:7">
      <c r="A5" s="43" t="s">
        <v>137</v>
      </c>
    </row>
    <row r="6" spans="1:7">
      <c r="A6" s="43" t="s">
        <v>138</v>
      </c>
    </row>
    <row r="8" spans="1:7">
      <c r="A8" s="39" t="s">
        <v>64</v>
      </c>
      <c r="B8" s="98" t="s">
        <v>163</v>
      </c>
      <c r="C8" s="98"/>
      <c r="D8" s="98"/>
    </row>
    <row r="9" spans="1:7">
      <c r="A9" s="37" t="s">
        <v>65</v>
      </c>
      <c r="B9" s="113">
        <v>1.9</v>
      </c>
      <c r="C9" s="113"/>
      <c r="D9" s="113"/>
    </row>
    <row r="10" spans="1:7">
      <c r="A10" s="21"/>
    </row>
    <row r="11" spans="1:7">
      <c r="A11" s="13" t="s">
        <v>50</v>
      </c>
    </row>
    <row r="12" spans="1:7">
      <c r="A12" s="15" t="s">
        <v>117</v>
      </c>
      <c r="E12" s="1"/>
      <c r="F12" s="1"/>
      <c r="G12" s="1"/>
    </row>
    <row r="13" spans="1:7">
      <c r="A13" s="1" t="s">
        <v>167</v>
      </c>
      <c r="E13" s="1"/>
      <c r="F13" s="1"/>
      <c r="G13" s="1"/>
    </row>
    <row r="14" spans="1:7">
      <c r="A14" s="1"/>
      <c r="E14" s="1"/>
      <c r="F14" s="1"/>
      <c r="G14" s="1"/>
    </row>
    <row r="17" spans="1:37" ht="22" thickBot="1">
      <c r="A17" s="33" t="s">
        <v>62</v>
      </c>
    </row>
    <row r="18" spans="1:37" ht="22" thickBot="1">
      <c r="A18" s="99" t="s">
        <v>128</v>
      </c>
      <c r="B18" s="100"/>
      <c r="C18" s="101"/>
      <c r="D18" s="102" t="s">
        <v>90</v>
      </c>
      <c r="E18" s="103"/>
      <c r="F18" s="103"/>
      <c r="G18" s="103"/>
      <c r="H18" s="103"/>
      <c r="I18" s="103"/>
      <c r="J18" s="103"/>
      <c r="K18" s="103"/>
      <c r="L18" s="103"/>
      <c r="M18" s="104"/>
      <c r="N18" s="111" t="s">
        <v>83</v>
      </c>
      <c r="O18" s="112"/>
      <c r="P18" s="95"/>
      <c r="Q18" s="105" t="s">
        <v>82</v>
      </c>
      <c r="R18" s="106"/>
      <c r="S18" s="106"/>
      <c r="T18" s="106"/>
      <c r="U18" s="106"/>
      <c r="V18" s="107"/>
      <c r="W18" s="108" t="s">
        <v>81</v>
      </c>
      <c r="X18" s="109"/>
      <c r="Y18" s="109"/>
      <c r="Z18" s="109"/>
      <c r="AA18" s="110"/>
      <c r="AK18" s="63"/>
    </row>
    <row r="19" spans="1:37" ht="17" thickBot="1">
      <c r="A19" s="76" t="s">
        <v>118</v>
      </c>
      <c r="B19" s="76" t="s">
        <v>119</v>
      </c>
      <c r="C19" s="76" t="s">
        <v>120</v>
      </c>
      <c r="D19" s="51" t="s">
        <v>69</v>
      </c>
      <c r="E19" s="51" t="s">
        <v>70</v>
      </c>
      <c r="F19" s="51" t="s">
        <v>72</v>
      </c>
      <c r="G19" s="51" t="s">
        <v>150</v>
      </c>
      <c r="H19" s="51" t="s">
        <v>73</v>
      </c>
      <c r="I19" s="51" t="s">
        <v>74</v>
      </c>
      <c r="J19" s="51" t="s">
        <v>164</v>
      </c>
      <c r="K19" s="51" t="s">
        <v>165</v>
      </c>
      <c r="L19" s="51" t="s">
        <v>151</v>
      </c>
      <c r="M19" s="51" t="s">
        <v>152</v>
      </c>
      <c r="N19" s="71" t="s">
        <v>89</v>
      </c>
      <c r="O19" s="50" t="s">
        <v>161</v>
      </c>
      <c r="P19" s="50" t="s">
        <v>88</v>
      </c>
      <c r="Q19" s="47" t="s">
        <v>75</v>
      </c>
      <c r="R19" s="47" t="s">
        <v>76</v>
      </c>
      <c r="S19" s="47" t="s">
        <v>121</v>
      </c>
      <c r="T19" s="47" t="s">
        <v>122</v>
      </c>
      <c r="U19" s="47" t="s">
        <v>77</v>
      </c>
      <c r="V19" s="47" t="s">
        <v>78</v>
      </c>
      <c r="W19" s="49" t="s">
        <v>79</v>
      </c>
      <c r="X19" s="49" t="s">
        <v>92</v>
      </c>
      <c r="Y19" s="49" t="s">
        <v>80</v>
      </c>
      <c r="Z19" s="49" t="s">
        <v>123</v>
      </c>
      <c r="AA19" s="49" t="s">
        <v>124</v>
      </c>
      <c r="AK19" s="63"/>
    </row>
    <row r="20" spans="1:37">
      <c r="A20" s="74" t="str">
        <f>IF(T20&gt;30,"PASS","ALERT")</f>
        <v>PASS</v>
      </c>
      <c r="B20" s="74" t="str">
        <f t="shared" ref="B20:B27" si="0">IF(AA20&gt;15,"PASS","ALERT")</f>
        <v>PASS</v>
      </c>
      <c r="C20" s="74" t="str">
        <f>IF(((2^'Library Complexity QC'!N40)/(1/N20))&lt;819200000000,"PASS","ALERT")</f>
        <v>PASS</v>
      </c>
      <c r="D20" s="46" t="s">
        <v>176</v>
      </c>
      <c r="E20" s="44">
        <v>5000000</v>
      </c>
      <c r="F20" s="44">
        <v>4406271</v>
      </c>
      <c r="G20" s="44">
        <v>88.1</v>
      </c>
      <c r="H20" s="44">
        <v>302367</v>
      </c>
      <c r="I20" s="44">
        <v>6.9</v>
      </c>
      <c r="J20" s="44">
        <v>0</v>
      </c>
      <c r="K20" s="44">
        <v>0</v>
      </c>
      <c r="L20" s="44">
        <v>4103904</v>
      </c>
      <c r="M20" s="44">
        <v>82.1</v>
      </c>
      <c r="N20" s="72">
        <v>170000000</v>
      </c>
      <c r="O20" s="44">
        <v>8.15</v>
      </c>
      <c r="P20" s="44">
        <v>33.5</v>
      </c>
      <c r="Q20" s="44">
        <v>3707270</v>
      </c>
      <c r="R20" s="44">
        <v>90.3</v>
      </c>
      <c r="S20" s="44">
        <v>1473943</v>
      </c>
      <c r="T20" s="44">
        <v>35.9</v>
      </c>
      <c r="U20" s="44">
        <v>396606</v>
      </c>
      <c r="V20" s="44">
        <v>9.6999999999999993</v>
      </c>
      <c r="W20" s="44">
        <v>48983</v>
      </c>
      <c r="X20" s="44">
        <v>29592</v>
      </c>
      <c r="Y20" s="44">
        <v>1206029</v>
      </c>
      <c r="Z20" s="44">
        <v>972207</v>
      </c>
      <c r="AA20" s="44">
        <v>80.599999999999994</v>
      </c>
      <c r="AK20" s="63"/>
    </row>
    <row r="21" spans="1:37">
      <c r="A21" s="74" t="str">
        <f t="shared" ref="A21:A27" si="1">IF(T21&gt;40,"PASS","ALERT")</f>
        <v>ALERT</v>
      </c>
      <c r="B21" s="74" t="str">
        <f t="shared" si="0"/>
        <v>ALERT</v>
      </c>
      <c r="C21" s="74" t="e">
        <f>IF(((2^'Library Complexity QC'!N41)/(1/N21))&lt;819200000000,"PASS","ALERT")</f>
        <v>#DIV/0!</v>
      </c>
      <c r="D21" s="46"/>
      <c r="E21" s="2"/>
      <c r="F21" s="2"/>
      <c r="G21" s="2"/>
      <c r="H21" s="2"/>
      <c r="I21" s="2"/>
      <c r="J21" s="2"/>
      <c r="K21" s="2"/>
      <c r="L21" s="2"/>
      <c r="M21" s="2"/>
      <c r="N21" s="73"/>
      <c r="O21" s="2"/>
      <c r="P21" s="2"/>
      <c r="Q21" s="2"/>
      <c r="R21" s="2"/>
      <c r="S21" s="2"/>
      <c r="T21" s="2"/>
      <c r="U21" s="2"/>
      <c r="V21" s="2"/>
      <c r="W21" s="2"/>
      <c r="X21" s="2"/>
      <c r="Y21" s="2"/>
      <c r="Z21" s="2"/>
      <c r="AA21" s="2"/>
      <c r="AK21" s="63"/>
    </row>
    <row r="22" spans="1:37">
      <c r="A22" s="74" t="str">
        <f t="shared" si="1"/>
        <v>ALERT</v>
      </c>
      <c r="B22" s="74" t="str">
        <f t="shared" si="0"/>
        <v>ALERT</v>
      </c>
      <c r="C22" s="74" t="e">
        <f>IF(((2^'Library Complexity QC'!N42)/(1/N22))&lt;819200000000,"PASS","ALERT")</f>
        <v>#DIV/0!</v>
      </c>
      <c r="D22" s="46"/>
      <c r="E22" s="2"/>
      <c r="F22" s="2"/>
      <c r="G22" s="2"/>
      <c r="H22" s="2"/>
      <c r="I22" s="2"/>
      <c r="J22" s="2"/>
      <c r="K22" s="2"/>
      <c r="L22" s="2"/>
      <c r="M22" s="2"/>
      <c r="N22" s="73"/>
      <c r="O22" s="2"/>
      <c r="P22" s="2"/>
      <c r="Q22" s="2"/>
      <c r="R22" s="2"/>
      <c r="S22" s="2"/>
      <c r="T22" s="2"/>
      <c r="U22" s="2"/>
      <c r="V22" s="2"/>
      <c r="W22" s="2"/>
      <c r="X22" s="2"/>
      <c r="Y22" s="2"/>
      <c r="Z22" s="2"/>
      <c r="AA22" s="2"/>
      <c r="AK22" s="63"/>
    </row>
    <row r="23" spans="1:37">
      <c r="A23" s="74" t="str">
        <f t="shared" si="1"/>
        <v>ALERT</v>
      </c>
      <c r="B23" s="74" t="str">
        <f t="shared" si="0"/>
        <v>ALERT</v>
      </c>
      <c r="C23" s="74" t="e">
        <f>IF(((2^'Library Complexity QC'!N43)/(1/N23))&lt;819200000000,"PASS","ALERT")</f>
        <v>#DIV/0!</v>
      </c>
      <c r="D23" s="46"/>
      <c r="E23" s="2"/>
      <c r="F23" s="2"/>
      <c r="G23" s="2"/>
      <c r="H23" s="2"/>
      <c r="I23" s="2"/>
      <c r="J23" s="2"/>
      <c r="K23" s="2"/>
      <c r="L23" s="2"/>
      <c r="M23" s="2"/>
      <c r="N23" s="73"/>
      <c r="O23" s="2"/>
      <c r="P23" s="2"/>
      <c r="Q23" s="2"/>
      <c r="R23" s="2"/>
      <c r="S23" s="2"/>
      <c r="T23" s="2"/>
      <c r="U23" s="2"/>
      <c r="V23" s="2"/>
      <c r="W23" s="2"/>
      <c r="X23" s="2"/>
      <c r="Y23" s="2"/>
      <c r="Z23" s="2"/>
      <c r="AA23" s="2"/>
      <c r="AK23" s="63"/>
    </row>
    <row r="24" spans="1:37">
      <c r="A24" s="74" t="str">
        <f t="shared" si="1"/>
        <v>ALERT</v>
      </c>
      <c r="B24" s="74" t="str">
        <f t="shared" si="0"/>
        <v>ALERT</v>
      </c>
      <c r="C24" s="74" t="e">
        <f>IF(((2^'Library Complexity QC'!N44)/(1/N24))&lt;819200000000,"PASS","ALERT")</f>
        <v>#DIV/0!</v>
      </c>
      <c r="D24" s="46"/>
      <c r="E24" s="2"/>
      <c r="F24" s="2"/>
      <c r="G24" s="2"/>
      <c r="H24" s="2"/>
      <c r="I24" s="2"/>
      <c r="J24" s="2"/>
      <c r="K24" s="2"/>
      <c r="L24" s="2"/>
      <c r="M24" s="2"/>
      <c r="N24" s="73"/>
      <c r="O24" s="2"/>
      <c r="P24" s="2"/>
      <c r="Q24" s="2"/>
      <c r="R24" s="2"/>
      <c r="S24" s="2"/>
      <c r="T24" s="2"/>
      <c r="U24" s="2"/>
      <c r="V24" s="2"/>
      <c r="W24" s="2"/>
      <c r="X24" s="2"/>
      <c r="Y24" s="2"/>
      <c r="Z24" s="2"/>
      <c r="AA24" s="2"/>
      <c r="AK24" s="63"/>
    </row>
    <row r="25" spans="1:37">
      <c r="A25" s="74" t="str">
        <f t="shared" si="1"/>
        <v>ALERT</v>
      </c>
      <c r="B25" s="74" t="str">
        <f t="shared" si="0"/>
        <v>ALERT</v>
      </c>
      <c r="C25" s="74" t="e">
        <f>IF(((2^'Library Complexity QC'!N45)/(1/N25))&lt;819200000000,"PASS","ALERT")</f>
        <v>#DIV/0!</v>
      </c>
      <c r="D25" s="46"/>
      <c r="E25" s="2"/>
      <c r="F25" s="2"/>
      <c r="G25" s="2"/>
      <c r="H25" s="2"/>
      <c r="I25" s="2"/>
      <c r="J25" s="2"/>
      <c r="K25" s="2"/>
      <c r="L25" s="2"/>
      <c r="M25" s="2"/>
      <c r="N25" s="73"/>
      <c r="O25" s="2"/>
      <c r="P25" s="2"/>
      <c r="Q25" s="2"/>
      <c r="R25" s="2"/>
      <c r="S25" s="2"/>
      <c r="T25" s="2"/>
      <c r="U25" s="2"/>
      <c r="V25" s="2"/>
      <c r="W25" s="2"/>
      <c r="X25" s="2"/>
      <c r="Y25" s="2"/>
      <c r="Z25" s="2"/>
      <c r="AA25" s="2"/>
    </row>
    <row r="26" spans="1:37">
      <c r="A26" s="74" t="str">
        <f t="shared" si="1"/>
        <v>ALERT</v>
      </c>
      <c r="B26" s="74" t="str">
        <f t="shared" si="0"/>
        <v>ALERT</v>
      </c>
      <c r="C26" s="74" t="e">
        <f>IF(((2^'Library Complexity QC'!N46)/(1/N26))&lt;819200000000,"PASS","ALERT")</f>
        <v>#DIV/0!</v>
      </c>
      <c r="D26" s="46"/>
      <c r="E26" s="2"/>
      <c r="F26" s="2"/>
      <c r="G26" s="2"/>
      <c r="H26" s="2"/>
      <c r="I26" s="2"/>
      <c r="J26" s="2"/>
      <c r="K26" s="2"/>
      <c r="L26" s="2"/>
      <c r="M26" s="2"/>
      <c r="N26" s="73"/>
      <c r="O26" s="2"/>
      <c r="P26" s="2"/>
      <c r="Q26" s="2"/>
      <c r="R26" s="2"/>
      <c r="S26" s="2"/>
      <c r="T26" s="2"/>
      <c r="U26" s="2"/>
      <c r="V26" s="2"/>
      <c r="W26" s="2"/>
      <c r="X26" s="2"/>
      <c r="Y26" s="2"/>
      <c r="Z26" s="2"/>
      <c r="AA26" s="2"/>
    </row>
    <row r="27" spans="1:37">
      <c r="A27" s="74" t="str">
        <f t="shared" si="1"/>
        <v>ALERT</v>
      </c>
      <c r="B27" s="74" t="str">
        <f t="shared" si="0"/>
        <v>ALERT</v>
      </c>
      <c r="C27" s="74" t="e">
        <f>IF(((2^'Library Complexity QC'!N47)/(1/N27))&lt;819200000000,"PASS","ALERT")</f>
        <v>#DIV/0!</v>
      </c>
      <c r="D27" s="46"/>
      <c r="E27" s="2"/>
      <c r="F27" s="2"/>
      <c r="G27" s="2"/>
      <c r="H27" s="2"/>
      <c r="I27" s="2"/>
      <c r="J27" s="2"/>
      <c r="K27" s="2"/>
      <c r="L27" s="2"/>
      <c r="M27" s="2"/>
      <c r="N27" s="73"/>
      <c r="O27" s="2"/>
      <c r="P27" s="2"/>
      <c r="Q27" s="2"/>
      <c r="R27" s="2"/>
      <c r="S27" s="2"/>
      <c r="T27" s="2"/>
      <c r="U27" s="2"/>
      <c r="V27" s="2"/>
      <c r="W27" s="2"/>
      <c r="X27" s="2"/>
      <c r="Y27" s="2"/>
      <c r="Z27" s="2"/>
      <c r="AA27" s="2"/>
    </row>
    <row r="28" spans="1:37">
      <c r="A28" s="45"/>
      <c r="E28" s="1"/>
      <c r="F28" s="1"/>
      <c r="G28" s="1"/>
      <c r="H28" s="1"/>
      <c r="I28" s="1"/>
      <c r="J28" s="1"/>
      <c r="K28" s="1"/>
      <c r="L28" s="1"/>
      <c r="M28" s="1"/>
      <c r="N28" s="1"/>
      <c r="O28" s="1"/>
      <c r="P28" s="1"/>
      <c r="Q28" s="1"/>
      <c r="R28" s="1"/>
      <c r="S28" s="1"/>
      <c r="T28" s="1"/>
      <c r="U28" s="1"/>
      <c r="V28" s="1"/>
      <c r="W28" s="1"/>
      <c r="X28" s="1"/>
      <c r="Y28" s="1"/>
      <c r="Z28" s="1"/>
      <c r="AA28" s="1"/>
    </row>
    <row r="29" spans="1:37">
      <c r="A29" s="45"/>
      <c r="E29" s="1"/>
      <c r="F29" s="1"/>
      <c r="G29" s="1"/>
      <c r="H29" s="1"/>
      <c r="I29" s="1"/>
      <c r="J29" s="1"/>
      <c r="K29" s="1"/>
      <c r="L29" s="1"/>
      <c r="M29" s="1"/>
      <c r="N29" s="1"/>
      <c r="O29" s="1"/>
      <c r="P29" s="1"/>
      <c r="Q29" s="1"/>
      <c r="R29" s="1"/>
      <c r="S29" s="1"/>
      <c r="T29" s="1"/>
      <c r="U29" s="1"/>
      <c r="V29" s="1"/>
      <c r="W29" s="1"/>
      <c r="X29" s="1"/>
      <c r="Y29" s="1"/>
      <c r="Z29" s="1"/>
      <c r="AA29" s="1"/>
    </row>
    <row r="30" spans="1:37">
      <c r="A30" s="45"/>
      <c r="H30" s="78"/>
      <c r="I30" s="78"/>
      <c r="J30" s="78"/>
      <c r="K30" s="78"/>
      <c r="L30" s="78"/>
    </row>
    <row r="31" spans="1:37">
      <c r="A31" s="45"/>
      <c r="F31" s="78"/>
      <c r="G31" s="78"/>
      <c r="H31" s="78"/>
      <c r="I31" s="78"/>
      <c r="J31" s="78"/>
      <c r="K31" s="78"/>
      <c r="L31" s="78"/>
    </row>
    <row r="32" spans="1:37">
      <c r="A32" s="45"/>
      <c r="F32" s="78"/>
      <c r="G32" s="78"/>
      <c r="H32" s="78"/>
      <c r="I32" s="78"/>
      <c r="J32" s="78"/>
      <c r="K32" s="78"/>
      <c r="L32" s="78"/>
    </row>
    <row r="33" spans="1:12">
      <c r="A33" s="52"/>
      <c r="F33" s="78"/>
      <c r="G33" s="78"/>
      <c r="H33" s="78"/>
      <c r="I33" s="78"/>
      <c r="J33" s="78"/>
      <c r="K33" s="78"/>
      <c r="L33" s="78"/>
    </row>
    <row r="34" spans="1:12">
      <c r="F34" s="78"/>
      <c r="G34" s="78"/>
      <c r="H34" s="78"/>
      <c r="I34" s="78"/>
      <c r="J34" s="78"/>
      <c r="K34" s="78"/>
      <c r="L34" s="78"/>
    </row>
    <row r="35" spans="1:12">
      <c r="F35" s="78"/>
      <c r="G35" s="78"/>
      <c r="H35" s="78"/>
      <c r="I35" s="78"/>
      <c r="J35" s="78"/>
      <c r="K35" s="78"/>
      <c r="L35" s="78"/>
    </row>
    <row r="36" spans="1:12">
      <c r="F36" s="78"/>
      <c r="G36" s="78"/>
      <c r="H36" s="78"/>
      <c r="I36" s="78"/>
      <c r="J36" s="78"/>
      <c r="K36" s="78"/>
      <c r="L36" s="78"/>
    </row>
    <row r="37" spans="1:12">
      <c r="F37" s="78"/>
      <c r="G37" s="78"/>
      <c r="H37" s="78"/>
      <c r="I37" s="78"/>
      <c r="J37" s="78"/>
      <c r="K37" s="78"/>
      <c r="L37" s="78"/>
    </row>
    <row r="38" spans="1:12">
      <c r="F38" s="78"/>
      <c r="G38" s="78"/>
    </row>
  </sheetData>
  <mergeCells count="7">
    <mergeCell ref="B8:D8"/>
    <mergeCell ref="A18:C18"/>
    <mergeCell ref="D18:M18"/>
    <mergeCell ref="Q18:V18"/>
    <mergeCell ref="W18:AA18"/>
    <mergeCell ref="N18:O18"/>
    <mergeCell ref="B9:D9"/>
  </mergeCells>
  <hyperlinks>
    <hyperlink ref="B8" r:id="rId1" display="https://github.com/ijuric/MAPS" xr:uid="{D49618B1-ADE9-9E45-A15B-7152684528F1}"/>
    <hyperlink ref="B8:D8" r:id="rId2" display="https://github.com/ijuric/MAPS/tree/master/Arima_Genomics" xr:uid="{73DACD07-C836-0A46-B26A-4890792218D9}"/>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327F-8CD9-D241-8351-42A2AA99D4D5}">
  <dimension ref="A4:AJ32"/>
  <sheetViews>
    <sheetView showGridLines="0" tabSelected="1" topLeftCell="P6" workbookViewId="0">
      <selection activeCell="AA14" sqref="AA14"/>
    </sheetView>
  </sheetViews>
  <sheetFormatPr baseColWidth="10" defaultRowHeight="16"/>
  <cols>
    <col min="1" max="1" width="14.33203125" customWidth="1"/>
    <col min="2" max="2" width="27.6640625" bestFit="1" customWidth="1"/>
    <col min="3" max="4" width="12.83203125" bestFit="1" customWidth="1"/>
    <col min="5" max="5" width="13.33203125" bestFit="1" customWidth="1"/>
    <col min="6" max="6" width="15.33203125" bestFit="1" customWidth="1"/>
    <col min="7" max="7" width="9" customWidth="1"/>
    <col min="8" max="8" width="11" bestFit="1" customWidth="1"/>
    <col min="9" max="9" width="11.6640625" bestFit="1" customWidth="1"/>
    <col min="10" max="10" width="13.6640625" bestFit="1" customWidth="1"/>
    <col min="11" max="11" width="20" bestFit="1" customWidth="1"/>
    <col min="12" max="12" width="22.1640625" bestFit="1" customWidth="1"/>
    <col min="13" max="13" width="5.83203125" bestFit="1" customWidth="1"/>
    <col min="14" max="14" width="54.5" bestFit="1" customWidth="1"/>
    <col min="15" max="15" width="19.33203125" bestFit="1" customWidth="1"/>
    <col min="17" max="17" width="12.83203125" bestFit="1" customWidth="1"/>
    <col min="18" max="18" width="17" bestFit="1" customWidth="1"/>
    <col min="19" max="19" width="19" bestFit="1" customWidth="1"/>
    <col min="20" max="20" width="10.6640625" bestFit="1" customWidth="1"/>
    <col min="21" max="21" width="12.6640625" bestFit="1" customWidth="1"/>
    <col min="22" max="22" width="10" bestFit="1" customWidth="1"/>
    <col min="23" max="23" width="9.1640625" bestFit="1" customWidth="1"/>
    <col min="24" max="24" width="9.5" bestFit="1" customWidth="1"/>
    <col min="25" max="25" width="17" bestFit="1" customWidth="1"/>
    <col min="26" max="27" width="19" bestFit="1" customWidth="1"/>
    <col min="37" max="37" width="17.83203125" bestFit="1" customWidth="1"/>
  </cols>
  <sheetData>
    <row r="4" spans="1:11" ht="19">
      <c r="A4" s="41" t="s">
        <v>63</v>
      </c>
      <c r="B4" s="42"/>
      <c r="F4" s="48"/>
      <c r="G4" s="48"/>
      <c r="H4" s="48"/>
      <c r="I4" s="48"/>
      <c r="J4" s="48"/>
      <c r="K4" s="48"/>
    </row>
    <row r="5" spans="1:11">
      <c r="A5" s="43" t="s">
        <v>139</v>
      </c>
    </row>
    <row r="7" spans="1:11">
      <c r="A7" s="39" t="s">
        <v>64</v>
      </c>
      <c r="B7" s="114" t="s">
        <v>163</v>
      </c>
      <c r="C7" s="115"/>
      <c r="D7" s="115"/>
    </row>
    <row r="8" spans="1:11">
      <c r="A8" s="37" t="s">
        <v>65</v>
      </c>
      <c r="B8" s="116">
        <v>1.9</v>
      </c>
      <c r="C8" s="117"/>
      <c r="D8" s="117"/>
    </row>
    <row r="9" spans="1:11">
      <c r="A9" s="21"/>
    </row>
    <row r="10" spans="1:11">
      <c r="A10" s="13" t="s">
        <v>50</v>
      </c>
    </row>
    <row r="11" spans="1:11">
      <c r="A11" s="15" t="s">
        <v>117</v>
      </c>
      <c r="E11" s="1"/>
      <c r="F11" s="1"/>
      <c r="G11" s="1"/>
      <c r="H11" s="1"/>
      <c r="I11" s="1"/>
      <c r="J11" s="1"/>
      <c r="K11" s="1"/>
    </row>
    <row r="12" spans="1:11">
      <c r="A12" s="1" t="s">
        <v>166</v>
      </c>
      <c r="E12" s="1"/>
      <c r="F12" s="1"/>
      <c r="G12" s="1"/>
      <c r="H12" s="1"/>
      <c r="I12" s="1"/>
      <c r="J12" s="1"/>
      <c r="K12" s="1"/>
    </row>
    <row r="13" spans="1:11">
      <c r="A13" s="1"/>
      <c r="E13" s="1"/>
      <c r="F13" s="1"/>
      <c r="G13" s="1"/>
      <c r="H13" s="1"/>
      <c r="I13" s="1"/>
      <c r="J13" s="1"/>
      <c r="K13" s="1"/>
    </row>
    <row r="16" spans="1:11" ht="22" thickBot="1">
      <c r="A16" s="33" t="s">
        <v>62</v>
      </c>
    </row>
    <row r="17" spans="1:36" ht="22" thickBot="1">
      <c r="A17" s="99" t="s">
        <v>128</v>
      </c>
      <c r="B17" s="100"/>
      <c r="C17" s="102" t="s">
        <v>90</v>
      </c>
      <c r="D17" s="103"/>
      <c r="E17" s="103"/>
      <c r="F17" s="103"/>
      <c r="G17" s="103"/>
      <c r="H17" s="103"/>
      <c r="I17" s="103"/>
      <c r="J17" s="103"/>
      <c r="K17" s="103"/>
      <c r="L17" s="104"/>
      <c r="M17" s="111" t="s">
        <v>83</v>
      </c>
      <c r="N17" s="112"/>
      <c r="O17" s="112"/>
      <c r="P17" s="105" t="s">
        <v>82</v>
      </c>
      <c r="Q17" s="106"/>
      <c r="R17" s="106"/>
      <c r="S17" s="106"/>
      <c r="T17" s="106"/>
      <c r="U17" s="107"/>
      <c r="V17" s="108" t="s">
        <v>81</v>
      </c>
      <c r="W17" s="109"/>
      <c r="X17" s="109"/>
      <c r="Y17" s="109"/>
      <c r="Z17" s="110"/>
      <c r="AJ17" s="63"/>
    </row>
    <row r="18" spans="1:36" ht="17" thickBot="1">
      <c r="A18" s="76" t="s">
        <v>118</v>
      </c>
      <c r="B18" s="76" t="s">
        <v>119</v>
      </c>
      <c r="C18" s="51" t="s">
        <v>69</v>
      </c>
      <c r="D18" s="51" t="s">
        <v>70</v>
      </c>
      <c r="E18" s="51" t="s">
        <v>72</v>
      </c>
      <c r="F18" s="51" t="s">
        <v>150</v>
      </c>
      <c r="G18" s="51" t="s">
        <v>73</v>
      </c>
      <c r="H18" s="51" t="s">
        <v>74</v>
      </c>
      <c r="I18" s="51" t="s">
        <v>164</v>
      </c>
      <c r="J18" s="51" t="s">
        <v>165</v>
      </c>
      <c r="K18" s="51" t="s">
        <v>151</v>
      </c>
      <c r="L18" s="51" t="s">
        <v>152</v>
      </c>
      <c r="M18" s="50" t="s">
        <v>111</v>
      </c>
      <c r="N18" s="50" t="s">
        <v>161</v>
      </c>
      <c r="O18" s="50" t="s">
        <v>88</v>
      </c>
      <c r="P18" s="47" t="s">
        <v>75</v>
      </c>
      <c r="Q18" s="47" t="s">
        <v>76</v>
      </c>
      <c r="R18" s="47" t="s">
        <v>121</v>
      </c>
      <c r="S18" s="47" t="s">
        <v>122</v>
      </c>
      <c r="T18" s="47" t="s">
        <v>77</v>
      </c>
      <c r="U18" s="47" t="s">
        <v>78</v>
      </c>
      <c r="V18" s="49" t="s">
        <v>79</v>
      </c>
      <c r="W18" s="49" t="s">
        <v>92</v>
      </c>
      <c r="X18" s="49" t="s">
        <v>80</v>
      </c>
      <c r="Y18" s="49" t="s">
        <v>123</v>
      </c>
      <c r="Z18" s="49" t="s">
        <v>124</v>
      </c>
      <c r="AJ18" s="63"/>
    </row>
    <row r="19" spans="1:36">
      <c r="A19" s="74" t="str">
        <f>IF(S19&gt;30,"PASS","ALERT")</f>
        <v>PASS</v>
      </c>
      <c r="B19" s="74" t="str">
        <f t="shared" ref="B19:B26" si="0">IF(Z19&gt;15,"PASS","ALERT")</f>
        <v>PASS</v>
      </c>
      <c r="C19" s="46" t="s">
        <v>176</v>
      </c>
      <c r="D19" s="44">
        <v>5000000</v>
      </c>
      <c r="E19" s="44">
        <v>4406271</v>
      </c>
      <c r="F19" s="44">
        <v>88.1</v>
      </c>
      <c r="G19" s="44">
        <v>302367</v>
      </c>
      <c r="H19" s="44">
        <v>6.9</v>
      </c>
      <c r="I19" s="44">
        <v>0</v>
      </c>
      <c r="J19" s="44">
        <v>0</v>
      </c>
      <c r="K19" s="44">
        <v>4103904</v>
      </c>
      <c r="L19" s="44">
        <v>82.1</v>
      </c>
      <c r="M19" s="44">
        <v>194</v>
      </c>
      <c r="N19" s="44">
        <v>8.15</v>
      </c>
      <c r="O19" s="44">
        <v>33.5</v>
      </c>
      <c r="P19" s="44">
        <v>3707270</v>
      </c>
      <c r="Q19" s="44">
        <v>90.3</v>
      </c>
      <c r="R19" s="44">
        <v>1473943</v>
      </c>
      <c r="S19" s="44">
        <v>35.9</v>
      </c>
      <c r="T19" s="44">
        <v>396606</v>
      </c>
      <c r="U19" s="44">
        <v>9.6999999999999993</v>
      </c>
      <c r="V19" s="44">
        <v>48983</v>
      </c>
      <c r="W19" s="44">
        <v>29592</v>
      </c>
      <c r="X19" s="44">
        <v>1206029</v>
      </c>
      <c r="Y19" s="44">
        <v>972207</v>
      </c>
      <c r="Z19" s="44">
        <v>80.599999999999994</v>
      </c>
      <c r="AJ19" s="63"/>
    </row>
    <row r="20" spans="1:36">
      <c r="A20" s="74" t="str">
        <f t="shared" ref="A20:A26" si="1">IF(S20&gt;40,"PASS","ALERT")</f>
        <v>ALERT</v>
      </c>
      <c r="B20" s="74" t="str">
        <f t="shared" si="0"/>
        <v>ALERT</v>
      </c>
      <c r="C20" s="46"/>
      <c r="D20" s="2"/>
      <c r="E20" s="2"/>
      <c r="F20" s="2"/>
      <c r="G20" s="2"/>
      <c r="H20" s="2"/>
      <c r="I20" s="2"/>
      <c r="J20" s="2"/>
      <c r="K20" s="2"/>
      <c r="L20" s="2"/>
      <c r="M20" s="2"/>
      <c r="N20" s="2"/>
      <c r="O20" s="2"/>
      <c r="P20" s="2"/>
      <c r="Q20" s="2"/>
      <c r="R20" s="2"/>
      <c r="S20" s="2"/>
      <c r="T20" s="2"/>
      <c r="U20" s="2"/>
      <c r="V20" s="2"/>
      <c r="W20" s="2"/>
      <c r="X20" s="2"/>
      <c r="Y20" s="2"/>
      <c r="Z20" s="2"/>
      <c r="AJ20" s="63"/>
    </row>
    <row r="21" spans="1:36">
      <c r="A21" s="74" t="str">
        <f t="shared" si="1"/>
        <v>ALERT</v>
      </c>
      <c r="B21" s="74" t="str">
        <f t="shared" si="0"/>
        <v>ALERT</v>
      </c>
      <c r="C21" s="46"/>
      <c r="D21" s="2"/>
      <c r="E21" s="2"/>
      <c r="F21" s="2"/>
      <c r="G21" s="2"/>
      <c r="H21" s="2"/>
      <c r="I21" s="2"/>
      <c r="J21" s="2"/>
      <c r="K21" s="2"/>
      <c r="L21" s="2"/>
      <c r="M21" s="2"/>
      <c r="N21" s="2"/>
      <c r="O21" s="2"/>
      <c r="P21" s="2"/>
      <c r="Q21" s="2"/>
      <c r="R21" s="2"/>
      <c r="S21" s="2"/>
      <c r="T21" s="2"/>
      <c r="U21" s="2"/>
      <c r="V21" s="2"/>
      <c r="W21" s="2"/>
      <c r="X21" s="2"/>
      <c r="Y21" s="2"/>
      <c r="Z21" s="2"/>
      <c r="AJ21" s="63"/>
    </row>
    <row r="22" spans="1:36">
      <c r="A22" s="74" t="str">
        <f t="shared" si="1"/>
        <v>ALERT</v>
      </c>
      <c r="B22" s="74" t="str">
        <f t="shared" si="0"/>
        <v>ALERT</v>
      </c>
      <c r="C22" s="46"/>
      <c r="D22" s="2"/>
      <c r="E22" s="2"/>
      <c r="F22" s="2"/>
      <c r="G22" s="2"/>
      <c r="H22" s="2"/>
      <c r="I22" s="2"/>
      <c r="J22" s="2"/>
      <c r="K22" s="2"/>
      <c r="L22" s="2"/>
      <c r="M22" s="2"/>
      <c r="N22" s="2"/>
      <c r="O22" s="2"/>
      <c r="P22" s="2"/>
      <c r="Q22" s="2"/>
      <c r="R22" s="2"/>
      <c r="S22" s="2"/>
      <c r="T22" s="2"/>
      <c r="U22" s="2"/>
      <c r="V22" s="2"/>
      <c r="W22" s="2"/>
      <c r="X22" s="2"/>
      <c r="Y22" s="2"/>
      <c r="Z22" s="2"/>
      <c r="AJ22" s="63"/>
    </row>
    <row r="23" spans="1:36">
      <c r="A23" s="74" t="str">
        <f t="shared" si="1"/>
        <v>ALERT</v>
      </c>
      <c r="B23" s="74" t="str">
        <f t="shared" si="0"/>
        <v>ALERT</v>
      </c>
      <c r="C23" s="46"/>
      <c r="D23" s="2"/>
      <c r="E23" s="2"/>
      <c r="F23" s="2"/>
      <c r="G23" s="2"/>
      <c r="H23" s="2"/>
      <c r="I23" s="2"/>
      <c r="J23" s="2"/>
      <c r="K23" s="2"/>
      <c r="L23" s="2"/>
      <c r="M23" s="2"/>
      <c r="N23" s="2"/>
      <c r="O23" s="2"/>
      <c r="P23" s="2"/>
      <c r="Q23" s="2"/>
      <c r="R23" s="2"/>
      <c r="S23" s="2"/>
      <c r="T23" s="2"/>
      <c r="U23" s="2"/>
      <c r="V23" s="2"/>
      <c r="W23" s="2"/>
      <c r="X23" s="2"/>
      <c r="Y23" s="2"/>
      <c r="Z23" s="2"/>
      <c r="AJ23" s="63"/>
    </row>
    <row r="24" spans="1:36">
      <c r="A24" s="74" t="str">
        <f t="shared" si="1"/>
        <v>ALERT</v>
      </c>
      <c r="B24" s="74" t="str">
        <f t="shared" si="0"/>
        <v>ALERT</v>
      </c>
      <c r="C24" s="46"/>
      <c r="D24" s="2"/>
      <c r="E24" s="2"/>
      <c r="F24" s="2"/>
      <c r="G24" s="2"/>
      <c r="H24" s="2"/>
      <c r="I24" s="2"/>
      <c r="J24" s="2"/>
      <c r="K24" s="2"/>
      <c r="L24" s="2"/>
      <c r="M24" s="2"/>
      <c r="N24" s="2"/>
      <c r="O24" s="2"/>
      <c r="P24" s="2"/>
      <c r="Q24" s="2"/>
      <c r="R24" s="2"/>
      <c r="S24" s="2"/>
      <c r="T24" s="2"/>
      <c r="U24" s="2"/>
      <c r="V24" s="2"/>
      <c r="W24" s="2"/>
      <c r="X24" s="2"/>
      <c r="Y24" s="2"/>
      <c r="Z24" s="2"/>
    </row>
    <row r="25" spans="1:36">
      <c r="A25" s="74" t="str">
        <f t="shared" si="1"/>
        <v>ALERT</v>
      </c>
      <c r="B25" s="74" t="str">
        <f t="shared" si="0"/>
        <v>ALERT</v>
      </c>
      <c r="C25" s="46"/>
      <c r="D25" s="2"/>
      <c r="E25" s="2"/>
      <c r="F25" s="2"/>
      <c r="G25" s="2"/>
      <c r="H25" s="2"/>
      <c r="I25" s="2"/>
      <c r="J25" s="2"/>
      <c r="K25" s="2"/>
      <c r="L25" s="2"/>
      <c r="M25" s="2"/>
      <c r="N25" s="2"/>
      <c r="O25" s="2"/>
      <c r="P25" s="2"/>
      <c r="Q25" s="2"/>
      <c r="R25" s="2"/>
      <c r="S25" s="2"/>
      <c r="T25" s="2"/>
      <c r="U25" s="2"/>
      <c r="V25" s="2"/>
      <c r="W25" s="2"/>
      <c r="X25" s="2"/>
      <c r="Y25" s="2"/>
      <c r="Z25" s="2"/>
    </row>
    <row r="26" spans="1:36">
      <c r="A26" s="74" t="str">
        <f t="shared" si="1"/>
        <v>ALERT</v>
      </c>
      <c r="B26" s="74" t="str">
        <f t="shared" si="0"/>
        <v>ALERT</v>
      </c>
      <c r="C26" s="46"/>
      <c r="D26" s="2"/>
      <c r="E26" s="2"/>
      <c r="F26" s="2"/>
      <c r="G26" s="2"/>
      <c r="H26" s="2"/>
      <c r="I26" s="2"/>
      <c r="J26" s="2"/>
      <c r="K26" s="2"/>
      <c r="L26" s="2"/>
      <c r="M26" s="2"/>
      <c r="N26" s="2"/>
      <c r="O26" s="2"/>
      <c r="P26" s="2"/>
      <c r="Q26" s="2"/>
      <c r="R26" s="2"/>
      <c r="S26" s="2"/>
      <c r="T26" s="2"/>
      <c r="U26" s="2"/>
      <c r="V26" s="2"/>
      <c r="W26" s="2"/>
      <c r="X26" s="2"/>
      <c r="Y26" s="2"/>
      <c r="Z26" s="2"/>
    </row>
    <row r="27" spans="1:36">
      <c r="A27" s="45"/>
      <c r="E27" s="1"/>
      <c r="F27" s="1"/>
      <c r="G27" s="1"/>
      <c r="H27" s="1"/>
      <c r="I27" s="1"/>
      <c r="J27" s="1"/>
      <c r="K27" s="1"/>
      <c r="L27" s="1"/>
      <c r="M27" s="1"/>
      <c r="N27" s="1"/>
      <c r="O27" s="1"/>
      <c r="P27" s="1"/>
      <c r="Q27" s="1"/>
      <c r="R27" s="1"/>
      <c r="S27" s="1"/>
      <c r="T27" s="1"/>
      <c r="U27" s="1"/>
      <c r="V27" s="1"/>
      <c r="W27" s="1"/>
      <c r="X27" s="1"/>
      <c r="Y27" s="1"/>
      <c r="Z27" s="1"/>
      <c r="AA27" s="1"/>
    </row>
    <row r="28" spans="1:36">
      <c r="A28" s="45"/>
      <c r="E28" s="1"/>
      <c r="F28" s="1"/>
      <c r="G28" s="1"/>
      <c r="H28" s="1"/>
      <c r="I28" s="1"/>
      <c r="J28" s="1"/>
      <c r="K28" s="1"/>
      <c r="L28" s="1"/>
      <c r="M28" s="1"/>
      <c r="N28" s="1"/>
      <c r="O28" s="1"/>
      <c r="P28" s="1"/>
      <c r="Q28" s="1"/>
      <c r="R28" s="1"/>
      <c r="S28" s="1"/>
      <c r="T28" s="1"/>
      <c r="U28" s="1"/>
      <c r="V28" s="1"/>
      <c r="W28" s="1"/>
      <c r="X28" s="1"/>
      <c r="Y28" s="1"/>
      <c r="Z28" s="1"/>
      <c r="AA28" s="1"/>
    </row>
    <row r="29" spans="1:36">
      <c r="A29" s="45"/>
    </row>
    <row r="30" spans="1:36">
      <c r="A30" s="45"/>
    </row>
    <row r="31" spans="1:36">
      <c r="A31" s="45"/>
    </row>
    <row r="32" spans="1:36">
      <c r="A32" s="52"/>
    </row>
  </sheetData>
  <mergeCells count="7">
    <mergeCell ref="B7:D7"/>
    <mergeCell ref="B8:D8"/>
    <mergeCell ref="A17:B17"/>
    <mergeCell ref="P17:U17"/>
    <mergeCell ref="V17:Z17"/>
    <mergeCell ref="M17:O17"/>
    <mergeCell ref="C17:L17"/>
  </mergeCells>
  <hyperlinks>
    <hyperlink ref="B7:C7" r:id="rId1" display="https://github.com/ijuric/MAPS/tree/master/Arima_Genomics" xr:uid="{C0CB694C-D3D5-554D-9730-E733C702B2BE}"/>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7084-70BD-FC4D-A982-F27379505853}">
  <dimension ref="A1:AF32"/>
  <sheetViews>
    <sheetView showGridLines="0" topLeftCell="A10" zoomScale="130" zoomScaleNormal="130" workbookViewId="0">
      <selection activeCell="B28" sqref="B28"/>
    </sheetView>
  </sheetViews>
  <sheetFormatPr baseColWidth="10" defaultRowHeight="16"/>
  <cols>
    <col min="1" max="1" width="37.6640625" customWidth="1"/>
    <col min="2" max="2" width="149.83203125" style="81" bestFit="1" customWidth="1"/>
  </cols>
  <sheetData>
    <row r="1" spans="1:2" s="20" customFormat="1" ht="22">
      <c r="A1" s="93" t="s">
        <v>108</v>
      </c>
      <c r="B1" s="94" t="s">
        <v>109</v>
      </c>
    </row>
    <row r="2" spans="1:2" s="83" customFormat="1" ht="17">
      <c r="A2" s="83" t="s">
        <v>70</v>
      </c>
      <c r="B2" s="84" t="s">
        <v>114</v>
      </c>
    </row>
    <row r="3" spans="1:2" s="83" customFormat="1" ht="17">
      <c r="A3" s="83" t="s">
        <v>72</v>
      </c>
      <c r="B3" s="84" t="s">
        <v>129</v>
      </c>
    </row>
    <row r="4" spans="1:2" s="89" customFormat="1" ht="17">
      <c r="A4" s="89" t="s">
        <v>150</v>
      </c>
      <c r="B4" s="86" t="s">
        <v>153</v>
      </c>
    </row>
    <row r="5" spans="1:2" s="83" customFormat="1" ht="17">
      <c r="A5" s="83" t="s">
        <v>73</v>
      </c>
      <c r="B5" s="84" t="s">
        <v>154</v>
      </c>
    </row>
    <row r="6" spans="1:2" s="83" customFormat="1" ht="17">
      <c r="A6" s="83" t="s">
        <v>74</v>
      </c>
      <c r="B6" s="84" t="s">
        <v>155</v>
      </c>
    </row>
    <row r="7" spans="1:2" s="83" customFormat="1" ht="17">
      <c r="A7" s="90" t="s">
        <v>164</v>
      </c>
      <c r="B7" s="84" t="s">
        <v>169</v>
      </c>
    </row>
    <row r="8" spans="1:2" s="83" customFormat="1" ht="17">
      <c r="A8" s="90" t="s">
        <v>165</v>
      </c>
      <c r="B8" s="84" t="s">
        <v>168</v>
      </c>
    </row>
    <row r="9" spans="1:2" s="89" customFormat="1" ht="17">
      <c r="A9" s="89" t="s">
        <v>151</v>
      </c>
      <c r="B9" s="86" t="s">
        <v>156</v>
      </c>
    </row>
    <row r="10" spans="1:2" s="89" customFormat="1" ht="17">
      <c r="A10" s="89" t="s">
        <v>152</v>
      </c>
      <c r="B10" s="86" t="s">
        <v>157</v>
      </c>
    </row>
    <row r="11" spans="1:2" s="83" customFormat="1" ht="17">
      <c r="A11" s="85" t="s">
        <v>75</v>
      </c>
      <c r="B11" s="84" t="s">
        <v>115</v>
      </c>
    </row>
    <row r="12" spans="1:2" s="83" customFormat="1" ht="17">
      <c r="A12" s="85" t="s">
        <v>76</v>
      </c>
      <c r="B12" s="84" t="s">
        <v>116</v>
      </c>
    </row>
    <row r="13" spans="1:2" s="83" customFormat="1" ht="17">
      <c r="A13" s="85" t="s">
        <v>121</v>
      </c>
      <c r="B13" s="84" t="s">
        <v>130</v>
      </c>
    </row>
    <row r="14" spans="1:2" s="83" customFormat="1" ht="17">
      <c r="A14" s="85" t="s">
        <v>122</v>
      </c>
      <c r="B14" s="84" t="s">
        <v>131</v>
      </c>
    </row>
    <row r="15" spans="1:2" s="83" customFormat="1" ht="17">
      <c r="A15" s="85" t="s">
        <v>77</v>
      </c>
      <c r="B15" s="86" t="s">
        <v>147</v>
      </c>
    </row>
    <row r="16" spans="1:2" s="83" customFormat="1" ht="17">
      <c r="A16" s="85" t="s">
        <v>78</v>
      </c>
      <c r="B16" s="86" t="s">
        <v>148</v>
      </c>
    </row>
    <row r="17" spans="1:32" s="83" customFormat="1" ht="17">
      <c r="A17" s="87" t="s">
        <v>91</v>
      </c>
      <c r="B17" s="84" t="s">
        <v>170</v>
      </c>
    </row>
    <row r="18" spans="1:32" s="83" customFormat="1" ht="17">
      <c r="A18" s="87" t="s">
        <v>92</v>
      </c>
      <c r="B18" s="84" t="s">
        <v>113</v>
      </c>
    </row>
    <row r="19" spans="1:32" s="83" customFormat="1" ht="17">
      <c r="A19" s="87" t="s">
        <v>80</v>
      </c>
      <c r="B19" s="84" t="s">
        <v>171</v>
      </c>
    </row>
    <row r="20" spans="1:32" s="83" customFormat="1" ht="17">
      <c r="A20" s="87" t="s">
        <v>123</v>
      </c>
      <c r="B20" s="84" t="s">
        <v>126</v>
      </c>
    </row>
    <row r="21" spans="1:32" s="83" customFormat="1" ht="17">
      <c r="A21" s="87" t="s">
        <v>125</v>
      </c>
      <c r="B21" s="84" t="s">
        <v>127</v>
      </c>
    </row>
    <row r="22" spans="1:32" s="83" customFormat="1" ht="17">
      <c r="A22" s="88" t="s">
        <v>84</v>
      </c>
      <c r="B22" s="86" t="s">
        <v>140</v>
      </c>
    </row>
    <row r="23" spans="1:32" s="83" customFormat="1" ht="17">
      <c r="A23" s="88" t="s">
        <v>85</v>
      </c>
      <c r="B23" s="86" t="s">
        <v>141</v>
      </c>
    </row>
    <row r="24" spans="1:32" s="83" customFormat="1" ht="17">
      <c r="A24" s="88" t="s">
        <v>86</v>
      </c>
      <c r="B24" s="86" t="s">
        <v>142</v>
      </c>
    </row>
    <row r="25" spans="1:32" s="83" customFormat="1" ht="34">
      <c r="A25" s="88" t="s">
        <v>87</v>
      </c>
      <c r="B25" s="86" t="s">
        <v>172</v>
      </c>
    </row>
    <row r="26" spans="1:32" s="83" customFormat="1" ht="34">
      <c r="A26" s="88" t="s">
        <v>93</v>
      </c>
      <c r="B26" s="84" t="s">
        <v>173</v>
      </c>
    </row>
    <row r="27" spans="1:32" s="83" customFormat="1" ht="34">
      <c r="A27" s="92" t="s">
        <v>149</v>
      </c>
      <c r="B27" s="84" t="s">
        <v>162</v>
      </c>
    </row>
    <row r="28" spans="1:32" s="83" customFormat="1" ht="51">
      <c r="A28" s="91" t="s">
        <v>89</v>
      </c>
      <c r="B28" s="84" t="s">
        <v>174</v>
      </c>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row>
    <row r="29" spans="1:32" s="83" customFormat="1" ht="17">
      <c r="A29" s="88" t="s">
        <v>110</v>
      </c>
      <c r="B29" s="84" t="s">
        <v>112</v>
      </c>
    </row>
    <row r="30" spans="1:32" s="83" customFormat="1" ht="17">
      <c r="A30" s="90" t="s">
        <v>118</v>
      </c>
      <c r="B30" s="84" t="s">
        <v>132</v>
      </c>
    </row>
    <row r="31" spans="1:32" s="83" customFormat="1" ht="17">
      <c r="A31" s="90" t="s">
        <v>119</v>
      </c>
      <c r="B31" s="84" t="s">
        <v>133</v>
      </c>
    </row>
    <row r="32" spans="1:32" s="83" customFormat="1" ht="34">
      <c r="A32" s="90" t="s">
        <v>120</v>
      </c>
      <c r="B32" s="86" t="s">
        <v>145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ChIP Efficiency</vt:lpstr>
      <vt:lpstr>Arima-QC1</vt:lpstr>
      <vt:lpstr>Library Complexity QC</vt:lpstr>
      <vt:lpstr>Data QC - Shallow Seq </vt:lpstr>
      <vt:lpstr>Data QC - Deep Seq</vt:lpstr>
      <vt:lpstr>Metric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jon@arimagenomics.com</cp:lastModifiedBy>
  <dcterms:created xsi:type="dcterms:W3CDTF">2017-09-27T22:03:21Z</dcterms:created>
  <dcterms:modified xsi:type="dcterms:W3CDTF">2020-03-15T19:54:45Z</dcterms:modified>
</cp:coreProperties>
</file>