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2620" yWindow="4140" windowWidth="18560" windowHeight="22940" activeTab="4"/>
  </bookViews>
  <sheets>
    <sheet name="Sheet1" sheetId="1" r:id="rId1"/>
    <sheet name="1975" sheetId="2" r:id="rId2"/>
    <sheet name="1990" sheetId="3" r:id="rId3"/>
    <sheet name="2005" sheetId="4" r:id="rId4"/>
    <sheet name="2010" sheetId="5" r:id="rId5"/>
    <sheet name="Sheet3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5" l="1"/>
  <c r="F24" i="5"/>
  <c r="F25" i="5"/>
  <c r="F26" i="5"/>
  <c r="F27" i="5"/>
  <c r="F28" i="5"/>
  <c r="F29" i="5"/>
  <c r="F30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I3" i="5"/>
  <c r="J3" i="5"/>
  <c r="H3" i="5"/>
  <c r="F19" i="4"/>
  <c r="F4" i="5"/>
  <c r="F5" i="5"/>
  <c r="F6" i="5"/>
  <c r="F7" i="5"/>
  <c r="F8" i="5"/>
  <c r="F9" i="5"/>
  <c r="F10" i="5"/>
  <c r="F3" i="5"/>
  <c r="C17" i="4"/>
  <c r="M4" i="2"/>
  <c r="L4" i="2"/>
  <c r="D58" i="5"/>
  <c r="D46" i="5"/>
  <c r="G74" i="5"/>
  <c r="I14" i="5"/>
  <c r="H73" i="5"/>
  <c r="H62" i="5"/>
  <c r="H64" i="5"/>
  <c r="H66" i="5"/>
  <c r="H68" i="5"/>
  <c r="G63" i="5"/>
  <c r="I62" i="5"/>
  <c r="I64" i="5"/>
  <c r="I66" i="5"/>
  <c r="I68" i="5"/>
  <c r="J73" i="5"/>
  <c r="G62" i="5"/>
  <c r="I73" i="5"/>
  <c r="G14" i="5"/>
  <c r="J14" i="5"/>
  <c r="I15" i="5"/>
  <c r="J15" i="5"/>
  <c r="I16" i="5"/>
  <c r="J16" i="5"/>
  <c r="I13" i="5"/>
  <c r="J13" i="5"/>
  <c r="I18" i="5"/>
  <c r="I17" i="5"/>
  <c r="I12" i="5"/>
  <c r="L3" i="4"/>
  <c r="H33" i="5"/>
  <c r="H34" i="5"/>
  <c r="G5" i="5"/>
  <c r="M4" i="4"/>
  <c r="M5" i="4"/>
  <c r="M7" i="4"/>
  <c r="M8" i="4"/>
  <c r="M9" i="4"/>
  <c r="M10" i="4"/>
  <c r="M11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K10" i="4"/>
  <c r="G20" i="4"/>
  <c r="G21" i="4"/>
  <c r="G22" i="4"/>
  <c r="G23" i="4"/>
  <c r="G24" i="4"/>
  <c r="G25" i="4"/>
  <c r="G26" i="4"/>
  <c r="G27" i="4"/>
  <c r="G19" i="4"/>
  <c r="F20" i="4"/>
  <c r="F21" i="4"/>
  <c r="F22" i="4"/>
  <c r="F23" i="4"/>
  <c r="F24" i="4"/>
  <c r="F25" i="4"/>
  <c r="F26" i="4"/>
  <c r="F27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5" i="4"/>
  <c r="H6" i="4"/>
  <c r="H7" i="4"/>
  <c r="H8" i="4"/>
  <c r="H9" i="4"/>
  <c r="H10" i="4"/>
  <c r="H11" i="4"/>
  <c r="H4" i="4"/>
  <c r="H3" i="4"/>
  <c r="F4" i="4"/>
  <c r="F5" i="4"/>
  <c r="F6" i="4"/>
  <c r="F7" i="4"/>
  <c r="F8" i="4"/>
  <c r="F9" i="4"/>
  <c r="F10" i="4"/>
  <c r="F11" i="4"/>
  <c r="F3" i="4"/>
  <c r="J3" i="4"/>
  <c r="G16" i="3"/>
  <c r="G17" i="3"/>
  <c r="G18" i="3"/>
  <c r="G19" i="3"/>
  <c r="G20" i="3"/>
  <c r="G21" i="3"/>
  <c r="G22" i="3"/>
  <c r="G23" i="3"/>
  <c r="G15" i="3"/>
  <c r="F16" i="3"/>
  <c r="F17" i="3"/>
  <c r="F18" i="3"/>
  <c r="F19" i="3"/>
  <c r="F20" i="3"/>
  <c r="F21" i="3"/>
  <c r="F22" i="3"/>
  <c r="F23" i="3"/>
  <c r="F15" i="3"/>
  <c r="I8" i="3"/>
  <c r="J8" i="3"/>
  <c r="I9" i="3"/>
  <c r="I10" i="3"/>
  <c r="J11" i="3"/>
  <c r="H11" i="3"/>
  <c r="H10" i="3"/>
  <c r="H4" i="3"/>
  <c r="I4" i="3"/>
  <c r="F4" i="3"/>
  <c r="J4" i="3"/>
  <c r="F5" i="3"/>
  <c r="H5" i="3"/>
  <c r="F6" i="3"/>
  <c r="I6" i="3"/>
  <c r="F7" i="3"/>
  <c r="H7" i="3"/>
  <c r="F8" i="3"/>
  <c r="H8" i="3"/>
  <c r="F9" i="3"/>
  <c r="J9" i="3"/>
  <c r="F10" i="3"/>
  <c r="J10" i="3"/>
  <c r="F11" i="3"/>
  <c r="I11" i="3"/>
  <c r="F3" i="3"/>
  <c r="I3" i="3"/>
  <c r="H5" i="2"/>
  <c r="F15" i="2"/>
  <c r="I5" i="2"/>
  <c r="J5" i="2"/>
  <c r="H6" i="2"/>
  <c r="I6" i="2"/>
  <c r="J6" i="2"/>
  <c r="H7" i="2"/>
  <c r="F17" i="2"/>
  <c r="I7" i="2"/>
  <c r="J7" i="2"/>
  <c r="H8" i="2"/>
  <c r="F18" i="2"/>
  <c r="I8" i="2"/>
  <c r="J8" i="2"/>
  <c r="H9" i="2"/>
  <c r="I9" i="2"/>
  <c r="F19" i="2"/>
  <c r="J9" i="2"/>
  <c r="I4" i="2"/>
  <c r="J4" i="2"/>
  <c r="H4" i="2"/>
  <c r="G14" i="2"/>
  <c r="G15" i="2"/>
  <c r="G16" i="2"/>
  <c r="G17" i="2"/>
  <c r="G18" i="2"/>
  <c r="G19" i="2"/>
  <c r="G13" i="2"/>
  <c r="F16" i="2"/>
  <c r="F13" i="2"/>
  <c r="I3" i="2"/>
  <c r="J3" i="2"/>
  <c r="H3" i="2"/>
  <c r="F4" i="2"/>
  <c r="F5" i="2"/>
  <c r="F6" i="2"/>
  <c r="F7" i="2"/>
  <c r="F8" i="2"/>
  <c r="F9" i="2"/>
  <c r="F3" i="2"/>
  <c r="I3" i="4"/>
  <c r="J7" i="3"/>
  <c r="H3" i="3"/>
  <c r="I7" i="3"/>
  <c r="J5" i="3"/>
  <c r="I5" i="3"/>
  <c r="H9" i="3"/>
  <c r="J3" i="3"/>
  <c r="J6" i="3"/>
  <c r="H6" i="3"/>
  <c r="F14" i="2"/>
</calcChain>
</file>

<file path=xl/sharedStrings.xml><?xml version="1.0" encoding="utf-8"?>
<sst xmlns="http://schemas.openxmlformats.org/spreadsheetml/2006/main" count="429" uniqueCount="150">
  <si>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</si>
  <si>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</si>
  <si>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</si>
  <si>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</si>
  <si>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</si>
  <si>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</si>
  <si>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</si>
  <si>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</si>
  <si>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</si>
  <si>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</si>
  <si>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</si>
  <si>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</si>
  <si>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</si>
  <si>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</si>
  <si>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</si>
  <si>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</si>
  <si>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</si>
  <si>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</si>
  <si>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</si>
  <si>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</si>
  <si>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</si>
  <si>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</si>
  <si>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</si>
  <si>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</si>
  <si>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</si>
  <si>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</si>
  <si>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</si>
  <si>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</si>
  <si>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</si>
  <si>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</si>
  <si>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</si>
  <si>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</si>
  <si>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</si>
  <si>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</si>
  <si>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</si>
  <si>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</si>
  <si>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</si>
  <si>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</si>
  <si>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</si>
  <si>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</si>
  <si>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</si>
  <si>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</si>
  <si>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</si>
  <si>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</si>
  <si>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</si>
  <si>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</si>
  <si>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</si>
  <si>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</si>
  <si>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</si>
  <si>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</si>
  <si>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</si>
  <si>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</si>
  <si>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</si>
  <si>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</si>
  <si>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</si>
  <si>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</si>
  <si>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</si>
  <si>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</si>
  <si>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</si>
  <si>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</si>
  <si>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</si>
  <si>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</si>
  <si>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</si>
  <si>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</si>
  <si>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</si>
  <si>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</si>
  <si>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</si>
  <si>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</si>
  <si>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</si>
  <si>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</si>
  <si>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</si>
  <si>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</si>
  <si>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</si>
  <si>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</si>
  <si>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</si>
  <si>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</si>
  <si>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</si>
  <si>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</si>
  <si>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</si>
  <si>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</si>
  <si>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</si>
  <si>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</si>
  <si>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</si>
  <si>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</si>
  <si>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</si>
  <si>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</si>
  <si>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</si>
  <si>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</si>
  <si>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</si>
  <si>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</si>
  <si>
    <t>Scale to the southern region using the 2010 and 2015 data</t>
  </si>
  <si>
    <t>Acreage by District 2010</t>
  </si>
  <si>
    <t xml:space="preserve">WHEAT, SPRING, (EXCL DURUM) </t>
  </si>
  <si>
    <t xml:space="preserve">WHEAT, WINTER </t>
  </si>
  <si>
    <t>BU / ACRE</t>
  </si>
  <si>
    <t>Yield at State level</t>
  </si>
  <si>
    <t>Dry Beans</t>
  </si>
  <si>
    <t>Peas</t>
  </si>
  <si>
    <t>Onions</t>
  </si>
  <si>
    <t>Mint</t>
  </si>
  <si>
    <t>Grapes</t>
  </si>
  <si>
    <t>Stone/Pome Fruit</t>
  </si>
  <si>
    <t>Hops</t>
  </si>
  <si>
    <t>Sod / Grass Seeds</t>
  </si>
  <si>
    <t>pep</t>
  </si>
  <si>
    <t>spear</t>
  </si>
  <si>
    <t>ID Total</t>
  </si>
  <si>
    <t>POTATOES</t>
  </si>
  <si>
    <t xml:space="preserve">APPLES </t>
  </si>
  <si>
    <t>PRICE RECEIVED, MEASURED IN $ / LB</t>
  </si>
  <si>
    <t>ALL CLASSES</t>
  </si>
  <si>
    <t>TOTAL</t>
  </si>
  <si>
    <t>$ / LB</t>
  </si>
  <si>
    <t>APPLES</t>
  </si>
  <si>
    <t>YIELD, MEASURED IN LB / ACRE</t>
  </si>
  <si>
    <t>PRICE RECEIVED, MEASURED IN $ / TON</t>
  </si>
  <si>
    <t xml:space="preserve">CHERRIES, SWEET </t>
  </si>
  <si>
    <t>SWEET</t>
  </si>
  <si>
    <t>CHERRIES</t>
  </si>
  <si>
    <t>YIELD, MEASURED IN TONS / ACRE</t>
  </si>
  <si>
    <t xml:space="preserve">PEACHES </t>
  </si>
  <si>
    <t>PEACHES</t>
  </si>
  <si>
    <t xml:space="preserve">PLUMS &amp; PRUNES </t>
  </si>
  <si>
    <t>PLUMS &amp; PRUNES</t>
  </si>
  <si>
    <t xml:space="preserve">BEANS, DRY EDIBLE, EXCL CHICKPEAS </t>
  </si>
  <si>
    <t>CDL Data</t>
  </si>
  <si>
    <t>CDL</t>
  </si>
  <si>
    <t>$/ TON</t>
  </si>
  <si>
    <t>CDL AREA</t>
  </si>
  <si>
    <t>Fractional</t>
  </si>
  <si>
    <t>Total Area</t>
  </si>
  <si>
    <t>Weighted Avg Price</t>
  </si>
  <si>
    <t>Yeild</t>
  </si>
  <si>
    <t>AREA</t>
  </si>
  <si>
    <t>PEARS</t>
  </si>
  <si>
    <t xml:space="preserve">CDL Stonne/Pomme AREA </t>
  </si>
  <si>
    <t>Crop</t>
  </si>
  <si>
    <t xml:space="preserve">Area </t>
  </si>
  <si>
    <t>Area Source</t>
  </si>
  <si>
    <t xml:space="preserve">Price </t>
  </si>
  <si>
    <t>Price Source</t>
  </si>
  <si>
    <t xml:space="preserve">Yeild </t>
  </si>
  <si>
    <t>Yeild Units</t>
  </si>
  <si>
    <t>Yeild Source</t>
  </si>
  <si>
    <t>Price Unit</t>
  </si>
  <si>
    <t>Year</t>
  </si>
  <si>
    <t>corn total</t>
  </si>
  <si>
    <t>area</t>
  </si>
  <si>
    <t xml:space="preserve">yeild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</si>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</sst>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9" spans="1:1" x14ac:dyDescent="0.2">
      <c r="A9" t="s">
        <v>90</v>
      </c>
    </row>
    <row r="11" spans="1:1" x14ac:dyDescent="0.2">
      <c r="A11" t="s">
        <v>89</v>
      </c>
    </row>
    <row r="12" spans="1:1" x14ac:dyDescent="0.2">
      <c r="A12" t="s">
        <v>82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83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63</v>
      </c>
    </row>
    <row r="20" spans="1:1" x14ac:dyDescent="0.2">
      <c r="A20" t="s">
        <v>70</v>
      </c>
    </row>
    <row r="21" spans="1:1" x14ac:dyDescent="0.2">
      <c r="A21" t="s">
        <v>72</v>
      </c>
    </row>
    <row r="22" spans="1:1" x14ac:dyDescent="0.2">
      <c r="A22" t="s">
        <v>71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86</v>
      </c>
    </row>
    <row r="29" spans="1:1" x14ac:dyDescent="0.2">
      <c r="A29" t="s">
        <v>78</v>
      </c>
    </row>
    <row r="30" spans="1:1" x14ac:dyDescent="0.2">
      <c r="A30" t="s">
        <v>84</v>
      </c>
    </row>
    <row r="31" spans="1:1" x14ac:dyDescent="0.2">
      <c r="A31" t="s">
        <v>79</v>
      </c>
    </row>
    <row r="32" spans="1:1" x14ac:dyDescent="0.2">
      <c r="A32" t="s">
        <v>85</v>
      </c>
    </row>
    <row r="33" spans="1:1" x14ac:dyDescent="0.2">
      <c r="A33" t="s">
        <v>87</v>
      </c>
    </row>
    <row r="34" spans="1:1" x14ac:dyDescent="0.2">
      <c r="A34" t="s">
        <v>64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88</v>
      </c>
    </row>
  </sheetData>
  <sortState ref="A12:A36">
    <sortCondition ref="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5" sqref="B25:B26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4" x14ac:dyDescent="0.2">
      <c r="A1" t="s">
        <v>14</v>
      </c>
      <c r="H1" t="s">
        <v>30</v>
      </c>
    </row>
    <row r="2" spans="1:14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4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  <c r="L3" t="s">
        <v>147</v>
      </c>
      <c r="M3" t="s">
        <v>148</v>
      </c>
      <c r="N3" t="s">
        <v>149</v>
      </c>
    </row>
    <row r="4" spans="1:14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  <c r="K4" t="s">
        <v>146</v>
      </c>
      <c r="L4">
        <f>F4+F5</f>
        <v>121300</v>
      </c>
      <c r="M4">
        <f>(F14*(F4/L4))+(F15*(F5/L4))</f>
        <v>36.421104699093164</v>
      </c>
    </row>
    <row r="5" spans="1:14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4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4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4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4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4" x14ac:dyDescent="0.2">
      <c r="A12" t="s">
        <v>15</v>
      </c>
      <c r="F12" t="s">
        <v>31</v>
      </c>
      <c r="G12" t="s">
        <v>23</v>
      </c>
      <c r="H12" t="s">
        <v>24</v>
      </c>
    </row>
    <row r="13" spans="1:14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4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4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4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170" zoomScaleNormal="170" workbookViewId="0">
      <selection activeCell="B28" sqref="B28:B36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1" zoomScale="130" zoomScaleNormal="130" workbookViewId="0">
      <selection activeCell="F20" sqref="F20"/>
    </sheetView>
  </sheetViews>
  <sheetFormatPr baseColWidth="10" defaultRowHeight="16" x14ac:dyDescent="0.2"/>
  <cols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1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 t="shared" si="3"/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C17">
        <f>SUM(C12:C16)</f>
        <v>45000</v>
      </c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C1" zoomScale="150" zoomScaleNormal="150" workbookViewId="0">
      <selection activeCell="G27" sqref="G27"/>
    </sheetView>
  </sheetViews>
  <sheetFormatPr baseColWidth="10" defaultRowHeight="16" x14ac:dyDescent="0.2"/>
  <cols>
    <col min="1" max="1" width="32.5" bestFit="1" customWidth="1"/>
    <col min="4" max="4" width="11.6640625" bestFit="1" customWidth="1"/>
  </cols>
  <sheetData>
    <row r="1" spans="1:12" x14ac:dyDescent="0.2">
      <c r="A1" t="s">
        <v>91</v>
      </c>
      <c r="H1" t="s">
        <v>30</v>
      </c>
    </row>
    <row r="2" spans="1:12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2" x14ac:dyDescent="0.2">
      <c r="A3" t="s">
        <v>2</v>
      </c>
      <c r="B3" t="s">
        <v>35</v>
      </c>
      <c r="C3">
        <v>129000</v>
      </c>
      <c r="D3">
        <v>6000</v>
      </c>
      <c r="E3">
        <v>304000</v>
      </c>
      <c r="F3">
        <f>SUM(C3:E3)</f>
        <v>439000</v>
      </c>
      <c r="G3">
        <v>470000</v>
      </c>
      <c r="H3">
        <f>C3/$F3</f>
        <v>0.29384965831435078</v>
      </c>
      <c r="I3">
        <f t="shared" ref="I3:J3" si="0">D3/$F3</f>
        <v>1.366742596810934E-2</v>
      </c>
      <c r="J3">
        <f t="shared" si="0"/>
        <v>0.69248291571753984</v>
      </c>
      <c r="K3" t="s">
        <v>126</v>
      </c>
    </row>
    <row r="4" spans="1:12" x14ac:dyDescent="0.2">
      <c r="A4" t="s">
        <v>33</v>
      </c>
      <c r="B4" t="s">
        <v>35</v>
      </c>
      <c r="C4">
        <v>56700</v>
      </c>
      <c r="D4">
        <v>24400</v>
      </c>
      <c r="E4">
        <v>500</v>
      </c>
      <c r="F4">
        <f t="shared" ref="F4:F10" si="1">SUM(C4:E4)</f>
        <v>81600</v>
      </c>
      <c r="G4">
        <v>134000</v>
      </c>
      <c r="H4">
        <f t="shared" ref="H4:H10" si="2">C4/$F4</f>
        <v>0.69485294117647056</v>
      </c>
      <c r="I4">
        <f t="shared" ref="I4:I10" si="3">D4/$F4</f>
        <v>0.29901960784313725</v>
      </c>
      <c r="J4">
        <f t="shared" ref="J4:J10" si="4">E4/$F4</f>
        <v>6.1274509803921568E-3</v>
      </c>
      <c r="K4" t="s">
        <v>96</v>
      </c>
      <c r="L4" s="3">
        <v>332526</v>
      </c>
    </row>
    <row r="5" spans="1:12" x14ac:dyDescent="0.2">
      <c r="A5" t="s">
        <v>34</v>
      </c>
      <c r="B5" t="s">
        <v>35</v>
      </c>
      <c r="C5">
        <v>339000</v>
      </c>
      <c r="D5">
        <v>210000</v>
      </c>
      <c r="E5">
        <v>519000</v>
      </c>
      <c r="F5">
        <f t="shared" si="1"/>
        <v>1068000</v>
      </c>
      <c r="G5">
        <f>C5+D5+E5+62000</f>
        <v>1130000</v>
      </c>
      <c r="H5">
        <f t="shared" si="2"/>
        <v>0.31741573033707865</v>
      </c>
      <c r="I5">
        <f t="shared" si="3"/>
        <v>0.19662921348314608</v>
      </c>
      <c r="J5">
        <f t="shared" si="4"/>
        <v>0.4859550561797753</v>
      </c>
    </row>
    <row r="6" spans="1:12" x14ac:dyDescent="0.2">
      <c r="A6" t="s">
        <v>5</v>
      </c>
      <c r="B6" t="s">
        <v>35</v>
      </c>
      <c r="E6">
        <v>9000</v>
      </c>
      <c r="F6">
        <f t="shared" si="1"/>
        <v>9000</v>
      </c>
      <c r="G6">
        <v>20000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2" x14ac:dyDescent="0.2">
      <c r="A7" t="s">
        <v>6</v>
      </c>
      <c r="B7" t="s">
        <v>35</v>
      </c>
      <c r="C7">
        <v>104900</v>
      </c>
      <c r="D7">
        <v>26900</v>
      </c>
      <c r="E7">
        <v>38200</v>
      </c>
      <c r="F7">
        <f t="shared" si="1"/>
        <v>170000</v>
      </c>
      <c r="G7">
        <v>170000</v>
      </c>
      <c r="H7">
        <f t="shared" si="2"/>
        <v>0.61705882352941177</v>
      </c>
      <c r="I7">
        <f t="shared" si="3"/>
        <v>0.15823529411764706</v>
      </c>
      <c r="J7">
        <f t="shared" si="4"/>
        <v>0.22470588235294117</v>
      </c>
    </row>
    <row r="8" spans="1:12" x14ac:dyDescent="0.2">
      <c r="A8" t="s">
        <v>92</v>
      </c>
      <c r="B8" t="s">
        <v>35</v>
      </c>
      <c r="C8">
        <v>69000</v>
      </c>
      <c r="D8">
        <v>18500</v>
      </c>
      <c r="E8">
        <v>407000</v>
      </c>
      <c r="F8">
        <f t="shared" si="1"/>
        <v>494500</v>
      </c>
      <c r="G8">
        <v>615000</v>
      </c>
      <c r="H8">
        <f t="shared" si="2"/>
        <v>0.13953488372093023</v>
      </c>
      <c r="I8">
        <f t="shared" si="3"/>
        <v>3.7411526794742161E-2</v>
      </c>
      <c r="J8">
        <f t="shared" si="4"/>
        <v>0.82305358948432761</v>
      </c>
    </row>
    <row r="9" spans="1:12" x14ac:dyDescent="0.2">
      <c r="A9" t="s">
        <v>93</v>
      </c>
      <c r="B9" t="s">
        <v>35</v>
      </c>
      <c r="C9">
        <v>92000</v>
      </c>
      <c r="D9">
        <v>58000</v>
      </c>
      <c r="E9">
        <v>224000</v>
      </c>
      <c r="F9">
        <f t="shared" si="1"/>
        <v>374000</v>
      </c>
      <c r="G9">
        <v>710000</v>
      </c>
      <c r="H9">
        <f t="shared" si="2"/>
        <v>0.24598930481283424</v>
      </c>
      <c r="I9">
        <f t="shared" si="3"/>
        <v>0.15508021390374332</v>
      </c>
      <c r="J9">
        <f t="shared" si="4"/>
        <v>0.59893048128342241</v>
      </c>
    </row>
    <row r="10" spans="1:12" x14ac:dyDescent="0.2">
      <c r="A10" t="s">
        <v>8</v>
      </c>
      <c r="C10">
        <v>71000</v>
      </c>
      <c r="D10">
        <v>16000</v>
      </c>
      <c r="E10">
        <v>207000</v>
      </c>
      <c r="F10">
        <f t="shared" si="1"/>
        <v>294000</v>
      </c>
      <c r="G10">
        <v>294000</v>
      </c>
      <c r="H10">
        <f t="shared" si="2"/>
        <v>0.24149659863945577</v>
      </c>
      <c r="I10">
        <f t="shared" si="3"/>
        <v>5.4421768707482991E-2</v>
      </c>
      <c r="J10">
        <f t="shared" si="4"/>
        <v>0.70408163265306123</v>
      </c>
    </row>
    <row r="11" spans="1:12" x14ac:dyDescent="0.2">
      <c r="H11" t="s">
        <v>125</v>
      </c>
    </row>
    <row r="12" spans="1:12" x14ac:dyDescent="0.2">
      <c r="A12" t="s">
        <v>100</v>
      </c>
      <c r="H12" t="s">
        <v>100</v>
      </c>
      <c r="I12" s="1">
        <f>984*30*30*0.000247105</f>
        <v>218.83618800000002</v>
      </c>
      <c r="J12" s="1"/>
    </row>
    <row r="13" spans="1:12" x14ac:dyDescent="0.2">
      <c r="A13" t="s">
        <v>102</v>
      </c>
      <c r="G13">
        <v>2331</v>
      </c>
      <c r="H13" t="s">
        <v>102</v>
      </c>
      <c r="I13" s="1">
        <f>13255*30*30*0.000247105</f>
        <v>2947.8390975000002</v>
      </c>
      <c r="J13" s="1">
        <f>G13/I13</f>
        <v>0.79074872233592108</v>
      </c>
    </row>
    <row r="14" spans="1:12" x14ac:dyDescent="0.2">
      <c r="A14" t="s">
        <v>99</v>
      </c>
      <c r="G14">
        <f>15500+1000</f>
        <v>16500</v>
      </c>
      <c r="H14" t="s">
        <v>99</v>
      </c>
      <c r="I14" s="1">
        <f>1393*30*30*0.000247105</f>
        <v>309.79553850000002</v>
      </c>
      <c r="J14" s="1">
        <f t="shared" ref="J14:J16" si="5">G14/I14</f>
        <v>53.260934873017867</v>
      </c>
    </row>
    <row r="15" spans="1:12" x14ac:dyDescent="0.2">
      <c r="A15" t="s">
        <v>98</v>
      </c>
      <c r="G15">
        <v>9000</v>
      </c>
      <c r="H15" t="s">
        <v>98</v>
      </c>
      <c r="I15" s="1">
        <f>119538*30*30*0.000247105</f>
        <v>26584.593741000001</v>
      </c>
      <c r="J15" s="1">
        <f t="shared" si="5"/>
        <v>0.33854194228741513</v>
      </c>
    </row>
    <row r="16" spans="1:12" x14ac:dyDescent="0.2">
      <c r="A16" t="s">
        <v>97</v>
      </c>
      <c r="G16">
        <v>30000</v>
      </c>
      <c r="H16" t="s">
        <v>97</v>
      </c>
      <c r="I16" s="1">
        <f>53371*30*30*0.000247105</f>
        <v>11869.416859500001</v>
      </c>
      <c r="J16" s="1">
        <f t="shared" si="5"/>
        <v>2.5275041187881699</v>
      </c>
    </row>
    <row r="17" spans="1:10" x14ac:dyDescent="0.2">
      <c r="A17" t="s">
        <v>103</v>
      </c>
      <c r="H17" t="s">
        <v>103</v>
      </c>
      <c r="I17" s="1">
        <f>11915*30*30*0.000247105</f>
        <v>2649.8304674999999</v>
      </c>
      <c r="J17" s="1"/>
    </row>
    <row r="18" spans="1:10" x14ac:dyDescent="0.2">
      <c r="A18" t="s">
        <v>101</v>
      </c>
      <c r="H18" t="s">
        <v>101</v>
      </c>
      <c r="I18" s="1">
        <f>15166*30*30*0.000247105</f>
        <v>3372.8349870000002</v>
      </c>
      <c r="J18" s="1"/>
    </row>
    <row r="22" spans="1:10" x14ac:dyDescent="0.2">
      <c r="A22" t="s">
        <v>95</v>
      </c>
      <c r="C22" t="s">
        <v>11</v>
      </c>
      <c r="D22" t="s">
        <v>12</v>
      </c>
      <c r="E22" t="s">
        <v>13</v>
      </c>
      <c r="G22" t="s">
        <v>106</v>
      </c>
    </row>
    <row r="23" spans="1:10" x14ac:dyDescent="0.2">
      <c r="A23" t="s">
        <v>2</v>
      </c>
      <c r="B23" t="s">
        <v>94</v>
      </c>
      <c r="C23">
        <v>118.3</v>
      </c>
      <c r="D23">
        <v>91.7</v>
      </c>
      <c r="E23">
        <v>83.8</v>
      </c>
      <c r="F23">
        <f t="shared" ref="F23:F30" si="6">(C3*H3)+(D3*I3)+(E3*J3)</f>
        <v>248503.41685649203</v>
      </c>
    </row>
    <row r="24" spans="1:10" x14ac:dyDescent="0.2">
      <c r="A24" t="s">
        <v>33</v>
      </c>
      <c r="B24" t="s">
        <v>40</v>
      </c>
      <c r="C24">
        <v>2290</v>
      </c>
      <c r="D24">
        <v>2390</v>
      </c>
      <c r="E24">
        <v>1600</v>
      </c>
      <c r="F24">
        <f t="shared" si="6"/>
        <v>46697.303921568629</v>
      </c>
      <c r="G24">
        <v>1900</v>
      </c>
    </row>
    <row r="25" spans="1:10" x14ac:dyDescent="0.2">
      <c r="A25" t="s">
        <v>34</v>
      </c>
      <c r="B25" t="s">
        <v>17</v>
      </c>
      <c r="C25">
        <v>4.7</v>
      </c>
      <c r="D25">
        <v>5.05</v>
      </c>
      <c r="E25">
        <v>3.75</v>
      </c>
      <c r="F25">
        <f t="shared" si="6"/>
        <v>401106.74157303374</v>
      </c>
    </row>
    <row r="26" spans="1:10" x14ac:dyDescent="0.2">
      <c r="A26" t="s">
        <v>5</v>
      </c>
      <c r="B26" t="s">
        <v>94</v>
      </c>
      <c r="E26">
        <v>82.2</v>
      </c>
      <c r="F26">
        <f t="shared" si="6"/>
        <v>9000</v>
      </c>
    </row>
    <row r="27" spans="1:10" x14ac:dyDescent="0.2">
      <c r="A27" t="s">
        <v>6</v>
      </c>
      <c r="B27" t="s">
        <v>17</v>
      </c>
      <c r="C27">
        <v>29.8</v>
      </c>
      <c r="D27">
        <v>36.4</v>
      </c>
      <c r="E27">
        <v>30.4</v>
      </c>
      <c r="F27">
        <f t="shared" si="6"/>
        <v>77569.76470588235</v>
      </c>
    </row>
    <row r="28" spans="1:10" x14ac:dyDescent="0.2">
      <c r="A28" t="s">
        <v>92</v>
      </c>
      <c r="B28" t="s">
        <v>94</v>
      </c>
      <c r="C28">
        <v>97.5</v>
      </c>
      <c r="D28">
        <v>94.1</v>
      </c>
      <c r="E28">
        <v>81.599999999999994</v>
      </c>
      <c r="F28">
        <f t="shared" si="6"/>
        <v>345302.83114256826</v>
      </c>
    </row>
    <row r="29" spans="1:10" x14ac:dyDescent="0.2">
      <c r="A29" t="s">
        <v>93</v>
      </c>
      <c r="B29" t="s">
        <v>94</v>
      </c>
      <c r="C29">
        <v>102</v>
      </c>
      <c r="D29">
        <v>109</v>
      </c>
      <c r="E29">
        <v>77.7</v>
      </c>
      <c r="F29">
        <f t="shared" si="6"/>
        <v>165786.09625668448</v>
      </c>
    </row>
    <row r="30" spans="1:10" x14ac:dyDescent="0.2">
      <c r="A30" t="s">
        <v>8</v>
      </c>
      <c r="B30" t="s">
        <v>16</v>
      </c>
      <c r="C30">
        <v>428</v>
      </c>
      <c r="D30">
        <v>545</v>
      </c>
      <c r="E30">
        <v>357</v>
      </c>
      <c r="F30">
        <f t="shared" si="6"/>
        <v>163761.90476190476</v>
      </c>
      <c r="G30">
        <v>384</v>
      </c>
    </row>
    <row r="32" spans="1:10" x14ac:dyDescent="0.2">
      <c r="A32" t="s">
        <v>100</v>
      </c>
      <c r="B32" t="s">
        <v>52</v>
      </c>
    </row>
    <row r="33" spans="1:8" x14ac:dyDescent="0.2">
      <c r="A33" t="s">
        <v>102</v>
      </c>
      <c r="B33" t="s">
        <v>40</v>
      </c>
      <c r="C33">
        <v>2129</v>
      </c>
      <c r="G33" t="s">
        <v>104</v>
      </c>
      <c r="H33">
        <f>15500/G14</f>
        <v>0.93939393939393945</v>
      </c>
    </row>
    <row r="34" spans="1:8" x14ac:dyDescent="0.2">
      <c r="A34" t="s">
        <v>99</v>
      </c>
      <c r="B34" t="s">
        <v>40</v>
      </c>
      <c r="C34">
        <v>101</v>
      </c>
      <c r="G34" t="s">
        <v>105</v>
      </c>
      <c r="H34">
        <f>1000/G14</f>
        <v>6.0606060606060608E-2</v>
      </c>
    </row>
    <row r="35" spans="1:8" x14ac:dyDescent="0.2">
      <c r="A35" t="s">
        <v>98</v>
      </c>
      <c r="B35" t="s">
        <v>16</v>
      </c>
      <c r="C35">
        <v>760</v>
      </c>
    </row>
    <row r="36" spans="1:8" x14ac:dyDescent="0.2">
      <c r="A36" t="s">
        <v>97</v>
      </c>
      <c r="B36" t="s">
        <v>40</v>
      </c>
      <c r="C36">
        <v>1600</v>
      </c>
    </row>
    <row r="37" spans="1:8" x14ac:dyDescent="0.2">
      <c r="A37" t="s">
        <v>103</v>
      </c>
      <c r="B37" t="s">
        <v>52</v>
      </c>
    </row>
    <row r="38" spans="1:8" x14ac:dyDescent="0.2">
      <c r="A38" t="s">
        <v>101</v>
      </c>
    </row>
    <row r="43" spans="1:8" x14ac:dyDescent="0.2">
      <c r="A43" t="s">
        <v>27</v>
      </c>
    </row>
    <row r="44" spans="1:8" x14ac:dyDescent="0.2">
      <c r="A44" t="s">
        <v>2</v>
      </c>
      <c r="B44" t="s">
        <v>94</v>
      </c>
      <c r="C44">
        <v>92</v>
      </c>
    </row>
    <row r="45" spans="1:8" x14ac:dyDescent="0.2">
      <c r="A45" t="s">
        <v>124</v>
      </c>
      <c r="B45" t="s">
        <v>26</v>
      </c>
      <c r="C45">
        <v>27.2</v>
      </c>
    </row>
    <row r="46" spans="1:8" x14ac:dyDescent="0.2">
      <c r="A46" t="s">
        <v>34</v>
      </c>
      <c r="B46" t="s">
        <v>29</v>
      </c>
      <c r="C46">
        <v>127</v>
      </c>
      <c r="D46">
        <f>C46*D25*D5</f>
        <v>134683500</v>
      </c>
    </row>
    <row r="47" spans="1:8" x14ac:dyDescent="0.2">
      <c r="A47" t="s">
        <v>5</v>
      </c>
      <c r="B47" t="s">
        <v>25</v>
      </c>
      <c r="C47">
        <v>2</v>
      </c>
    </row>
    <row r="48" spans="1:8" x14ac:dyDescent="0.2">
      <c r="A48" t="s">
        <v>6</v>
      </c>
      <c r="B48" t="s">
        <v>29</v>
      </c>
      <c r="C48">
        <v>57.3</v>
      </c>
    </row>
    <row r="49" spans="1:9" x14ac:dyDescent="0.2">
      <c r="A49" t="s">
        <v>92</v>
      </c>
      <c r="B49" t="s">
        <v>25</v>
      </c>
      <c r="C49">
        <v>6.33</v>
      </c>
    </row>
    <row r="50" spans="1:9" x14ac:dyDescent="0.2">
      <c r="A50" t="s">
        <v>93</v>
      </c>
      <c r="B50" t="s">
        <v>25</v>
      </c>
      <c r="C50">
        <v>5.68</v>
      </c>
    </row>
    <row r="51" spans="1:9" x14ac:dyDescent="0.2">
      <c r="A51" t="s">
        <v>107</v>
      </c>
      <c r="B51" t="s">
        <v>26</v>
      </c>
      <c r="C51">
        <v>8.1</v>
      </c>
    </row>
    <row r="52" spans="1:9" x14ac:dyDescent="0.2">
      <c r="A52" t="s">
        <v>100</v>
      </c>
      <c r="C52" t="s">
        <v>52</v>
      </c>
    </row>
    <row r="53" spans="1:9" x14ac:dyDescent="0.2">
      <c r="A53" t="s">
        <v>102</v>
      </c>
      <c r="B53" t="s">
        <v>112</v>
      </c>
      <c r="C53">
        <v>3.89</v>
      </c>
    </row>
    <row r="54" spans="1:9" x14ac:dyDescent="0.2">
      <c r="A54" t="s">
        <v>99</v>
      </c>
      <c r="B54" t="s">
        <v>112</v>
      </c>
      <c r="C54">
        <v>19</v>
      </c>
    </row>
    <row r="55" spans="1:9" x14ac:dyDescent="0.2">
      <c r="A55" t="s">
        <v>98</v>
      </c>
      <c r="B55" t="s">
        <v>26</v>
      </c>
      <c r="C55">
        <v>8.6999999999999993</v>
      </c>
    </row>
    <row r="56" spans="1:9" x14ac:dyDescent="0.2">
      <c r="A56" t="s">
        <v>97</v>
      </c>
      <c r="B56" t="s">
        <v>26</v>
      </c>
      <c r="C56">
        <v>11.1</v>
      </c>
    </row>
    <row r="57" spans="1:9" x14ac:dyDescent="0.2">
      <c r="A57" t="s">
        <v>103</v>
      </c>
      <c r="C57" t="s">
        <v>52</v>
      </c>
    </row>
    <row r="58" spans="1:9" x14ac:dyDescent="0.2">
      <c r="A58" t="s">
        <v>101</v>
      </c>
      <c r="D58" s="1">
        <f>G74*I73*J73</f>
        <v>15693760.770978866</v>
      </c>
    </row>
    <row r="61" spans="1:9" x14ac:dyDescent="0.2">
      <c r="H61" t="s">
        <v>128</v>
      </c>
      <c r="I61" t="s">
        <v>129</v>
      </c>
    </row>
    <row r="62" spans="1:9" x14ac:dyDescent="0.2">
      <c r="A62" t="s">
        <v>108</v>
      </c>
      <c r="B62" t="s">
        <v>109</v>
      </c>
      <c r="C62" t="s">
        <v>110</v>
      </c>
      <c r="D62" t="s">
        <v>111</v>
      </c>
      <c r="E62" t="s">
        <v>127</v>
      </c>
      <c r="F62" t="s">
        <v>113</v>
      </c>
      <c r="G62">
        <f>0.232*2000</f>
        <v>464</v>
      </c>
      <c r="H62">
        <f>10200</f>
        <v>10200</v>
      </c>
      <c r="I62">
        <f>H62/H73</f>
        <v>0.56669814989721656</v>
      </c>
    </row>
    <row r="63" spans="1:9" x14ac:dyDescent="0.2">
      <c r="A63" t="s">
        <v>108</v>
      </c>
      <c r="B63" t="s">
        <v>114</v>
      </c>
      <c r="C63" t="s">
        <v>110</v>
      </c>
      <c r="D63" t="s">
        <v>111</v>
      </c>
      <c r="E63" t="s">
        <v>17</v>
      </c>
      <c r="F63" t="s">
        <v>113</v>
      </c>
      <c r="G63">
        <f>23100/2000</f>
        <v>11.55</v>
      </c>
    </row>
    <row r="64" spans="1:9" x14ac:dyDescent="0.2">
      <c r="A64" t="s">
        <v>116</v>
      </c>
      <c r="B64" t="s">
        <v>115</v>
      </c>
      <c r="C64" t="s">
        <v>117</v>
      </c>
      <c r="D64" t="s">
        <v>111</v>
      </c>
      <c r="E64" t="s">
        <v>29</v>
      </c>
      <c r="F64" t="s">
        <v>118</v>
      </c>
      <c r="G64">
        <v>2230</v>
      </c>
      <c r="H64">
        <f>1450</f>
        <v>1450</v>
      </c>
      <c r="I64">
        <f>H64/H73</f>
        <v>8.0560031112839603E-2</v>
      </c>
    </row>
    <row r="65" spans="1:10" x14ac:dyDescent="0.2">
      <c r="A65" t="s">
        <v>116</v>
      </c>
      <c r="B65" t="s">
        <v>119</v>
      </c>
      <c r="C65" t="s">
        <v>117</v>
      </c>
      <c r="D65" t="s">
        <v>111</v>
      </c>
      <c r="E65" t="s">
        <v>17</v>
      </c>
      <c r="F65" t="s">
        <v>118</v>
      </c>
      <c r="G65">
        <v>2.11</v>
      </c>
    </row>
    <row r="66" spans="1:10" x14ac:dyDescent="0.2">
      <c r="A66" t="s">
        <v>120</v>
      </c>
      <c r="B66" t="s">
        <v>115</v>
      </c>
      <c r="C66" t="s">
        <v>110</v>
      </c>
      <c r="D66" t="s">
        <v>111</v>
      </c>
      <c r="E66" t="s">
        <v>29</v>
      </c>
      <c r="F66" t="s">
        <v>121</v>
      </c>
      <c r="G66">
        <v>908</v>
      </c>
      <c r="H66">
        <f>2850</f>
        <v>2850</v>
      </c>
      <c r="I66">
        <f>H66/H73</f>
        <v>0.15834213011833992</v>
      </c>
    </row>
    <row r="67" spans="1:10" x14ac:dyDescent="0.2">
      <c r="A67" t="s">
        <v>120</v>
      </c>
      <c r="B67" t="s">
        <v>119</v>
      </c>
      <c r="C67" t="s">
        <v>110</v>
      </c>
      <c r="D67" t="s">
        <v>111</v>
      </c>
      <c r="E67" t="s">
        <v>17</v>
      </c>
      <c r="F67" t="s">
        <v>121</v>
      </c>
      <c r="G67">
        <v>5.69</v>
      </c>
    </row>
    <row r="68" spans="1:10" x14ac:dyDescent="0.2">
      <c r="A68" t="s">
        <v>122</v>
      </c>
      <c r="B68" t="s">
        <v>115</v>
      </c>
      <c r="C68" t="s">
        <v>110</v>
      </c>
      <c r="D68" t="s">
        <v>111</v>
      </c>
      <c r="E68" t="s">
        <v>29</v>
      </c>
      <c r="F68" t="s">
        <v>123</v>
      </c>
      <c r="G68">
        <v>378</v>
      </c>
      <c r="H68">
        <f>557</f>
        <v>557</v>
      </c>
      <c r="I68">
        <f>H68/H73</f>
        <v>3.0946163675759763E-2</v>
      </c>
    </row>
    <row r="69" spans="1:10" x14ac:dyDescent="0.2">
      <c r="A69" t="s">
        <v>122</v>
      </c>
      <c r="B69" t="s">
        <v>119</v>
      </c>
      <c r="C69" t="s">
        <v>110</v>
      </c>
      <c r="D69" t="s">
        <v>111</v>
      </c>
      <c r="E69" t="s">
        <v>17</v>
      </c>
      <c r="F69" t="s">
        <v>123</v>
      </c>
      <c r="G69">
        <v>5.29</v>
      </c>
    </row>
    <row r="70" spans="1:10" x14ac:dyDescent="0.2">
      <c r="A70" t="s">
        <v>120</v>
      </c>
      <c r="B70" t="s">
        <v>133</v>
      </c>
      <c r="H70" s="3">
        <v>2849</v>
      </c>
    </row>
    <row r="71" spans="1:10" x14ac:dyDescent="0.2">
      <c r="A71" t="s">
        <v>134</v>
      </c>
      <c r="H71" s="3">
        <v>93</v>
      </c>
    </row>
    <row r="72" spans="1:10" x14ac:dyDescent="0.2">
      <c r="G72" t="s">
        <v>135</v>
      </c>
      <c r="H72" t="s">
        <v>130</v>
      </c>
      <c r="I72" t="s">
        <v>131</v>
      </c>
      <c r="J72" t="s">
        <v>132</v>
      </c>
    </row>
    <row r="73" spans="1:10" x14ac:dyDescent="0.2">
      <c r="G73" s="3">
        <v>15166</v>
      </c>
      <c r="H73" s="3">
        <f>SUM(H62,H64,H66,H68,H70, H71)</f>
        <v>17999</v>
      </c>
      <c r="I73">
        <f>(I62*G62)+(I64*G64)+(I66*G66)+(I68*G68)</f>
        <v>598.06911495083068</v>
      </c>
      <c r="J73">
        <f>(I62*G63)+(I64*G65)+(I66*G67)+(I68*G69)</f>
        <v>7.7800172231790663</v>
      </c>
    </row>
    <row r="74" spans="1:10" x14ac:dyDescent="0.2">
      <c r="G74" s="3">
        <f>G73*30*30*0.000247105</f>
        <v>3372.8349870000002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t="s">
        <v>136</v>
      </c>
      <c r="B1" t="s">
        <v>145</v>
      </c>
      <c r="C1" t="s">
        <v>137</v>
      </c>
      <c r="D1" t="s">
        <v>138</v>
      </c>
      <c r="E1" t="s">
        <v>141</v>
      </c>
      <c r="F1" t="s">
        <v>142</v>
      </c>
      <c r="G1" t="s">
        <v>143</v>
      </c>
      <c r="H1" t="s">
        <v>139</v>
      </c>
      <c r="I1" t="s">
        <v>144</v>
      </c>
      <c r="J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1975</vt:lpstr>
      <vt:lpstr>1990</vt:lpstr>
      <vt:lpstr>2005</vt:lpstr>
      <vt:lpstr>2010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Kaiser, PhD</cp:lastModifiedBy>
  <dcterms:created xsi:type="dcterms:W3CDTF">2019-07-29T19:00:18Z</dcterms:created>
  <dcterms:modified xsi:type="dcterms:W3CDTF">2019-08-02T00:39:22Z</dcterms:modified>
</cp:coreProperties>
</file>