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25/Documents/GitRepos/IM3-BoiseState/ABMdev/Data/NASS_Data/"/>
    </mc:Choice>
  </mc:AlternateContent>
  <xr:revisionPtr revIDLastSave="0" documentId="13_ncr:1_{2A518797-5F3E-E844-A463-8FD0F749033E}" xr6:coauthVersionLast="43" xr6:coauthVersionMax="43" xr10:uidLastSave="{00000000-0000-0000-0000-000000000000}"/>
  <bookViews>
    <workbookView xWindow="14540" yWindow="3060" windowWidth="35560" windowHeight="24460" activeTab="5" xr2:uid="{00000000-000D-0000-FFFF-FFFF00000000}"/>
  </bookViews>
  <sheets>
    <sheet name="Sheet1" sheetId="1" r:id="rId1"/>
    <sheet name="1975" sheetId="2" r:id="rId2"/>
    <sheet name="1990" sheetId="3" r:id="rId3"/>
    <sheet name="2005" sheetId="4" r:id="rId4"/>
    <sheet name="2010" sheetId="5" r:id="rId5"/>
    <sheet name="2015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6" l="1"/>
  <c r="N39" i="6"/>
  <c r="N40" i="6"/>
  <c r="Q40" i="6"/>
  <c r="P45" i="6"/>
  <c r="P43" i="6"/>
  <c r="P41" i="6"/>
  <c r="P39" i="6"/>
  <c r="Q39" i="6"/>
  <c r="Q31" i="6"/>
  <c r="O31" i="6"/>
  <c r="O34" i="6"/>
  <c r="P33" i="6"/>
  <c r="P32" i="6"/>
  <c r="F4" i="6"/>
  <c r="H4" i="6"/>
  <c r="I4" i="6"/>
  <c r="J4" i="6"/>
  <c r="G15" i="6"/>
  <c r="F5" i="6"/>
  <c r="H5" i="6"/>
  <c r="I5" i="6"/>
  <c r="J5" i="6"/>
  <c r="G16" i="6"/>
  <c r="F6" i="6"/>
  <c r="H6" i="6"/>
  <c r="I6" i="6"/>
  <c r="J6" i="6"/>
  <c r="G17" i="6"/>
  <c r="F7" i="6"/>
  <c r="H7" i="6"/>
  <c r="I7" i="6"/>
  <c r="J7" i="6"/>
  <c r="G18" i="6"/>
  <c r="F8" i="6"/>
  <c r="H8" i="6"/>
  <c r="I8" i="6"/>
  <c r="J8" i="6"/>
  <c r="G19" i="6"/>
  <c r="F9" i="6"/>
  <c r="H9" i="6"/>
  <c r="I9" i="6"/>
  <c r="J9" i="6"/>
  <c r="G20" i="6"/>
  <c r="F3" i="6"/>
  <c r="H3" i="6"/>
  <c r="I3" i="6"/>
  <c r="J3" i="6"/>
  <c r="G14" i="6"/>
  <c r="F23" i="5"/>
  <c r="J73" i="5"/>
  <c r="I73" i="5"/>
  <c r="L5" i="4"/>
  <c r="I71" i="5"/>
  <c r="H73" i="5"/>
  <c r="F3" i="5"/>
  <c r="H3" i="5"/>
  <c r="I3" i="5"/>
  <c r="J3" i="5"/>
  <c r="F4" i="5"/>
  <c r="H4" i="5"/>
  <c r="I4" i="5"/>
  <c r="J4" i="5"/>
  <c r="F24" i="5"/>
  <c r="F5" i="5"/>
  <c r="H5" i="5"/>
  <c r="I5" i="5"/>
  <c r="J5" i="5"/>
  <c r="F25" i="5"/>
  <c r="F6" i="5"/>
  <c r="H6" i="5"/>
  <c r="I6" i="5"/>
  <c r="J6" i="5"/>
  <c r="F26" i="5"/>
  <c r="F7" i="5"/>
  <c r="H7" i="5"/>
  <c r="I7" i="5"/>
  <c r="J7" i="5"/>
  <c r="F27" i="5"/>
  <c r="F8" i="5"/>
  <c r="H8" i="5"/>
  <c r="I8" i="5"/>
  <c r="J8" i="5"/>
  <c r="F28" i="5"/>
  <c r="F9" i="5"/>
  <c r="H9" i="5"/>
  <c r="I9" i="5"/>
  <c r="J9" i="5"/>
  <c r="F29" i="5"/>
  <c r="F10" i="5"/>
  <c r="H10" i="5"/>
  <c r="I10" i="5"/>
  <c r="J10" i="5"/>
  <c r="F30" i="5"/>
  <c r="F3" i="4"/>
  <c r="H3" i="4"/>
  <c r="I3" i="4"/>
  <c r="J3" i="4"/>
  <c r="F19" i="4"/>
  <c r="C17" i="4"/>
  <c r="F4" i="2"/>
  <c r="H4" i="2"/>
  <c r="I4" i="2"/>
  <c r="J4" i="2"/>
  <c r="F14" i="2"/>
  <c r="F5" i="2"/>
  <c r="L4" i="2"/>
  <c r="H5" i="2"/>
  <c r="I5" i="2"/>
  <c r="J5" i="2"/>
  <c r="F15" i="2"/>
  <c r="M4" i="2"/>
  <c r="G74" i="5"/>
  <c r="H62" i="5"/>
  <c r="H64" i="5"/>
  <c r="H66" i="5"/>
  <c r="H68" i="5"/>
  <c r="I62" i="5"/>
  <c r="G62" i="5"/>
  <c r="I64" i="5"/>
  <c r="I66" i="5"/>
  <c r="I68" i="5"/>
  <c r="G63" i="5"/>
  <c r="I14" i="5"/>
  <c r="G14" i="5"/>
  <c r="J14" i="5"/>
  <c r="I15" i="5"/>
  <c r="J15" i="5"/>
  <c r="I16" i="5"/>
  <c r="J16" i="5"/>
  <c r="I13" i="5"/>
  <c r="J13" i="5"/>
  <c r="I18" i="5"/>
  <c r="I17" i="5"/>
  <c r="I12" i="5"/>
  <c r="L3" i="4"/>
  <c r="H33" i="5"/>
  <c r="H34" i="5"/>
  <c r="G5" i="5"/>
  <c r="F4" i="4"/>
  <c r="L4" i="4"/>
  <c r="M4" i="4"/>
  <c r="F5" i="4"/>
  <c r="M5" i="4"/>
  <c r="F7" i="4"/>
  <c r="L7" i="4"/>
  <c r="M7" i="4"/>
  <c r="F8" i="4"/>
  <c r="L8" i="4"/>
  <c r="M8" i="4"/>
  <c r="F9" i="4"/>
  <c r="L9" i="4"/>
  <c r="M9" i="4"/>
  <c r="F10" i="4"/>
  <c r="K10" i="4"/>
  <c r="L10" i="4"/>
  <c r="M10" i="4"/>
  <c r="F11" i="4"/>
  <c r="L11" i="4"/>
  <c r="M11" i="4"/>
  <c r="M3" i="4"/>
  <c r="L6" i="4"/>
  <c r="L12" i="4"/>
  <c r="L13" i="4"/>
  <c r="L14" i="4"/>
  <c r="L15" i="4"/>
  <c r="L16" i="4"/>
  <c r="L17" i="4"/>
  <c r="G20" i="4"/>
  <c r="G21" i="4"/>
  <c r="G22" i="4"/>
  <c r="G23" i="4"/>
  <c r="G24" i="4"/>
  <c r="G25" i="4"/>
  <c r="G26" i="4"/>
  <c r="G27" i="4"/>
  <c r="G19" i="4"/>
  <c r="H4" i="4"/>
  <c r="I4" i="4"/>
  <c r="J4" i="4"/>
  <c r="F20" i="4"/>
  <c r="H5" i="4"/>
  <c r="I5" i="4"/>
  <c r="J5" i="4"/>
  <c r="F21" i="4"/>
  <c r="F6" i="4"/>
  <c r="H6" i="4"/>
  <c r="I6" i="4"/>
  <c r="J6" i="4"/>
  <c r="F22" i="4"/>
  <c r="H7" i="4"/>
  <c r="I7" i="4"/>
  <c r="J7" i="4"/>
  <c r="F23" i="4"/>
  <c r="H8" i="4"/>
  <c r="I8" i="4"/>
  <c r="J8" i="4"/>
  <c r="F24" i="4"/>
  <c r="H9" i="4"/>
  <c r="I9" i="4"/>
  <c r="J9" i="4"/>
  <c r="F25" i="4"/>
  <c r="H10" i="4"/>
  <c r="I10" i="4"/>
  <c r="J10" i="4"/>
  <c r="F26" i="4"/>
  <c r="H11" i="4"/>
  <c r="I11" i="4"/>
  <c r="J11" i="4"/>
  <c r="F27" i="4"/>
  <c r="G16" i="3"/>
  <c r="G17" i="3"/>
  <c r="G18" i="3"/>
  <c r="G19" i="3"/>
  <c r="G20" i="3"/>
  <c r="G21" i="3"/>
  <c r="G22" i="3"/>
  <c r="G23" i="3"/>
  <c r="G15" i="3"/>
  <c r="F4" i="3"/>
  <c r="H4" i="3"/>
  <c r="I4" i="3"/>
  <c r="J4" i="3"/>
  <c r="F16" i="3"/>
  <c r="F5" i="3"/>
  <c r="H5" i="3"/>
  <c r="I5" i="3"/>
  <c r="J5" i="3"/>
  <c r="F17" i="3"/>
  <c r="F6" i="3"/>
  <c r="H6" i="3"/>
  <c r="I6" i="3"/>
  <c r="J6" i="3"/>
  <c r="F18" i="3"/>
  <c r="F7" i="3"/>
  <c r="H7" i="3"/>
  <c r="I7" i="3"/>
  <c r="J7" i="3"/>
  <c r="F19" i="3"/>
  <c r="F8" i="3"/>
  <c r="H8" i="3"/>
  <c r="I8" i="3"/>
  <c r="J8" i="3"/>
  <c r="F20" i="3"/>
  <c r="F9" i="3"/>
  <c r="H9" i="3"/>
  <c r="I9" i="3"/>
  <c r="J9" i="3"/>
  <c r="F21" i="3"/>
  <c r="F10" i="3"/>
  <c r="H10" i="3"/>
  <c r="I10" i="3"/>
  <c r="J10" i="3"/>
  <c r="F22" i="3"/>
  <c r="F11" i="3"/>
  <c r="H11" i="3"/>
  <c r="I11" i="3"/>
  <c r="J11" i="3"/>
  <c r="F23" i="3"/>
  <c r="F3" i="3"/>
  <c r="H3" i="3"/>
  <c r="I3" i="3"/>
  <c r="J3" i="3"/>
  <c r="F15" i="3"/>
  <c r="F6" i="2"/>
  <c r="H6" i="2"/>
  <c r="I6" i="2"/>
  <c r="J6" i="2"/>
  <c r="F7" i="2"/>
  <c r="H7" i="2"/>
  <c r="I7" i="2"/>
  <c r="J7" i="2"/>
  <c r="F17" i="2"/>
  <c r="F8" i="2"/>
  <c r="H8" i="2"/>
  <c r="I8" i="2"/>
  <c r="J8" i="2"/>
  <c r="F18" i="2"/>
  <c r="F9" i="2"/>
  <c r="H9" i="2"/>
  <c r="I9" i="2"/>
  <c r="J9" i="2"/>
  <c r="F19" i="2"/>
  <c r="G14" i="2"/>
  <c r="G15" i="2"/>
  <c r="G16" i="2"/>
  <c r="G17" i="2"/>
  <c r="G18" i="2"/>
  <c r="G19" i="2"/>
  <c r="G13" i="2"/>
  <c r="F16" i="2"/>
  <c r="F3" i="2"/>
  <c r="H3" i="2"/>
  <c r="I3" i="2"/>
  <c r="J3" i="2"/>
  <c r="F13" i="2"/>
</calcChain>
</file>

<file path=xl/sharedStrings.xml><?xml version="1.0" encoding="utf-8"?>
<sst xmlns="http://schemas.openxmlformats.org/spreadsheetml/2006/main" count="565" uniqueCount="155">
  <si>
    <t>Data Processing Notes</t>
  </si>
  <si>
    <t>Pulled data from NASS using the API for each year of interest for the state of Idaho, its agricultural districts and the US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</si>
  <si>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</si>
  <si>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</si>
  <si>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</si>
  <si>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</si>
  <si>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</si>
  <si>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</si>
  <si>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</si>
  <si>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Only used acreage from the Southwest, eastern, and south central districts (excluded north)</t>
  </si>
  <si>
    <t>Then filled with price/yeild from the full state data</t>
  </si>
  <si>
    <t>SouthCentral</t>
  </si>
  <si>
    <t>Southwest</t>
  </si>
  <si>
    <t>Eastern</t>
  </si>
  <si>
    <t>Acreage by District 1974</t>
  </si>
  <si>
    <t>Yeild by District</t>
  </si>
  <si>
    <t>CWT / ACRE</t>
  </si>
  <si>
    <t>TONS / ACRE</t>
  </si>
  <si>
    <t>BU/ACRE</t>
  </si>
  <si>
    <t>Yeild was BU/ACRE NOT /net planted acre</t>
  </si>
  <si>
    <t>Sum</t>
  </si>
  <si>
    <t>IdahoTotal</t>
  </si>
  <si>
    <t>ACRE</t>
  </si>
  <si>
    <t>Average</t>
  </si>
  <si>
    <t>Idaho Agg.</t>
  </si>
  <si>
    <t>$ / BU</t>
  </si>
  <si>
    <t>$ / CWT</t>
  </si>
  <si>
    <t>Price Received at State Level</t>
  </si>
  <si>
    <t>National Level</t>
  </si>
  <si>
    <t>$ / TON</t>
  </si>
  <si>
    <t>Fractional Area</t>
  </si>
  <si>
    <t>Weighted Average</t>
  </si>
  <si>
    <t>Acreage by District 1990</t>
  </si>
  <si>
    <t xml:space="preserve">BEANS, DRY EDIBLE, INCL CHICKPEAS </t>
  </si>
  <si>
    <t xml:space="preserve">HAY, ALFALFA </t>
  </si>
  <si>
    <t xml:space="preserve">ACRES </t>
  </si>
  <si>
    <t>BU /ACRE</t>
  </si>
  <si>
    <t>Potatoes</t>
  </si>
  <si>
    <t>CWT /ACRES</t>
  </si>
  <si>
    <t>TONS/ACRE</t>
  </si>
  <si>
    <t>LB / ACRE</t>
  </si>
  <si>
    <t>$/ BU</t>
  </si>
  <si>
    <t>$/CWT</t>
  </si>
  <si>
    <t>$/TON</t>
  </si>
  <si>
    <t>A CWT == 100lbs</t>
  </si>
  <si>
    <t xml:space="preserve">BEANS, DRY EDIBLE, GREAT NORTHERN </t>
  </si>
  <si>
    <t xml:space="preserve">BEANS, DRY EDIBLE, PINK </t>
  </si>
  <si>
    <t xml:space="preserve">BEANS, DRY EDIBLE, PINTO </t>
  </si>
  <si>
    <t xml:space="preserve">BEANS, DRY EDIBLE, SMALL, RED </t>
  </si>
  <si>
    <t xml:space="preserve">BEANS, DRY EDIBLE, RED, KIDNEY </t>
  </si>
  <si>
    <t xml:space="preserve">BEANS, DRY EDIBLE, (EXCL CHICKPEAS) </t>
  </si>
  <si>
    <t>$/ CWT</t>
  </si>
  <si>
    <t>NA</t>
  </si>
  <si>
    <t>Acreage by District 2005</t>
  </si>
  <si>
    <t>other small grains</t>
  </si>
  <si>
    <t>canola</t>
  </si>
  <si>
    <t>Safflower</t>
  </si>
  <si>
    <t>other crops</t>
  </si>
  <si>
    <t>sod/grass seed</t>
  </si>
  <si>
    <t>grass/pasture</t>
  </si>
  <si>
    <t>CDL pixels (30m2 ea)</t>
  </si>
  <si>
    <t>CDL acres</t>
  </si>
  <si>
    <t>The issue: at 2010 and beyond the CDL data includes all sorts of crop types, prior to that it was only a few top acreage crops, there is data at the state level -- do we want to use that, or are the assumptions too problimatic?</t>
  </si>
  <si>
    <t>"FIELDWORK"</t>
  </si>
  <si>
    <t>"SOIL"</t>
  </si>
  <si>
    <t>"BARLEY"</t>
  </si>
  <si>
    <t>"BEANS"</t>
  </si>
  <si>
    <t>"CHICKPEAS"</t>
  </si>
  <si>
    <t>"CORN"</t>
  </si>
  <si>
    <t>"FIELD CROP TOTALS"</t>
  </si>
  <si>
    <t>"GRAIN STORAGE CAPACITY"</t>
  </si>
  <si>
    <t>"HAY"</t>
  </si>
  <si>
    <t>"HAY &amp; HAYLAGE"</t>
  </si>
  <si>
    <t>"HAYLAGE"</t>
  </si>
  <si>
    <t>"HOPS"</t>
  </si>
  <si>
    <t>"LENTILS"</t>
  </si>
  <si>
    <t>"MINT"</t>
  </si>
  <si>
    <t>"OATS"</t>
  </si>
  <si>
    <t>"PASTURELAND"</t>
  </si>
  <si>
    <t>"PEAS"</t>
  </si>
  <si>
    <t>"SUGARBEETS"</t>
  </si>
  <si>
    <t>"WHEAT"</t>
  </si>
  <si>
    <t>"APPLES"</t>
  </si>
  <si>
    <t>"CHERRIES"</t>
  </si>
  <si>
    <t>"PEACHES"</t>
  </si>
  <si>
    <t>"PLUMS &amp; PRUNES"</t>
  </si>
  <si>
    <t>"ONIONS"</t>
  </si>
  <si>
    <t>"POTATOES"</t>
  </si>
  <si>
    <t>"VEGETABLE TOTALS"</t>
  </si>
  <si>
    <t>eg at the state level, 2005</t>
  </si>
  <si>
    <t>Scale to the southern region using the 2010 and 2015 data</t>
  </si>
  <si>
    <t>Acreage by District 2010</t>
  </si>
  <si>
    <t xml:space="preserve">WHEAT, SPRING, (EXCL DURUM) </t>
  </si>
  <si>
    <t xml:space="preserve">WHEAT, WINTER </t>
  </si>
  <si>
    <t>BU / ACRE</t>
  </si>
  <si>
    <t>Yield at State level</t>
  </si>
  <si>
    <t>Dry Beans</t>
  </si>
  <si>
    <t>Peas</t>
  </si>
  <si>
    <t>Onions</t>
  </si>
  <si>
    <t>Mint</t>
  </si>
  <si>
    <t>Grapes</t>
  </si>
  <si>
    <t>Stone/Pome Fruit</t>
  </si>
  <si>
    <t>Hops</t>
  </si>
  <si>
    <t>Sod / Grass Seeds</t>
  </si>
  <si>
    <t>pep</t>
  </si>
  <si>
    <t>spear</t>
  </si>
  <si>
    <t>ID Total</t>
  </si>
  <si>
    <t>POTATOES</t>
  </si>
  <si>
    <t xml:space="preserve">APPLES </t>
  </si>
  <si>
    <t>PRICE RECEIVED, MEASURED IN $ / LB</t>
  </si>
  <si>
    <t>ALL CLASSES</t>
  </si>
  <si>
    <t>TOTAL</t>
  </si>
  <si>
    <t>$ / LB</t>
  </si>
  <si>
    <t>APPLES</t>
  </si>
  <si>
    <t>YIELD, MEASURED IN LB / ACRE</t>
  </si>
  <si>
    <t>PRICE RECEIVED, MEASURED IN $ / TON</t>
  </si>
  <si>
    <t xml:space="preserve">CHERRIES, SWEET </t>
  </si>
  <si>
    <t>SWEET</t>
  </si>
  <si>
    <t>CHERRIES</t>
  </si>
  <si>
    <t>YIELD, MEASURED IN TONS / ACRE</t>
  </si>
  <si>
    <t xml:space="preserve">PEACHES </t>
  </si>
  <si>
    <t>PEACHES</t>
  </si>
  <si>
    <t xml:space="preserve">PLUMS &amp; PRUNES </t>
  </si>
  <si>
    <t>PLUMS &amp; PRUNES</t>
  </si>
  <si>
    <t xml:space="preserve">BEANS, DRY EDIBLE, EXCL CHICKPEAS </t>
  </si>
  <si>
    <t>CDL Data</t>
  </si>
  <si>
    <t>CDL</t>
  </si>
  <si>
    <t>$/ TON</t>
  </si>
  <si>
    <t>Fractional</t>
  </si>
  <si>
    <t>Total Area</t>
  </si>
  <si>
    <t>Weighted Avg Price</t>
  </si>
  <si>
    <t>Yeild</t>
  </si>
  <si>
    <t>AREA</t>
  </si>
  <si>
    <t>PEARS</t>
  </si>
  <si>
    <t xml:space="preserve">CDL Stonne/Pomme AREA </t>
  </si>
  <si>
    <t>corn total</t>
  </si>
  <si>
    <t>area</t>
  </si>
  <si>
    <t xml:space="preserve">yeild </t>
  </si>
  <si>
    <t>Value</t>
  </si>
  <si>
    <t>CDL Pixels</t>
  </si>
  <si>
    <t>Price</t>
  </si>
  <si>
    <t>Yield</t>
  </si>
  <si>
    <t>TONS / ACRE	14.5</t>
  </si>
  <si>
    <t>Acreage by District 2015</t>
  </si>
  <si>
    <t xml:space="preserve">MINT, PEPPERMINT, OIL </t>
  </si>
  <si>
    <t>ACRES HARVESTED</t>
  </si>
  <si>
    <t>PEPPERMINT</t>
  </si>
  <si>
    <t>ACRES</t>
  </si>
  <si>
    <t>MINT</t>
  </si>
  <si>
    <t xml:space="preserve">MINT, SPEARMINT, OIL </t>
  </si>
  <si>
    <t>SPEARMINT</t>
  </si>
  <si>
    <t>WHEAT</t>
  </si>
  <si>
    <t>STATE</t>
  </si>
  <si>
    <t>total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</si>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</sst>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workbookViewId="0">
      <selection sqref="A1:A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19</v>
      </c>
    </row>
    <row r="6" spans="1:1" x14ac:dyDescent="0.2">
      <c r="A6" t="s">
        <v>44</v>
      </c>
    </row>
    <row r="8" spans="1:1" x14ac:dyDescent="0.2">
      <c r="A8" t="s">
        <v>62</v>
      </c>
    </row>
    <row r="9" spans="1:1" x14ac:dyDescent="0.2">
      <c r="A9" t="s">
        <v>90</v>
      </c>
    </row>
    <row r="11" spans="1:1" x14ac:dyDescent="0.2">
      <c r="A11" t="s">
        <v>89</v>
      </c>
    </row>
    <row r="12" spans="1:1" x14ac:dyDescent="0.2">
      <c r="A12" t="s">
        <v>82</v>
      </c>
    </row>
    <row r="13" spans="1:1" x14ac:dyDescent="0.2">
      <c r="A13" t="s">
        <v>65</v>
      </c>
    </row>
    <row r="14" spans="1:1" x14ac:dyDescent="0.2">
      <c r="A14" t="s">
        <v>66</v>
      </c>
    </row>
    <row r="15" spans="1:1" x14ac:dyDescent="0.2">
      <c r="A15" t="s">
        <v>83</v>
      </c>
    </row>
    <row r="16" spans="1:1" x14ac:dyDescent="0.2">
      <c r="A16" t="s">
        <v>67</v>
      </c>
    </row>
    <row r="17" spans="1:1" x14ac:dyDescent="0.2">
      <c r="A17" t="s">
        <v>68</v>
      </c>
    </row>
    <row r="18" spans="1:1" x14ac:dyDescent="0.2">
      <c r="A18" t="s">
        <v>69</v>
      </c>
    </row>
    <row r="19" spans="1:1" x14ac:dyDescent="0.2">
      <c r="A19" t="s">
        <v>63</v>
      </c>
    </row>
    <row r="20" spans="1:1" x14ac:dyDescent="0.2">
      <c r="A20" t="s">
        <v>70</v>
      </c>
    </row>
    <row r="21" spans="1:1" x14ac:dyDescent="0.2">
      <c r="A21" t="s">
        <v>72</v>
      </c>
    </row>
    <row r="22" spans="1:1" x14ac:dyDescent="0.2">
      <c r="A22" t="s">
        <v>71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86</v>
      </c>
    </row>
    <row r="29" spans="1:1" x14ac:dyDescent="0.2">
      <c r="A29" t="s">
        <v>78</v>
      </c>
    </row>
    <row r="30" spans="1:1" x14ac:dyDescent="0.2">
      <c r="A30" t="s">
        <v>84</v>
      </c>
    </row>
    <row r="31" spans="1:1" x14ac:dyDescent="0.2">
      <c r="A31" t="s">
        <v>79</v>
      </c>
    </row>
    <row r="32" spans="1:1" x14ac:dyDescent="0.2">
      <c r="A32" t="s">
        <v>85</v>
      </c>
    </row>
    <row r="33" spans="1:1" x14ac:dyDescent="0.2">
      <c r="A33" t="s">
        <v>87</v>
      </c>
    </row>
    <row r="34" spans="1:1" x14ac:dyDescent="0.2">
      <c r="A34" t="s">
        <v>64</v>
      </c>
    </row>
    <row r="35" spans="1:1" x14ac:dyDescent="0.2">
      <c r="A35" t="s">
        <v>80</v>
      </c>
    </row>
    <row r="36" spans="1:1" x14ac:dyDescent="0.2">
      <c r="A36" t="s">
        <v>81</v>
      </c>
    </row>
    <row r="37" spans="1:1" x14ac:dyDescent="0.2">
      <c r="A37" t="s">
        <v>88</v>
      </c>
    </row>
  </sheetData>
  <sortState xmlns:xlrd2="http://schemas.microsoft.com/office/spreadsheetml/2017/richdata2" ref="A12:A36">
    <sortCondition ref="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workbookViewId="0">
      <selection activeCell="B25" sqref="B25:B26"/>
    </sheetView>
  </sheetViews>
  <sheetFormatPr baseColWidth="10" defaultRowHeight="16" x14ac:dyDescent="0.2"/>
  <cols>
    <col min="1" max="1" width="23" bestFit="1" customWidth="1"/>
    <col min="2" max="2" width="11" customWidth="1"/>
  </cols>
  <sheetData>
    <row r="1" spans="1:14" x14ac:dyDescent="0.2">
      <c r="A1" t="s">
        <v>14</v>
      </c>
      <c r="H1" t="s">
        <v>30</v>
      </c>
    </row>
    <row r="2" spans="1:14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4" x14ac:dyDescent="0.2">
      <c r="A3" t="s">
        <v>2</v>
      </c>
      <c r="B3" t="s">
        <v>22</v>
      </c>
      <c r="C3">
        <v>133400</v>
      </c>
      <c r="D3">
        <v>67000</v>
      </c>
      <c r="E3">
        <v>496600</v>
      </c>
      <c r="F3">
        <f>SUM(C3:E3)</f>
        <v>697000</v>
      </c>
      <c r="G3">
        <v>840000</v>
      </c>
      <c r="H3">
        <f>C3/$F$3</f>
        <v>0.19139167862266859</v>
      </c>
      <c r="I3">
        <f t="shared" ref="I3:J3" si="0">D3/$F$3</f>
        <v>9.6126255380200865E-2</v>
      </c>
      <c r="J3">
        <f t="shared" si="0"/>
        <v>0.7124820659971306</v>
      </c>
      <c r="L3" t="s">
        <v>136</v>
      </c>
      <c r="M3" t="s">
        <v>137</v>
      </c>
      <c r="N3" t="s">
        <v>138</v>
      </c>
    </row>
    <row r="4" spans="1:14" x14ac:dyDescent="0.2">
      <c r="A4" t="s">
        <v>3</v>
      </c>
      <c r="B4" t="s">
        <v>22</v>
      </c>
      <c r="C4">
        <v>15900</v>
      </c>
      <c r="D4">
        <v>15900</v>
      </c>
      <c r="E4">
        <v>1200</v>
      </c>
      <c r="F4">
        <f t="shared" ref="F4:F9" si="1">SUM(C4:E4)</f>
        <v>33000</v>
      </c>
      <c r="G4">
        <v>33000</v>
      </c>
      <c r="H4">
        <f>C4/$F4</f>
        <v>0.48181818181818181</v>
      </c>
      <c r="I4">
        <f t="shared" ref="I4:J4" si="2">D4/$F4</f>
        <v>0.48181818181818181</v>
      </c>
      <c r="J4">
        <f t="shared" si="2"/>
        <v>3.6363636363636362E-2</v>
      </c>
      <c r="K4" t="s">
        <v>135</v>
      </c>
      <c r="L4">
        <f>F4+F5</f>
        <v>121300</v>
      </c>
      <c r="M4">
        <f>(F14*(F4/L4))+(F15*(F5/L4))</f>
        <v>36.421104699093164</v>
      </c>
    </row>
    <row r="5" spans="1:14" x14ac:dyDescent="0.2">
      <c r="A5" t="s">
        <v>4</v>
      </c>
      <c r="B5" t="s">
        <v>22</v>
      </c>
      <c r="C5">
        <v>28900</v>
      </c>
      <c r="D5">
        <v>49800</v>
      </c>
      <c r="E5">
        <v>9600</v>
      </c>
      <c r="F5">
        <f t="shared" si="1"/>
        <v>88300</v>
      </c>
      <c r="G5">
        <v>89000</v>
      </c>
      <c r="H5">
        <f t="shared" ref="H5:H9" si="3">C5/$F5</f>
        <v>0.3272933182332956</v>
      </c>
      <c r="I5">
        <f t="shared" ref="I5:I9" si="4">D5/$F5</f>
        <v>0.56398640996602489</v>
      </c>
      <c r="J5">
        <f t="shared" ref="J5:J9" si="5">E5/$F5</f>
        <v>0.1087202718006795</v>
      </c>
    </row>
    <row r="6" spans="1:14" x14ac:dyDescent="0.2">
      <c r="A6" t="s">
        <v>5</v>
      </c>
      <c r="B6" t="s">
        <v>22</v>
      </c>
      <c r="C6">
        <v>28900</v>
      </c>
      <c r="D6">
        <v>8500</v>
      </c>
      <c r="E6">
        <v>16500</v>
      </c>
      <c r="F6">
        <f t="shared" si="1"/>
        <v>53900</v>
      </c>
      <c r="G6">
        <v>47000</v>
      </c>
      <c r="H6">
        <f t="shared" si="3"/>
        <v>0.53617810760667906</v>
      </c>
      <c r="I6">
        <f t="shared" si="4"/>
        <v>0.15769944341372913</v>
      </c>
      <c r="J6">
        <f t="shared" si="5"/>
        <v>0.30612244897959184</v>
      </c>
    </row>
    <row r="7" spans="1:14" x14ac:dyDescent="0.2">
      <c r="A7" t="s">
        <v>6</v>
      </c>
      <c r="B7" t="s">
        <v>22</v>
      </c>
      <c r="C7">
        <v>4500</v>
      </c>
      <c r="D7">
        <v>62546</v>
      </c>
      <c r="E7">
        <v>27493</v>
      </c>
      <c r="F7">
        <f t="shared" si="1"/>
        <v>94539</v>
      </c>
      <c r="G7">
        <v>158300</v>
      </c>
      <c r="H7">
        <f t="shared" si="3"/>
        <v>4.7599403420810461E-2</v>
      </c>
      <c r="I7">
        <f t="shared" si="4"/>
        <v>0.66158939696844687</v>
      </c>
      <c r="J7">
        <f t="shared" si="5"/>
        <v>0.29081119961074264</v>
      </c>
    </row>
    <row r="8" spans="1:14" x14ac:dyDescent="0.2">
      <c r="A8" t="s">
        <v>7</v>
      </c>
      <c r="B8" t="s">
        <v>22</v>
      </c>
      <c r="C8">
        <v>66760</v>
      </c>
      <c r="D8">
        <v>81800</v>
      </c>
      <c r="E8">
        <v>716100</v>
      </c>
      <c r="F8">
        <f t="shared" si="1"/>
        <v>864660</v>
      </c>
      <c r="H8">
        <f t="shared" si="3"/>
        <v>7.7209539009552894E-2</v>
      </c>
      <c r="I8">
        <f t="shared" si="4"/>
        <v>9.4603659241782892E-2</v>
      </c>
      <c r="J8">
        <f t="shared" si="5"/>
        <v>0.82818680174866421</v>
      </c>
    </row>
    <row r="9" spans="1:14" x14ac:dyDescent="0.2">
      <c r="A9" t="s">
        <v>8</v>
      </c>
      <c r="B9" t="s">
        <v>22</v>
      </c>
      <c r="C9">
        <v>90000</v>
      </c>
      <c r="D9">
        <v>33000</v>
      </c>
      <c r="E9">
        <v>198500</v>
      </c>
      <c r="F9">
        <f t="shared" si="1"/>
        <v>321500</v>
      </c>
      <c r="G9">
        <v>322000</v>
      </c>
      <c r="H9">
        <f t="shared" si="3"/>
        <v>0.27993779160186627</v>
      </c>
      <c r="I9">
        <f t="shared" si="4"/>
        <v>0.1026438569206843</v>
      </c>
      <c r="J9">
        <f t="shared" si="5"/>
        <v>0.6174183514774495</v>
      </c>
    </row>
    <row r="12" spans="1:14" x14ac:dyDescent="0.2">
      <c r="A12" t="s">
        <v>15</v>
      </c>
      <c r="F12" t="s">
        <v>31</v>
      </c>
      <c r="G12" t="s">
        <v>23</v>
      </c>
      <c r="H12" t="s">
        <v>24</v>
      </c>
    </row>
    <row r="13" spans="1:14" x14ac:dyDescent="0.2">
      <c r="A13" t="s">
        <v>2</v>
      </c>
      <c r="B13" t="s">
        <v>18</v>
      </c>
      <c r="C13">
        <v>61.9</v>
      </c>
      <c r="D13">
        <v>65.5</v>
      </c>
      <c r="E13">
        <v>45.4</v>
      </c>
      <c r="F13" s="1">
        <f>(C13* H3)+(D13*I3)+(E13*J3)</f>
        <v>50.490100430416064</v>
      </c>
      <c r="G13">
        <f>AVERAGE(C13:E13)</f>
        <v>57.6</v>
      </c>
      <c r="H13">
        <v>50</v>
      </c>
    </row>
    <row r="14" spans="1:14" x14ac:dyDescent="0.2">
      <c r="A14" t="s">
        <v>3</v>
      </c>
      <c r="B14" t="s">
        <v>18</v>
      </c>
      <c r="C14">
        <v>85.8</v>
      </c>
      <c r="D14">
        <v>82.7</v>
      </c>
      <c r="E14">
        <v>50</v>
      </c>
      <c r="F14" s="1">
        <f t="shared" ref="F14:F19" si="6">(C14* H4)+(D14*I4)+(E14*J4)</f>
        <v>83.00454545454545</v>
      </c>
      <c r="G14">
        <f t="shared" ref="G14:G19" si="7">AVERAGE(C14:E14)</f>
        <v>72.833333333333329</v>
      </c>
      <c r="H14">
        <v>83</v>
      </c>
    </row>
    <row r="15" spans="1:14" x14ac:dyDescent="0.2">
      <c r="A15" t="s">
        <v>4</v>
      </c>
      <c r="B15" t="s">
        <v>17</v>
      </c>
      <c r="C15">
        <v>18.5</v>
      </c>
      <c r="D15">
        <v>19.600000000000001</v>
      </c>
      <c r="E15">
        <v>17.5</v>
      </c>
      <c r="F15" s="1">
        <f t="shared" si="6"/>
        <v>19.011664779161951</v>
      </c>
      <c r="G15">
        <f t="shared" si="7"/>
        <v>18.533333333333335</v>
      </c>
      <c r="H15">
        <v>19</v>
      </c>
    </row>
    <row r="16" spans="1:14" x14ac:dyDescent="0.2">
      <c r="A16" t="s">
        <v>5</v>
      </c>
      <c r="B16" t="s">
        <v>18</v>
      </c>
      <c r="C16">
        <v>64</v>
      </c>
      <c r="D16">
        <v>65</v>
      </c>
      <c r="E16">
        <v>52</v>
      </c>
      <c r="F16" s="1">
        <f t="shared" si="6"/>
        <v>60.484230055658628</v>
      </c>
      <c r="G16">
        <f t="shared" si="7"/>
        <v>60.333333333333336</v>
      </c>
      <c r="H16">
        <v>54</v>
      </c>
    </row>
    <row r="17" spans="1:8" x14ac:dyDescent="0.2">
      <c r="A17" t="s">
        <v>6</v>
      </c>
      <c r="B17" t="s">
        <v>17</v>
      </c>
      <c r="C17">
        <v>16.899999999999999</v>
      </c>
      <c r="D17">
        <v>22.4</v>
      </c>
      <c r="E17">
        <v>14.1</v>
      </c>
      <c r="F17" s="1">
        <f t="shared" si="6"/>
        <v>19.724470324416377</v>
      </c>
      <c r="G17">
        <f t="shared" si="7"/>
        <v>17.8</v>
      </c>
      <c r="H17">
        <v>18.600000000000001</v>
      </c>
    </row>
    <row r="18" spans="1:8" x14ac:dyDescent="0.2">
      <c r="A18" t="s">
        <v>7</v>
      </c>
      <c r="B18" t="s">
        <v>18</v>
      </c>
      <c r="C18">
        <v>53.5</v>
      </c>
      <c r="D18">
        <v>59.7</v>
      </c>
      <c r="E18">
        <v>38.299999999999997</v>
      </c>
      <c r="F18" s="1">
        <f t="shared" si="6"/>
        <v>41.49810330071935</v>
      </c>
      <c r="G18">
        <f t="shared" si="7"/>
        <v>50.5</v>
      </c>
      <c r="H18">
        <v>44.5</v>
      </c>
    </row>
    <row r="19" spans="1:8" x14ac:dyDescent="0.2">
      <c r="A19" t="s">
        <v>8</v>
      </c>
      <c r="B19" t="s">
        <v>16</v>
      </c>
      <c r="C19">
        <v>280</v>
      </c>
      <c r="D19">
        <v>320</v>
      </c>
      <c r="E19">
        <v>215</v>
      </c>
      <c r="F19" s="1">
        <f t="shared" si="6"/>
        <v>243.97356143079318</v>
      </c>
      <c r="G19">
        <f t="shared" si="7"/>
        <v>271.66666666666669</v>
      </c>
      <c r="H19">
        <v>244</v>
      </c>
    </row>
    <row r="21" spans="1:8" x14ac:dyDescent="0.2">
      <c r="A21" t="s">
        <v>27</v>
      </c>
    </row>
    <row r="22" spans="1:8" x14ac:dyDescent="0.2">
      <c r="A22" t="s">
        <v>2</v>
      </c>
      <c r="B22" t="s">
        <v>25</v>
      </c>
      <c r="C22">
        <v>2.3199999999999998</v>
      </c>
    </row>
    <row r="23" spans="1:8" x14ac:dyDescent="0.2">
      <c r="A23" t="s">
        <v>3</v>
      </c>
      <c r="B23" t="s">
        <v>25</v>
      </c>
      <c r="C23">
        <v>2.8</v>
      </c>
    </row>
    <row r="24" spans="1:8" x14ac:dyDescent="0.2">
      <c r="A24" t="s">
        <v>5</v>
      </c>
      <c r="B24" t="s">
        <v>25</v>
      </c>
      <c r="C24">
        <v>1.56</v>
      </c>
    </row>
    <row r="25" spans="1:8" x14ac:dyDescent="0.2">
      <c r="A25" t="s">
        <v>7</v>
      </c>
      <c r="B25" t="s">
        <v>25</v>
      </c>
      <c r="C25">
        <v>3.4</v>
      </c>
    </row>
    <row r="26" spans="1:8" x14ac:dyDescent="0.2">
      <c r="A26" t="s">
        <v>8</v>
      </c>
      <c r="B26" t="s">
        <v>26</v>
      </c>
      <c r="C26">
        <v>3.75</v>
      </c>
    </row>
    <row r="27" spans="1:8" x14ac:dyDescent="0.2">
      <c r="A27" t="s">
        <v>28</v>
      </c>
    </row>
    <row r="28" spans="1:8" x14ac:dyDescent="0.2">
      <c r="A28" t="s">
        <v>6</v>
      </c>
      <c r="B28" t="s">
        <v>29</v>
      </c>
      <c r="C28">
        <v>27.6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"/>
  <sheetViews>
    <sheetView topLeftCell="A14" zoomScale="170" zoomScaleNormal="170" workbookViewId="0">
      <selection activeCell="B28" sqref="B28:B36"/>
    </sheetView>
  </sheetViews>
  <sheetFormatPr baseColWidth="10" defaultRowHeight="16" x14ac:dyDescent="0.2"/>
  <cols>
    <col min="1" max="1" width="32.5" bestFit="1" customWidth="1"/>
  </cols>
  <sheetData>
    <row r="1" spans="1:10" x14ac:dyDescent="0.2">
      <c r="A1" t="s">
        <v>32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35</v>
      </c>
      <c r="C3">
        <v>140000</v>
      </c>
      <c r="D3">
        <v>38000</v>
      </c>
      <c r="E3">
        <v>465000</v>
      </c>
      <c r="F3">
        <f>SUM(C3:E3)</f>
        <v>643000</v>
      </c>
      <c r="H3">
        <f>C3/$F$3</f>
        <v>0.2177293934681182</v>
      </c>
      <c r="I3">
        <f t="shared" ref="I3:J3" si="0">D3/$F$3</f>
        <v>5.909797822706065E-2</v>
      </c>
      <c r="J3">
        <f t="shared" si="0"/>
        <v>0.7231726283048211</v>
      </c>
    </row>
    <row r="4" spans="1:10" x14ac:dyDescent="0.2">
      <c r="A4" t="s">
        <v>33</v>
      </c>
      <c r="B4" t="s">
        <v>35</v>
      </c>
      <c r="C4">
        <v>133300</v>
      </c>
      <c r="D4">
        <v>44100</v>
      </c>
      <c r="E4">
        <v>200</v>
      </c>
      <c r="F4">
        <f t="shared" ref="F4:F11" si="1">SUM(C4:E4)</f>
        <v>177600</v>
      </c>
      <c r="H4">
        <f>C4/$F4</f>
        <v>0.75056306306306309</v>
      </c>
      <c r="I4">
        <f t="shared" ref="I4:J4" si="2">D4/$F$4</f>
        <v>0.2483108108108108</v>
      </c>
      <c r="J4">
        <f t="shared" si="2"/>
        <v>1.1261261261261261E-3</v>
      </c>
    </row>
    <row r="5" spans="1:10" x14ac:dyDescent="0.2">
      <c r="A5" t="s">
        <v>3</v>
      </c>
      <c r="B5" t="s">
        <v>35</v>
      </c>
      <c r="C5">
        <v>10900</v>
      </c>
      <c r="D5">
        <v>19000</v>
      </c>
      <c r="E5">
        <v>100</v>
      </c>
      <c r="F5">
        <f t="shared" si="1"/>
        <v>30000</v>
      </c>
      <c r="H5">
        <f t="shared" ref="H5:H10" si="3">C5/$F5</f>
        <v>0.36333333333333334</v>
      </c>
      <c r="I5">
        <f t="shared" ref="I5:I11" si="4">D5/$F5</f>
        <v>0.6333333333333333</v>
      </c>
      <c r="J5">
        <f t="shared" ref="J5:J11" si="5">E5/$F5</f>
        <v>3.3333333333333335E-3</v>
      </c>
    </row>
    <row r="6" spans="1:10" x14ac:dyDescent="0.2">
      <c r="A6" t="s">
        <v>4</v>
      </c>
      <c r="B6" t="s">
        <v>35</v>
      </c>
      <c r="C6">
        <v>26100</v>
      </c>
      <c r="D6">
        <v>34600</v>
      </c>
      <c r="E6">
        <v>7000</v>
      </c>
      <c r="F6">
        <f t="shared" si="1"/>
        <v>67700</v>
      </c>
      <c r="H6">
        <f t="shared" si="3"/>
        <v>0.38552437223042835</v>
      </c>
      <c r="I6">
        <f t="shared" si="4"/>
        <v>0.51107828655834564</v>
      </c>
      <c r="J6">
        <f t="shared" si="5"/>
        <v>0.103397341211226</v>
      </c>
    </row>
    <row r="7" spans="1:10" x14ac:dyDescent="0.2">
      <c r="A7" t="s">
        <v>34</v>
      </c>
      <c r="B7" t="s">
        <v>35</v>
      </c>
      <c r="C7">
        <v>277000</v>
      </c>
      <c r="D7">
        <v>164000</v>
      </c>
      <c r="E7">
        <v>451000</v>
      </c>
      <c r="F7">
        <f t="shared" si="1"/>
        <v>892000</v>
      </c>
      <c r="H7">
        <f t="shared" si="3"/>
        <v>0.31053811659192826</v>
      </c>
      <c r="I7">
        <f t="shared" si="4"/>
        <v>0.18385650224215247</v>
      </c>
      <c r="J7">
        <f t="shared" si="5"/>
        <v>0.50560538116591924</v>
      </c>
    </row>
    <row r="8" spans="1:10" x14ac:dyDescent="0.2">
      <c r="A8" t="s">
        <v>5</v>
      </c>
      <c r="B8" t="s">
        <v>35</v>
      </c>
      <c r="C8">
        <v>2500</v>
      </c>
      <c r="D8">
        <v>5000</v>
      </c>
      <c r="E8">
        <v>10500</v>
      </c>
      <c r="F8">
        <f t="shared" si="1"/>
        <v>18000</v>
      </c>
      <c r="H8">
        <f t="shared" si="3"/>
        <v>0.1388888888888889</v>
      </c>
      <c r="I8">
        <f t="shared" si="4"/>
        <v>0.27777777777777779</v>
      </c>
      <c r="J8">
        <f t="shared" si="5"/>
        <v>0.58333333333333337</v>
      </c>
    </row>
    <row r="9" spans="1:10" x14ac:dyDescent="0.2">
      <c r="A9" t="s">
        <v>6</v>
      </c>
      <c r="B9" t="s">
        <v>35</v>
      </c>
      <c r="C9">
        <v>102800</v>
      </c>
      <c r="D9">
        <v>65800</v>
      </c>
      <c r="E9">
        <v>17400</v>
      </c>
      <c r="F9">
        <f t="shared" si="1"/>
        <v>186000</v>
      </c>
      <c r="H9">
        <f t="shared" si="3"/>
        <v>0.55268817204301079</v>
      </c>
      <c r="I9">
        <f t="shared" si="4"/>
        <v>0.35376344086021505</v>
      </c>
      <c r="J9">
        <f t="shared" si="5"/>
        <v>9.3548387096774197E-2</v>
      </c>
    </row>
    <row r="10" spans="1:10" x14ac:dyDescent="0.2">
      <c r="A10" t="s">
        <v>7</v>
      </c>
      <c r="B10" t="s">
        <v>35</v>
      </c>
      <c r="C10">
        <v>249000</v>
      </c>
      <c r="D10">
        <v>121000</v>
      </c>
      <c r="E10">
        <v>595000</v>
      </c>
      <c r="F10">
        <f t="shared" si="1"/>
        <v>965000</v>
      </c>
      <c r="H10">
        <f t="shared" si="3"/>
        <v>0.25803108808290154</v>
      </c>
      <c r="I10">
        <f t="shared" si="4"/>
        <v>0.12538860103626942</v>
      </c>
      <c r="J10">
        <f t="shared" si="5"/>
        <v>0.61658031088082899</v>
      </c>
    </row>
    <row r="11" spans="1:10" x14ac:dyDescent="0.2">
      <c r="A11" t="s">
        <v>8</v>
      </c>
      <c r="B11" t="s">
        <v>35</v>
      </c>
      <c r="C11">
        <v>106000</v>
      </c>
      <c r="D11">
        <v>20000</v>
      </c>
      <c r="E11">
        <v>276600</v>
      </c>
      <c r="F11">
        <f t="shared" si="1"/>
        <v>402600</v>
      </c>
      <c r="H11">
        <f>C11/$F11</f>
        <v>0.26328862394436164</v>
      </c>
      <c r="I11">
        <f t="shared" si="4"/>
        <v>4.967709885742673E-2</v>
      </c>
      <c r="J11">
        <f t="shared" si="5"/>
        <v>0.68703427719821164</v>
      </c>
    </row>
    <row r="14" spans="1:10" x14ac:dyDescent="0.2">
      <c r="A14" t="s">
        <v>15</v>
      </c>
      <c r="F14" t="s">
        <v>31</v>
      </c>
      <c r="G14" t="s">
        <v>23</v>
      </c>
      <c r="H14" t="s">
        <v>24</v>
      </c>
    </row>
    <row r="15" spans="1:10" x14ac:dyDescent="0.2">
      <c r="A15" t="s">
        <v>2</v>
      </c>
      <c r="B15" t="s">
        <v>36</v>
      </c>
      <c r="C15">
        <v>94.7</v>
      </c>
      <c r="D15">
        <v>94.9</v>
      </c>
      <c r="E15">
        <v>67.099999999999994</v>
      </c>
      <c r="F15" s="1">
        <f>(C15* H3)+(D15*I3)+(E15*J3)</f>
        <v>74.752255054432339</v>
      </c>
      <c r="G15" s="1">
        <f>AVERAGE(C15:E15)</f>
        <v>85.566666666666677</v>
      </c>
      <c r="H15">
        <v>72</v>
      </c>
    </row>
    <row r="16" spans="1:10" x14ac:dyDescent="0.2">
      <c r="A16" t="s">
        <v>33</v>
      </c>
      <c r="B16" t="s">
        <v>40</v>
      </c>
      <c r="C16">
        <v>2010</v>
      </c>
      <c r="D16">
        <v>1990</v>
      </c>
      <c r="E16">
        <v>1250</v>
      </c>
      <c r="F16" s="1">
        <f t="shared" ref="F16:F23" si="6">(C16* H4)+(D16*I4)+(E16*J4)</f>
        <v>2004.1779279279281</v>
      </c>
      <c r="G16" s="1">
        <f t="shared" ref="G16:G23" si="7">AVERAGE(C16:E16)</f>
        <v>1750</v>
      </c>
      <c r="H16">
        <v>2000</v>
      </c>
    </row>
    <row r="17" spans="1:8" x14ac:dyDescent="0.2">
      <c r="A17" t="s">
        <v>3</v>
      </c>
      <c r="B17" t="s">
        <v>36</v>
      </c>
      <c r="C17">
        <v>129.6</v>
      </c>
      <c r="D17">
        <v>130.5</v>
      </c>
      <c r="E17">
        <v>80</v>
      </c>
      <c r="F17" s="1">
        <f t="shared" si="6"/>
        <v>130.00466666666668</v>
      </c>
      <c r="G17" s="1">
        <f t="shared" si="7"/>
        <v>113.36666666666667</v>
      </c>
      <c r="H17">
        <v>130</v>
      </c>
    </row>
    <row r="18" spans="1:8" x14ac:dyDescent="0.2">
      <c r="A18" t="s">
        <v>4</v>
      </c>
      <c r="B18" t="s">
        <v>39</v>
      </c>
      <c r="C18">
        <v>23.4</v>
      </c>
      <c r="D18">
        <v>23.6</v>
      </c>
      <c r="E18">
        <v>18.899999999999999</v>
      </c>
      <c r="F18" s="1">
        <f t="shared" si="6"/>
        <v>23.036927621861153</v>
      </c>
      <c r="G18" s="1">
        <f t="shared" si="7"/>
        <v>21.966666666666669</v>
      </c>
      <c r="H18">
        <v>23</v>
      </c>
    </row>
    <row r="19" spans="1:8" x14ac:dyDescent="0.2">
      <c r="A19" t="s">
        <v>34</v>
      </c>
      <c r="B19" t="s">
        <v>39</v>
      </c>
      <c r="C19">
        <v>4.3</v>
      </c>
      <c r="D19">
        <v>4.93</v>
      </c>
      <c r="E19">
        <v>3.51</v>
      </c>
      <c r="F19" s="1">
        <f t="shared" si="6"/>
        <v>4.01640134529148</v>
      </c>
      <c r="G19" s="1">
        <f t="shared" si="7"/>
        <v>4.246666666666667</v>
      </c>
      <c r="H19">
        <v>3.9</v>
      </c>
    </row>
    <row r="20" spans="1:8" x14ac:dyDescent="0.2">
      <c r="A20" t="s">
        <v>5</v>
      </c>
      <c r="B20" t="s">
        <v>36</v>
      </c>
      <c r="C20">
        <v>75.599999999999994</v>
      </c>
      <c r="D20">
        <v>74.400000000000006</v>
      </c>
      <c r="E20">
        <v>60.2</v>
      </c>
      <c r="F20" s="1">
        <f t="shared" si="6"/>
        <v>66.283333333333331</v>
      </c>
      <c r="G20" s="1">
        <f t="shared" si="7"/>
        <v>70.066666666666663</v>
      </c>
      <c r="H20">
        <v>66</v>
      </c>
    </row>
    <row r="21" spans="1:8" x14ac:dyDescent="0.2">
      <c r="A21" t="s">
        <v>6</v>
      </c>
      <c r="B21" t="s">
        <v>39</v>
      </c>
      <c r="C21">
        <v>23.3</v>
      </c>
      <c r="D21">
        <v>30.1</v>
      </c>
      <c r="E21">
        <v>26.2</v>
      </c>
      <c r="F21" s="1">
        <f t="shared" si="6"/>
        <v>25.976881720430107</v>
      </c>
      <c r="G21" s="1">
        <f t="shared" si="7"/>
        <v>26.533333333333335</v>
      </c>
      <c r="H21">
        <v>26</v>
      </c>
    </row>
    <row r="22" spans="1:8" x14ac:dyDescent="0.2">
      <c r="A22" t="s">
        <v>7</v>
      </c>
      <c r="B22" t="s">
        <v>36</v>
      </c>
      <c r="C22">
        <v>86.9</v>
      </c>
      <c r="D22">
        <v>88.5</v>
      </c>
      <c r="E22">
        <v>61.3</v>
      </c>
      <c r="F22" s="1">
        <f t="shared" si="6"/>
        <v>71.316165803108817</v>
      </c>
      <c r="G22" s="1">
        <f t="shared" si="7"/>
        <v>78.899999999999991</v>
      </c>
      <c r="H22">
        <v>72.7</v>
      </c>
    </row>
    <row r="23" spans="1:8" x14ac:dyDescent="0.2">
      <c r="A23" t="s">
        <v>37</v>
      </c>
      <c r="B23" t="s">
        <v>38</v>
      </c>
      <c r="C23">
        <v>347</v>
      </c>
      <c r="D23">
        <v>400</v>
      </c>
      <c r="E23">
        <v>268</v>
      </c>
      <c r="F23" s="1">
        <f t="shared" si="6"/>
        <v>295.35717834078491</v>
      </c>
      <c r="G23" s="1">
        <f t="shared" si="7"/>
        <v>338.33333333333331</v>
      </c>
      <c r="H23">
        <v>295</v>
      </c>
    </row>
    <row r="27" spans="1:8" x14ac:dyDescent="0.2">
      <c r="A27" t="s">
        <v>27</v>
      </c>
    </row>
    <row r="28" spans="1:8" x14ac:dyDescent="0.2">
      <c r="A28" t="s">
        <v>2</v>
      </c>
      <c r="B28" t="s">
        <v>41</v>
      </c>
      <c r="C28">
        <v>2.62</v>
      </c>
    </row>
    <row r="29" spans="1:8" x14ac:dyDescent="0.2">
      <c r="A29" t="s">
        <v>33</v>
      </c>
      <c r="B29" s="2" t="s">
        <v>42</v>
      </c>
      <c r="C29">
        <v>17.600000000000001</v>
      </c>
    </row>
    <row r="30" spans="1:8" x14ac:dyDescent="0.2">
      <c r="A30" t="s">
        <v>3</v>
      </c>
      <c r="B30" t="s">
        <v>41</v>
      </c>
      <c r="C30">
        <v>2.7</v>
      </c>
    </row>
    <row r="31" spans="1:8" x14ac:dyDescent="0.2">
      <c r="A31" t="s">
        <v>4</v>
      </c>
    </row>
    <row r="32" spans="1:8" x14ac:dyDescent="0.2">
      <c r="A32" t="s">
        <v>34</v>
      </c>
      <c r="B32" t="s">
        <v>43</v>
      </c>
      <c r="C32">
        <v>84</v>
      </c>
    </row>
    <row r="33" spans="1:3" x14ac:dyDescent="0.2">
      <c r="A33" t="s">
        <v>5</v>
      </c>
      <c r="B33" t="s">
        <v>41</v>
      </c>
      <c r="C33">
        <v>1.47</v>
      </c>
    </row>
    <row r="34" spans="1:3" x14ac:dyDescent="0.2">
      <c r="A34" t="s">
        <v>6</v>
      </c>
      <c r="B34" t="s">
        <v>43</v>
      </c>
      <c r="C34">
        <v>41.7</v>
      </c>
    </row>
    <row r="35" spans="1:3" x14ac:dyDescent="0.2">
      <c r="A35" t="s">
        <v>7</v>
      </c>
      <c r="B35" t="s">
        <v>41</v>
      </c>
      <c r="C35">
        <v>2.5299999999999998</v>
      </c>
    </row>
    <row r="36" spans="1:3" x14ac:dyDescent="0.2">
      <c r="A36" t="s">
        <v>8</v>
      </c>
      <c r="B36" t="s">
        <v>42</v>
      </c>
      <c r="C3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0"/>
  <sheetViews>
    <sheetView topLeftCell="A26" zoomScale="130" zoomScaleNormal="130" workbookViewId="0">
      <selection activeCell="L6" sqref="L6"/>
    </sheetView>
  </sheetViews>
  <sheetFormatPr baseColWidth="10" defaultRowHeight="16" x14ac:dyDescent="0.2"/>
  <cols>
    <col min="2" max="2" width="18.83203125" customWidth="1"/>
    <col min="11" max="11" width="18.83203125" bestFit="1" customWidth="1"/>
    <col min="12" max="12" width="11.1640625" bestFit="1" customWidth="1"/>
  </cols>
  <sheetData>
    <row r="1" spans="1:13" x14ac:dyDescent="0.2">
      <c r="A1" t="s">
        <v>53</v>
      </c>
      <c r="H1" t="s">
        <v>30</v>
      </c>
      <c r="K1" t="s">
        <v>60</v>
      </c>
      <c r="L1" t="s">
        <v>61</v>
      </c>
    </row>
    <row r="2" spans="1:13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3" x14ac:dyDescent="0.2">
      <c r="A3" t="s">
        <v>2</v>
      </c>
      <c r="B3" t="s">
        <v>35</v>
      </c>
      <c r="C3">
        <v>146000</v>
      </c>
      <c r="D3">
        <v>11000</v>
      </c>
      <c r="E3">
        <v>389000</v>
      </c>
      <c r="F3">
        <f>SUM(C3:E3)</f>
        <v>546000</v>
      </c>
      <c r="H3">
        <f>C3/$F$3</f>
        <v>0.26739926739926739</v>
      </c>
      <c r="I3">
        <f t="shared" ref="I3:J3" si="0">D3/$F$3</f>
        <v>2.0146520146520148E-2</v>
      </c>
      <c r="J3">
        <f t="shared" si="0"/>
        <v>0.71245421245421248</v>
      </c>
      <c r="K3">
        <v>1961686</v>
      </c>
      <c r="L3">
        <f>K3*30*30*0.000247105</f>
        <v>436268.177127</v>
      </c>
      <c r="M3">
        <f>F3/L3</f>
        <v>1.2515237842824747</v>
      </c>
    </row>
    <row r="4" spans="1:13" x14ac:dyDescent="0.2">
      <c r="A4" t="s">
        <v>33</v>
      </c>
      <c r="B4" t="s">
        <v>35</v>
      </c>
      <c r="C4">
        <v>50000</v>
      </c>
      <c r="D4">
        <v>17200</v>
      </c>
      <c r="E4">
        <v>500</v>
      </c>
      <c r="F4">
        <f t="shared" ref="F4:F11" si="1">SUM(C4:E4)</f>
        <v>67700</v>
      </c>
      <c r="H4">
        <f>C4/$F4</f>
        <v>0.73855243722304287</v>
      </c>
      <c r="I4">
        <f t="shared" ref="I4:J11" si="2">D4/$F4</f>
        <v>0.25406203840472674</v>
      </c>
      <c r="J4">
        <f t="shared" si="2"/>
        <v>7.385524372230428E-3</v>
      </c>
      <c r="K4">
        <v>221120</v>
      </c>
      <c r="L4">
        <f t="shared" ref="L4:L17" si="3">K4*30*30*0.000247105</f>
        <v>49175.87184</v>
      </c>
      <c r="M4">
        <f t="shared" ref="M4:M11" si="4">F4/L4</f>
        <v>1.3766914030577968</v>
      </c>
    </row>
    <row r="5" spans="1:13" x14ac:dyDescent="0.2">
      <c r="A5" t="s">
        <v>3</v>
      </c>
      <c r="B5" t="s">
        <v>35</v>
      </c>
      <c r="C5">
        <v>21200</v>
      </c>
      <c r="D5">
        <v>33500</v>
      </c>
      <c r="E5">
        <v>5200</v>
      </c>
      <c r="F5">
        <f t="shared" si="1"/>
        <v>59900</v>
      </c>
      <c r="H5">
        <f t="shared" ref="H5:H11" si="5">C5/$F5</f>
        <v>0.35392320534223703</v>
      </c>
      <c r="I5">
        <f t="shared" si="2"/>
        <v>0.55926544240400666</v>
      </c>
      <c r="J5">
        <f t="shared" si="2"/>
        <v>8.681135225375626E-2</v>
      </c>
      <c r="K5">
        <v>869759</v>
      </c>
      <c r="L5">
        <f>K5*30*30*0.000247105</f>
        <v>193429.6179255</v>
      </c>
      <c r="M5">
        <f t="shared" si="4"/>
        <v>0.30967336151731772</v>
      </c>
    </row>
    <row r="6" spans="1:13" x14ac:dyDescent="0.2">
      <c r="A6" t="s">
        <v>4</v>
      </c>
      <c r="B6" t="s">
        <v>35</v>
      </c>
      <c r="C6">
        <v>113900</v>
      </c>
      <c r="D6">
        <v>39300</v>
      </c>
      <c r="E6">
        <v>16500</v>
      </c>
      <c r="F6">
        <f t="shared" si="1"/>
        <v>169700</v>
      </c>
      <c r="H6">
        <f t="shared" si="5"/>
        <v>0.67118444313494396</v>
      </c>
      <c r="I6">
        <f t="shared" si="2"/>
        <v>0.23158515026517384</v>
      </c>
      <c r="J6">
        <f t="shared" si="2"/>
        <v>9.7230406599882149E-2</v>
      </c>
      <c r="L6">
        <f t="shared" si="3"/>
        <v>0</v>
      </c>
    </row>
    <row r="7" spans="1:13" x14ac:dyDescent="0.2">
      <c r="A7" t="s">
        <v>34</v>
      </c>
      <c r="B7" t="s">
        <v>35</v>
      </c>
      <c r="C7">
        <v>312000</v>
      </c>
      <c r="D7">
        <v>234000</v>
      </c>
      <c r="E7">
        <v>491000</v>
      </c>
      <c r="F7">
        <f t="shared" si="1"/>
        <v>1037000</v>
      </c>
      <c r="H7">
        <f t="shared" si="5"/>
        <v>0.30086788813886212</v>
      </c>
      <c r="I7">
        <f t="shared" si="2"/>
        <v>0.22565091610414659</v>
      </c>
      <c r="J7">
        <f t="shared" si="2"/>
        <v>0.47348119575699132</v>
      </c>
      <c r="K7">
        <v>7947388</v>
      </c>
      <c r="L7">
        <f t="shared" si="3"/>
        <v>1767455.380566</v>
      </c>
      <c r="M7">
        <f t="shared" si="4"/>
        <v>0.58671919608398648</v>
      </c>
    </row>
    <row r="8" spans="1:13" x14ac:dyDescent="0.2">
      <c r="A8" t="s">
        <v>5</v>
      </c>
      <c r="B8" t="s">
        <v>35</v>
      </c>
      <c r="C8">
        <v>3000</v>
      </c>
      <c r="D8">
        <v>4000</v>
      </c>
      <c r="E8">
        <v>7000</v>
      </c>
      <c r="F8">
        <f t="shared" si="1"/>
        <v>14000</v>
      </c>
      <c r="H8">
        <f t="shared" si="5"/>
        <v>0.21428571428571427</v>
      </c>
      <c r="I8">
        <f t="shared" si="2"/>
        <v>0.2857142857142857</v>
      </c>
      <c r="J8">
        <f t="shared" si="2"/>
        <v>0.5</v>
      </c>
      <c r="K8">
        <v>32384</v>
      </c>
      <c r="L8">
        <f t="shared" si="3"/>
        <v>7202.0234880000007</v>
      </c>
      <c r="M8">
        <f t="shared" si="4"/>
        <v>1.9438981313136199</v>
      </c>
    </row>
    <row r="9" spans="1:13" x14ac:dyDescent="0.2">
      <c r="A9" t="s">
        <v>6</v>
      </c>
      <c r="B9" t="s">
        <v>35</v>
      </c>
      <c r="C9">
        <v>107000</v>
      </c>
      <c r="D9">
        <v>28000</v>
      </c>
      <c r="E9">
        <v>32000</v>
      </c>
      <c r="F9">
        <f t="shared" si="1"/>
        <v>167000</v>
      </c>
      <c r="H9">
        <f t="shared" si="5"/>
        <v>0.64071856287425155</v>
      </c>
      <c r="I9">
        <f t="shared" si="2"/>
        <v>0.16766467065868262</v>
      </c>
      <c r="J9">
        <f t="shared" si="2"/>
        <v>0.19161676646706588</v>
      </c>
      <c r="K9">
        <v>548015</v>
      </c>
      <c r="L9">
        <f t="shared" si="3"/>
        <v>121875.52191750001</v>
      </c>
      <c r="M9">
        <f t="shared" si="4"/>
        <v>1.3702505422954878</v>
      </c>
    </row>
    <row r="10" spans="1:13" x14ac:dyDescent="0.2">
      <c r="A10" t="s">
        <v>7</v>
      </c>
      <c r="B10" t="s">
        <v>35</v>
      </c>
      <c r="C10">
        <v>193000</v>
      </c>
      <c r="D10">
        <v>69000</v>
      </c>
      <c r="E10">
        <v>518000</v>
      </c>
      <c r="F10">
        <f t="shared" si="1"/>
        <v>780000</v>
      </c>
      <c r="H10">
        <f t="shared" si="5"/>
        <v>0.24743589743589745</v>
      </c>
      <c r="I10">
        <f t="shared" si="2"/>
        <v>8.8461538461538466E-2</v>
      </c>
      <c r="J10">
        <f t="shared" si="2"/>
        <v>0.66410256410256407</v>
      </c>
      <c r="K10">
        <f>715051+3917492</f>
        <v>4632543</v>
      </c>
      <c r="L10">
        <f t="shared" si="3"/>
        <v>1030252.0842135</v>
      </c>
      <c r="M10">
        <f t="shared" si="4"/>
        <v>0.75709626017932896</v>
      </c>
    </row>
    <row r="11" spans="1:13" x14ac:dyDescent="0.2">
      <c r="A11" t="s">
        <v>8</v>
      </c>
      <c r="B11" t="s">
        <v>35</v>
      </c>
      <c r="C11">
        <v>81400</v>
      </c>
      <c r="D11">
        <v>21000</v>
      </c>
      <c r="E11">
        <v>220400</v>
      </c>
      <c r="F11">
        <f t="shared" si="1"/>
        <v>322800</v>
      </c>
      <c r="H11">
        <f t="shared" si="5"/>
        <v>0.25216852540272616</v>
      </c>
      <c r="I11">
        <f t="shared" si="2"/>
        <v>6.5055762081784388E-2</v>
      </c>
      <c r="J11">
        <f t="shared" si="2"/>
        <v>0.68277571251548952</v>
      </c>
      <c r="K11">
        <v>1458520</v>
      </c>
      <c r="L11">
        <f t="shared" si="3"/>
        <v>324366.82614000002</v>
      </c>
      <c r="M11">
        <f t="shared" si="4"/>
        <v>0.99516958574757652</v>
      </c>
    </row>
    <row r="12" spans="1:13" x14ac:dyDescent="0.2">
      <c r="A12" t="s">
        <v>45</v>
      </c>
      <c r="C12">
        <v>2000</v>
      </c>
      <c r="J12" t="s">
        <v>54</v>
      </c>
      <c r="K12">
        <v>502970</v>
      </c>
      <c r="L12">
        <f t="shared" si="3"/>
        <v>111857.76166500001</v>
      </c>
    </row>
    <row r="13" spans="1:13" x14ac:dyDescent="0.2">
      <c r="A13" t="s">
        <v>46</v>
      </c>
      <c r="C13">
        <v>11700</v>
      </c>
      <c r="J13" t="s">
        <v>55</v>
      </c>
      <c r="K13">
        <v>12573</v>
      </c>
      <c r="L13">
        <f t="shared" si="3"/>
        <v>2796.1660485000002</v>
      </c>
    </row>
    <row r="14" spans="1:13" x14ac:dyDescent="0.2">
      <c r="A14" t="s">
        <v>47</v>
      </c>
      <c r="C14">
        <v>23900</v>
      </c>
      <c r="D14">
        <v>5100</v>
      </c>
      <c r="J14" t="s">
        <v>56</v>
      </c>
      <c r="K14">
        <v>26903</v>
      </c>
      <c r="L14">
        <f t="shared" si="3"/>
        <v>5983.0792335000006</v>
      </c>
    </row>
    <row r="15" spans="1:13" x14ac:dyDescent="0.2">
      <c r="A15" t="s">
        <v>48</v>
      </c>
      <c r="C15">
        <v>7400</v>
      </c>
      <c r="D15">
        <v>600</v>
      </c>
      <c r="J15" t="s">
        <v>57</v>
      </c>
      <c r="K15">
        <v>41978</v>
      </c>
      <c r="L15">
        <f t="shared" si="3"/>
        <v>9335.6763210000008</v>
      </c>
    </row>
    <row r="16" spans="1:13" x14ac:dyDescent="0.2">
      <c r="A16" t="s">
        <v>49</v>
      </c>
      <c r="C16">
        <v>0</v>
      </c>
      <c r="D16">
        <v>3500</v>
      </c>
      <c r="J16" t="s">
        <v>58</v>
      </c>
      <c r="K16">
        <v>7627</v>
      </c>
      <c r="L16">
        <f t="shared" si="3"/>
        <v>1696.2028515000002</v>
      </c>
    </row>
    <row r="17" spans="1:12" x14ac:dyDescent="0.2">
      <c r="C17">
        <f>SUM(C12:C16)</f>
        <v>45000</v>
      </c>
      <c r="J17" t="s">
        <v>59</v>
      </c>
      <c r="K17">
        <v>102378650</v>
      </c>
      <c r="L17">
        <f t="shared" si="3"/>
        <v>22768448.677425001</v>
      </c>
    </row>
    <row r="18" spans="1:12" x14ac:dyDescent="0.2">
      <c r="A18" t="s">
        <v>15</v>
      </c>
      <c r="F18" t="s">
        <v>31</v>
      </c>
      <c r="G18" t="s">
        <v>23</v>
      </c>
      <c r="H18" t="s">
        <v>24</v>
      </c>
    </row>
    <row r="19" spans="1:12" x14ac:dyDescent="0.2">
      <c r="A19" t="s">
        <v>2</v>
      </c>
      <c r="B19" t="s">
        <v>36</v>
      </c>
      <c r="C19">
        <v>104.1</v>
      </c>
      <c r="D19">
        <v>88.2</v>
      </c>
      <c r="E19">
        <v>84.2</v>
      </c>
      <c r="F19">
        <f>(C19*H3)+(D19*I3)+(E19*J3)</f>
        <v>89.601831501831498</v>
      </c>
      <c r="G19">
        <f>AVERAGE(C19:E19)</f>
        <v>92.166666666666671</v>
      </c>
    </row>
    <row r="20" spans="1:12" x14ac:dyDescent="0.2">
      <c r="A20" t="s">
        <v>33</v>
      </c>
      <c r="B20" t="s">
        <v>40</v>
      </c>
      <c r="C20">
        <v>2270</v>
      </c>
      <c r="D20">
        <v>2290</v>
      </c>
      <c r="E20">
        <v>1600</v>
      </c>
      <c r="F20">
        <f t="shared" ref="F20:F27" si="6">(C20*H4)+(D20*I4)+(E20*J4)</f>
        <v>2270.1329394386999</v>
      </c>
      <c r="G20">
        <f t="shared" ref="G20:G27" si="7">AVERAGE(C20:E20)</f>
        <v>2053.3333333333335</v>
      </c>
    </row>
    <row r="21" spans="1:12" x14ac:dyDescent="0.2">
      <c r="A21" t="s">
        <v>3</v>
      </c>
      <c r="B21" t="s">
        <v>36</v>
      </c>
      <c r="C21">
        <v>154.19999999999999</v>
      </c>
      <c r="D21">
        <v>181.8</v>
      </c>
      <c r="E21">
        <v>160</v>
      </c>
      <c r="F21">
        <f t="shared" si="6"/>
        <v>170.13923205342238</v>
      </c>
      <c r="G21">
        <f t="shared" si="7"/>
        <v>165.33333333333334</v>
      </c>
    </row>
    <row r="22" spans="1:12" x14ac:dyDescent="0.2">
      <c r="A22" t="s">
        <v>4</v>
      </c>
      <c r="B22" t="s">
        <v>39</v>
      </c>
      <c r="C22">
        <v>26.4</v>
      </c>
      <c r="D22">
        <v>28</v>
      </c>
      <c r="E22">
        <v>23.5</v>
      </c>
      <c r="F22">
        <f t="shared" si="6"/>
        <v>26.488568061284617</v>
      </c>
      <c r="G22">
        <f t="shared" si="7"/>
        <v>25.966666666666669</v>
      </c>
    </row>
    <row r="23" spans="1:12" x14ac:dyDescent="0.2">
      <c r="A23" t="s">
        <v>34</v>
      </c>
      <c r="B23" t="s">
        <v>39</v>
      </c>
      <c r="C23">
        <v>4.76</v>
      </c>
      <c r="D23">
        <v>5.0599999999999996</v>
      </c>
      <c r="E23">
        <v>3.7</v>
      </c>
      <c r="F23">
        <f t="shared" si="6"/>
        <v>4.3258052073288331</v>
      </c>
      <c r="G23">
        <f t="shared" si="7"/>
        <v>4.5066666666666668</v>
      </c>
    </row>
    <row r="24" spans="1:12" x14ac:dyDescent="0.2">
      <c r="A24" t="s">
        <v>5</v>
      </c>
      <c r="B24" t="s">
        <v>36</v>
      </c>
      <c r="C24">
        <v>90</v>
      </c>
      <c r="D24">
        <v>70</v>
      </c>
      <c r="E24">
        <v>61.4</v>
      </c>
      <c r="F24">
        <f t="shared" si="6"/>
        <v>69.98571428571428</v>
      </c>
      <c r="G24">
        <f t="shared" si="7"/>
        <v>73.8</v>
      </c>
    </row>
    <row r="25" spans="1:12" x14ac:dyDescent="0.2">
      <c r="A25" t="s">
        <v>6</v>
      </c>
      <c r="B25" t="s">
        <v>39</v>
      </c>
      <c r="C25">
        <v>26</v>
      </c>
      <c r="D25">
        <v>28.6</v>
      </c>
      <c r="E25">
        <v>29.6</v>
      </c>
      <c r="F25">
        <f t="shared" si="6"/>
        <v>27.125748502994014</v>
      </c>
      <c r="G25">
        <f t="shared" si="7"/>
        <v>28.066666666666666</v>
      </c>
    </row>
    <row r="26" spans="1:12" x14ac:dyDescent="0.2">
      <c r="A26" t="s">
        <v>7</v>
      </c>
      <c r="B26" t="s">
        <v>36</v>
      </c>
      <c r="C26">
        <v>104.2</v>
      </c>
      <c r="D26">
        <v>104.1</v>
      </c>
      <c r="E26">
        <v>81.099999999999994</v>
      </c>
      <c r="F26">
        <f t="shared" si="6"/>
        <v>88.850384615384613</v>
      </c>
      <c r="G26">
        <f t="shared" si="7"/>
        <v>96.466666666666654</v>
      </c>
    </row>
    <row r="27" spans="1:12" x14ac:dyDescent="0.2">
      <c r="A27" t="s">
        <v>37</v>
      </c>
      <c r="B27" t="s">
        <v>38</v>
      </c>
      <c r="C27">
        <v>410</v>
      </c>
      <c r="D27">
        <v>470</v>
      </c>
      <c r="E27">
        <v>340</v>
      </c>
      <c r="F27">
        <f t="shared" si="6"/>
        <v>366.1090458488228</v>
      </c>
      <c r="G27">
        <f t="shared" si="7"/>
        <v>406.66666666666669</v>
      </c>
    </row>
    <row r="28" spans="1:12" x14ac:dyDescent="0.2">
      <c r="A28" t="s">
        <v>45</v>
      </c>
      <c r="B28" t="s">
        <v>40</v>
      </c>
      <c r="C28">
        <v>2430</v>
      </c>
    </row>
    <row r="29" spans="1:12" x14ac:dyDescent="0.2">
      <c r="A29" t="s">
        <v>46</v>
      </c>
      <c r="B29" t="s">
        <v>40</v>
      </c>
      <c r="C29">
        <v>2260</v>
      </c>
    </row>
    <row r="30" spans="1:12" x14ac:dyDescent="0.2">
      <c r="A30" t="s">
        <v>47</v>
      </c>
      <c r="B30" t="s">
        <v>40</v>
      </c>
      <c r="C30">
        <v>2230</v>
      </c>
      <c r="D30">
        <v>2430</v>
      </c>
    </row>
    <row r="31" spans="1:12" x14ac:dyDescent="0.2">
      <c r="A31" t="s">
        <v>48</v>
      </c>
      <c r="B31" t="s">
        <v>40</v>
      </c>
      <c r="C31">
        <v>2430</v>
      </c>
      <c r="D31">
        <v>2170</v>
      </c>
    </row>
    <row r="32" spans="1:12" x14ac:dyDescent="0.2">
      <c r="A32" t="s">
        <v>49</v>
      </c>
      <c r="B32" t="s">
        <v>40</v>
      </c>
      <c r="D32">
        <v>2130</v>
      </c>
    </row>
    <row r="35" spans="1:3" x14ac:dyDescent="0.2">
      <c r="A35" t="s">
        <v>27</v>
      </c>
    </row>
    <row r="36" spans="1:3" x14ac:dyDescent="0.2">
      <c r="A36" t="s">
        <v>2</v>
      </c>
      <c r="C36">
        <v>3.01</v>
      </c>
    </row>
    <row r="37" spans="1:3" x14ac:dyDescent="0.2">
      <c r="A37" t="s">
        <v>33</v>
      </c>
      <c r="C37" t="s">
        <v>52</v>
      </c>
    </row>
    <row r="38" spans="1:3" x14ac:dyDescent="0.2">
      <c r="A38" t="s">
        <v>3</v>
      </c>
      <c r="C38">
        <v>2.68</v>
      </c>
    </row>
    <row r="39" spans="1:3" x14ac:dyDescent="0.2">
      <c r="A39" t="s">
        <v>4</v>
      </c>
    </row>
    <row r="40" spans="1:3" x14ac:dyDescent="0.2">
      <c r="A40" t="s">
        <v>34</v>
      </c>
      <c r="C40">
        <v>112</v>
      </c>
    </row>
    <row r="41" spans="1:3" x14ac:dyDescent="0.2">
      <c r="A41" t="s">
        <v>5</v>
      </c>
      <c r="C41">
        <v>1.3</v>
      </c>
    </row>
    <row r="42" spans="1:3" x14ac:dyDescent="0.2">
      <c r="A42" t="s">
        <v>6</v>
      </c>
      <c r="C42">
        <v>44.4</v>
      </c>
    </row>
    <row r="43" spans="1:3" x14ac:dyDescent="0.2">
      <c r="A43" t="s">
        <v>7</v>
      </c>
      <c r="C43">
        <v>3.31</v>
      </c>
    </row>
    <row r="44" spans="1:3" x14ac:dyDescent="0.2">
      <c r="A44" t="s">
        <v>37</v>
      </c>
      <c r="C44">
        <v>5.7</v>
      </c>
    </row>
    <row r="45" spans="1:3" x14ac:dyDescent="0.2">
      <c r="A45" t="s">
        <v>45</v>
      </c>
    </row>
    <row r="46" spans="1:3" x14ac:dyDescent="0.2">
      <c r="A46" t="s">
        <v>46</v>
      </c>
    </row>
    <row r="47" spans="1:3" x14ac:dyDescent="0.2">
      <c r="A47" t="s">
        <v>47</v>
      </c>
    </row>
    <row r="48" spans="1:3" x14ac:dyDescent="0.2">
      <c r="A48" t="s">
        <v>48</v>
      </c>
    </row>
    <row r="49" spans="1:3" x14ac:dyDescent="0.2">
      <c r="A49" t="s">
        <v>49</v>
      </c>
    </row>
    <row r="50" spans="1:3" x14ac:dyDescent="0.2">
      <c r="A50" t="s">
        <v>50</v>
      </c>
      <c r="B50" t="s">
        <v>51</v>
      </c>
      <c r="C50">
        <v>20.6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4"/>
  <sheetViews>
    <sheetView zoomScale="130" zoomScaleNormal="130" workbookViewId="0">
      <selection activeCell="F24" sqref="F24"/>
    </sheetView>
  </sheetViews>
  <sheetFormatPr baseColWidth="10" defaultRowHeight="16" x14ac:dyDescent="0.2"/>
  <cols>
    <col min="1" max="1" width="32.5" bestFit="1" customWidth="1"/>
    <col min="2" max="2" width="18.5" customWidth="1"/>
    <col min="4" max="4" width="11.6640625" bestFit="1" customWidth="1"/>
    <col min="9" max="9" width="17.5" bestFit="1" customWidth="1"/>
  </cols>
  <sheetData>
    <row r="1" spans="1:12" x14ac:dyDescent="0.2">
      <c r="A1" t="s">
        <v>91</v>
      </c>
      <c r="H1" t="s">
        <v>30</v>
      </c>
    </row>
    <row r="2" spans="1:12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2" x14ac:dyDescent="0.2">
      <c r="A3" t="s">
        <v>2</v>
      </c>
      <c r="B3" t="s">
        <v>35</v>
      </c>
      <c r="C3">
        <v>129000</v>
      </c>
      <c r="D3">
        <v>6000</v>
      </c>
      <c r="E3">
        <v>304000</v>
      </c>
      <c r="F3">
        <f>SUM(C3:E3)</f>
        <v>439000</v>
      </c>
      <c r="G3">
        <v>470000</v>
      </c>
      <c r="H3">
        <f>C3/$F3</f>
        <v>0.29384965831435078</v>
      </c>
      <c r="I3">
        <f t="shared" ref="I3:J3" si="0">D3/$F3</f>
        <v>1.366742596810934E-2</v>
      </c>
      <c r="J3">
        <f t="shared" si="0"/>
        <v>0.69248291571753984</v>
      </c>
      <c r="K3" t="s">
        <v>126</v>
      </c>
    </row>
    <row r="4" spans="1:12" x14ac:dyDescent="0.2">
      <c r="A4" t="s">
        <v>33</v>
      </c>
      <c r="B4" t="s">
        <v>35</v>
      </c>
      <c r="C4">
        <v>56700</v>
      </c>
      <c r="D4">
        <v>24400</v>
      </c>
      <c r="E4">
        <v>500</v>
      </c>
      <c r="F4">
        <f t="shared" ref="F4:F10" si="1">SUM(C4:E4)</f>
        <v>81600</v>
      </c>
      <c r="G4">
        <v>134000</v>
      </c>
      <c r="H4">
        <f t="shared" ref="H4:H10" si="2">C4/$F4</f>
        <v>0.69485294117647056</v>
      </c>
      <c r="I4">
        <f t="shared" ref="I4:I10" si="3">D4/$F4</f>
        <v>0.29901960784313725</v>
      </c>
      <c r="J4">
        <f t="shared" ref="J4:J10" si="4">E4/$F4</f>
        <v>6.1274509803921568E-3</v>
      </c>
      <c r="K4" t="s">
        <v>96</v>
      </c>
      <c r="L4" s="3">
        <v>332526</v>
      </c>
    </row>
    <row r="5" spans="1:12" x14ac:dyDescent="0.2">
      <c r="A5" t="s">
        <v>34</v>
      </c>
      <c r="B5" t="s">
        <v>35</v>
      </c>
      <c r="C5">
        <v>339000</v>
      </c>
      <c r="D5">
        <v>210000</v>
      </c>
      <c r="E5">
        <v>519000</v>
      </c>
      <c r="F5">
        <f t="shared" si="1"/>
        <v>1068000</v>
      </c>
      <c r="G5">
        <f>C5+D5+E5+62000</f>
        <v>1130000</v>
      </c>
      <c r="H5">
        <f t="shared" si="2"/>
        <v>0.31741573033707865</v>
      </c>
      <c r="I5">
        <f t="shared" si="3"/>
        <v>0.19662921348314608</v>
      </c>
      <c r="J5">
        <f t="shared" si="4"/>
        <v>0.4859550561797753</v>
      </c>
    </row>
    <row r="6" spans="1:12" x14ac:dyDescent="0.2">
      <c r="A6" t="s">
        <v>5</v>
      </c>
      <c r="B6" t="s">
        <v>35</v>
      </c>
      <c r="E6">
        <v>9000</v>
      </c>
      <c r="F6">
        <f t="shared" si="1"/>
        <v>9000</v>
      </c>
      <c r="G6">
        <v>20000</v>
      </c>
      <c r="H6">
        <f t="shared" si="2"/>
        <v>0</v>
      </c>
      <c r="I6">
        <f t="shared" si="3"/>
        <v>0</v>
      </c>
      <c r="J6">
        <f t="shared" si="4"/>
        <v>1</v>
      </c>
    </row>
    <row r="7" spans="1:12" x14ac:dyDescent="0.2">
      <c r="A7" t="s">
        <v>6</v>
      </c>
      <c r="B7" t="s">
        <v>35</v>
      </c>
      <c r="C7">
        <v>104900</v>
      </c>
      <c r="D7">
        <v>26900</v>
      </c>
      <c r="E7">
        <v>38200</v>
      </c>
      <c r="F7">
        <f t="shared" si="1"/>
        <v>170000</v>
      </c>
      <c r="G7">
        <v>170000</v>
      </c>
      <c r="H7">
        <f t="shared" si="2"/>
        <v>0.61705882352941177</v>
      </c>
      <c r="I7">
        <f t="shared" si="3"/>
        <v>0.15823529411764706</v>
      </c>
      <c r="J7">
        <f t="shared" si="4"/>
        <v>0.22470588235294117</v>
      </c>
    </row>
    <row r="8" spans="1:12" x14ac:dyDescent="0.2">
      <c r="A8" t="s">
        <v>92</v>
      </c>
      <c r="B8" t="s">
        <v>35</v>
      </c>
      <c r="C8">
        <v>69000</v>
      </c>
      <c r="D8">
        <v>18500</v>
      </c>
      <c r="E8">
        <v>407000</v>
      </c>
      <c r="F8">
        <f t="shared" si="1"/>
        <v>494500</v>
      </c>
      <c r="G8">
        <v>615000</v>
      </c>
      <c r="H8">
        <f t="shared" si="2"/>
        <v>0.13953488372093023</v>
      </c>
      <c r="I8">
        <f t="shared" si="3"/>
        <v>3.7411526794742161E-2</v>
      </c>
      <c r="J8">
        <f t="shared" si="4"/>
        <v>0.82305358948432761</v>
      </c>
    </row>
    <row r="9" spans="1:12" x14ac:dyDescent="0.2">
      <c r="A9" t="s">
        <v>93</v>
      </c>
      <c r="B9" t="s">
        <v>35</v>
      </c>
      <c r="C9">
        <v>92000</v>
      </c>
      <c r="D9">
        <v>58000</v>
      </c>
      <c r="E9">
        <v>224000</v>
      </c>
      <c r="F9">
        <f t="shared" si="1"/>
        <v>374000</v>
      </c>
      <c r="G9">
        <v>710000</v>
      </c>
      <c r="H9">
        <f t="shared" si="2"/>
        <v>0.24598930481283424</v>
      </c>
      <c r="I9">
        <f t="shared" si="3"/>
        <v>0.15508021390374332</v>
      </c>
      <c r="J9">
        <f t="shared" si="4"/>
        <v>0.59893048128342241</v>
      </c>
    </row>
    <row r="10" spans="1:12" x14ac:dyDescent="0.2">
      <c r="A10" t="s">
        <v>8</v>
      </c>
      <c r="C10">
        <v>71000</v>
      </c>
      <c r="D10">
        <v>16000</v>
      </c>
      <c r="E10">
        <v>207000</v>
      </c>
      <c r="F10">
        <f t="shared" si="1"/>
        <v>294000</v>
      </c>
      <c r="G10">
        <v>294000</v>
      </c>
      <c r="H10">
        <f t="shared" si="2"/>
        <v>0.24149659863945577</v>
      </c>
      <c r="I10">
        <f t="shared" si="3"/>
        <v>5.4421768707482991E-2</v>
      </c>
      <c r="J10">
        <f t="shared" si="4"/>
        <v>0.70408163265306123</v>
      </c>
    </row>
    <row r="11" spans="1:12" x14ac:dyDescent="0.2">
      <c r="H11" t="s">
        <v>125</v>
      </c>
    </row>
    <row r="12" spans="1:12" x14ac:dyDescent="0.2">
      <c r="A12" t="s">
        <v>100</v>
      </c>
      <c r="H12" t="s">
        <v>100</v>
      </c>
      <c r="I12" s="1">
        <f>984*30*30*0.000247105</f>
        <v>218.83618800000002</v>
      </c>
      <c r="J12" s="1"/>
    </row>
    <row r="13" spans="1:12" x14ac:dyDescent="0.2">
      <c r="A13" t="s">
        <v>102</v>
      </c>
      <c r="G13">
        <v>2331</v>
      </c>
      <c r="H13" t="s">
        <v>102</v>
      </c>
      <c r="I13" s="1">
        <f>13255*30*30*0.000247105</f>
        <v>2947.8390975000002</v>
      </c>
      <c r="J13" s="1">
        <f>G13/I13</f>
        <v>0.79074872233592108</v>
      </c>
    </row>
    <row r="14" spans="1:12" x14ac:dyDescent="0.2">
      <c r="A14" t="s">
        <v>99</v>
      </c>
      <c r="G14">
        <f>15500+1000</f>
        <v>16500</v>
      </c>
      <c r="H14" t="s">
        <v>99</v>
      </c>
      <c r="I14" s="1">
        <f>1393*30*30*0.000247105</f>
        <v>309.79553850000002</v>
      </c>
      <c r="J14" s="1">
        <f t="shared" ref="J14:J16" si="5">G14/I14</f>
        <v>53.260934873017867</v>
      </c>
    </row>
    <row r="15" spans="1:12" x14ac:dyDescent="0.2">
      <c r="A15" t="s">
        <v>98</v>
      </c>
      <c r="G15">
        <v>9000</v>
      </c>
      <c r="H15" t="s">
        <v>98</v>
      </c>
      <c r="I15" s="1">
        <f>119538*30*30*0.000247105</f>
        <v>26584.593741000001</v>
      </c>
      <c r="J15" s="1">
        <f t="shared" si="5"/>
        <v>0.33854194228741513</v>
      </c>
    </row>
    <row r="16" spans="1:12" x14ac:dyDescent="0.2">
      <c r="A16" t="s">
        <v>97</v>
      </c>
      <c r="G16">
        <v>30000</v>
      </c>
      <c r="H16" t="s">
        <v>97</v>
      </c>
      <c r="I16" s="1">
        <f>53371*30*30*0.000247105</f>
        <v>11869.416859500001</v>
      </c>
      <c r="J16" s="1">
        <f t="shared" si="5"/>
        <v>2.5275041187881699</v>
      </c>
    </row>
    <row r="17" spans="1:10" x14ac:dyDescent="0.2">
      <c r="A17" t="s">
        <v>103</v>
      </c>
      <c r="H17" t="s">
        <v>103</v>
      </c>
      <c r="I17" s="1">
        <f>11915*30*30*0.000247105</f>
        <v>2649.8304674999999</v>
      </c>
      <c r="J17" s="1"/>
    </row>
    <row r="18" spans="1:10" x14ac:dyDescent="0.2">
      <c r="A18" t="s">
        <v>101</v>
      </c>
      <c r="H18" t="s">
        <v>101</v>
      </c>
      <c r="I18" s="1">
        <f>15166*30*30*0.000247105</f>
        <v>3372.8349870000002</v>
      </c>
      <c r="J18" s="1"/>
    </row>
    <row r="22" spans="1:10" x14ac:dyDescent="0.2">
      <c r="A22" t="s">
        <v>95</v>
      </c>
      <c r="C22" t="s">
        <v>11</v>
      </c>
      <c r="D22" t="s">
        <v>12</v>
      </c>
      <c r="E22" t="s">
        <v>13</v>
      </c>
      <c r="G22" t="s">
        <v>106</v>
      </c>
    </row>
    <row r="23" spans="1:10" x14ac:dyDescent="0.2">
      <c r="A23" t="s">
        <v>2</v>
      </c>
      <c r="B23" t="s">
        <v>94</v>
      </c>
      <c r="C23">
        <v>118.3</v>
      </c>
      <c r="D23">
        <v>91.7</v>
      </c>
      <c r="E23">
        <v>83.8</v>
      </c>
      <c r="F23">
        <f>(C3*H3)+(D3*I3)+(E3*J3)</f>
        <v>248503.41685649203</v>
      </c>
    </row>
    <row r="24" spans="1:10" x14ac:dyDescent="0.2">
      <c r="A24" t="s">
        <v>33</v>
      </c>
      <c r="B24" t="s">
        <v>40</v>
      </c>
      <c r="C24">
        <v>2290</v>
      </c>
      <c r="D24">
        <v>2390</v>
      </c>
      <c r="E24">
        <v>1600</v>
      </c>
      <c r="F24">
        <f t="shared" ref="F23:F30" si="6">(C4*H4)+(D4*I4)+(E4*J4)</f>
        <v>46697.303921568629</v>
      </c>
      <c r="G24">
        <v>1900</v>
      </c>
    </row>
    <row r="25" spans="1:10" x14ac:dyDescent="0.2">
      <c r="A25" t="s">
        <v>34</v>
      </c>
      <c r="B25" t="s">
        <v>17</v>
      </c>
      <c r="C25">
        <v>4.7</v>
      </c>
      <c r="D25">
        <v>5.05</v>
      </c>
      <c r="E25">
        <v>3.75</v>
      </c>
      <c r="F25">
        <f t="shared" si="6"/>
        <v>401106.74157303374</v>
      </c>
    </row>
    <row r="26" spans="1:10" x14ac:dyDescent="0.2">
      <c r="A26" t="s">
        <v>5</v>
      </c>
      <c r="B26" t="s">
        <v>94</v>
      </c>
      <c r="E26">
        <v>82.2</v>
      </c>
      <c r="F26">
        <f t="shared" si="6"/>
        <v>9000</v>
      </c>
    </row>
    <row r="27" spans="1:10" x14ac:dyDescent="0.2">
      <c r="A27" t="s">
        <v>6</v>
      </c>
      <c r="B27" t="s">
        <v>17</v>
      </c>
      <c r="C27">
        <v>29.8</v>
      </c>
      <c r="D27">
        <v>36.4</v>
      </c>
      <c r="E27">
        <v>30.4</v>
      </c>
      <c r="F27">
        <f t="shared" si="6"/>
        <v>77569.76470588235</v>
      </c>
    </row>
    <row r="28" spans="1:10" x14ac:dyDescent="0.2">
      <c r="A28" t="s">
        <v>92</v>
      </c>
      <c r="B28" t="s">
        <v>94</v>
      </c>
      <c r="C28">
        <v>97.5</v>
      </c>
      <c r="D28">
        <v>94.1</v>
      </c>
      <c r="E28">
        <v>81.599999999999994</v>
      </c>
      <c r="F28">
        <f t="shared" si="6"/>
        <v>345302.83114256826</v>
      </c>
    </row>
    <row r="29" spans="1:10" x14ac:dyDescent="0.2">
      <c r="A29" t="s">
        <v>93</v>
      </c>
      <c r="B29" t="s">
        <v>94</v>
      </c>
      <c r="C29">
        <v>102</v>
      </c>
      <c r="D29">
        <v>109</v>
      </c>
      <c r="E29">
        <v>77.7</v>
      </c>
      <c r="F29">
        <f t="shared" si="6"/>
        <v>165786.09625668448</v>
      </c>
    </row>
    <row r="30" spans="1:10" x14ac:dyDescent="0.2">
      <c r="A30" t="s">
        <v>8</v>
      </c>
      <c r="B30" t="s">
        <v>16</v>
      </c>
      <c r="C30">
        <v>428</v>
      </c>
      <c r="D30">
        <v>545</v>
      </c>
      <c r="E30">
        <v>357</v>
      </c>
      <c r="F30">
        <f t="shared" si="6"/>
        <v>163761.90476190476</v>
      </c>
      <c r="G30">
        <v>384</v>
      </c>
    </row>
    <row r="32" spans="1:10" x14ac:dyDescent="0.2">
      <c r="A32" t="s">
        <v>100</v>
      </c>
      <c r="B32" t="s">
        <v>52</v>
      </c>
    </row>
    <row r="33" spans="1:8" x14ac:dyDescent="0.2">
      <c r="A33" t="s">
        <v>102</v>
      </c>
      <c r="B33" t="s">
        <v>40</v>
      </c>
      <c r="C33">
        <v>2129</v>
      </c>
      <c r="G33" t="s">
        <v>104</v>
      </c>
      <c r="H33">
        <f>15500/G14</f>
        <v>0.93939393939393945</v>
      </c>
    </row>
    <row r="34" spans="1:8" x14ac:dyDescent="0.2">
      <c r="A34" t="s">
        <v>99</v>
      </c>
      <c r="B34" t="s">
        <v>40</v>
      </c>
      <c r="C34">
        <v>101</v>
      </c>
      <c r="G34" t="s">
        <v>105</v>
      </c>
      <c r="H34">
        <f>1000/G14</f>
        <v>6.0606060606060608E-2</v>
      </c>
    </row>
    <row r="35" spans="1:8" x14ac:dyDescent="0.2">
      <c r="A35" t="s">
        <v>98</v>
      </c>
      <c r="B35" t="s">
        <v>16</v>
      </c>
      <c r="C35">
        <v>760</v>
      </c>
    </row>
    <row r="36" spans="1:8" x14ac:dyDescent="0.2">
      <c r="A36" t="s">
        <v>97</v>
      </c>
      <c r="B36" t="s">
        <v>40</v>
      </c>
      <c r="C36">
        <v>1600</v>
      </c>
    </row>
    <row r="37" spans="1:8" x14ac:dyDescent="0.2">
      <c r="A37" t="s">
        <v>103</v>
      </c>
      <c r="B37" t="s">
        <v>52</v>
      </c>
    </row>
    <row r="38" spans="1:8" x14ac:dyDescent="0.2">
      <c r="A38" t="s">
        <v>101</v>
      </c>
    </row>
    <row r="43" spans="1:8" x14ac:dyDescent="0.2">
      <c r="A43" t="s">
        <v>27</v>
      </c>
    </row>
    <row r="44" spans="1:8" x14ac:dyDescent="0.2">
      <c r="A44" t="s">
        <v>2</v>
      </c>
      <c r="B44" t="s">
        <v>94</v>
      </c>
      <c r="C44">
        <v>92</v>
      </c>
    </row>
    <row r="45" spans="1:8" x14ac:dyDescent="0.2">
      <c r="A45" t="s">
        <v>124</v>
      </c>
      <c r="B45" t="s">
        <v>26</v>
      </c>
      <c r="C45">
        <v>27.2</v>
      </c>
    </row>
    <row r="46" spans="1:8" x14ac:dyDescent="0.2">
      <c r="A46" t="s">
        <v>34</v>
      </c>
      <c r="B46" t="s">
        <v>29</v>
      </c>
      <c r="C46">
        <v>127</v>
      </c>
    </row>
    <row r="47" spans="1:8" x14ac:dyDescent="0.2">
      <c r="A47" t="s">
        <v>5</v>
      </c>
      <c r="B47" t="s">
        <v>25</v>
      </c>
      <c r="C47">
        <v>2</v>
      </c>
    </row>
    <row r="48" spans="1:8" x14ac:dyDescent="0.2">
      <c r="A48" t="s">
        <v>6</v>
      </c>
      <c r="B48" t="s">
        <v>29</v>
      </c>
      <c r="C48">
        <v>57.3</v>
      </c>
    </row>
    <row r="49" spans="1:9" x14ac:dyDescent="0.2">
      <c r="A49" t="s">
        <v>92</v>
      </c>
      <c r="B49" t="s">
        <v>25</v>
      </c>
      <c r="C49">
        <v>6.33</v>
      </c>
    </row>
    <row r="50" spans="1:9" x14ac:dyDescent="0.2">
      <c r="A50" t="s">
        <v>93</v>
      </c>
      <c r="B50" t="s">
        <v>25</v>
      </c>
      <c r="C50">
        <v>5.68</v>
      </c>
    </row>
    <row r="51" spans="1:9" x14ac:dyDescent="0.2">
      <c r="A51" t="s">
        <v>107</v>
      </c>
      <c r="B51" t="s">
        <v>26</v>
      </c>
      <c r="C51">
        <v>8.1</v>
      </c>
    </row>
    <row r="52" spans="1:9" x14ac:dyDescent="0.2">
      <c r="A52" t="s">
        <v>100</v>
      </c>
      <c r="C52" t="s">
        <v>52</v>
      </c>
    </row>
    <row r="53" spans="1:9" x14ac:dyDescent="0.2">
      <c r="A53" t="s">
        <v>102</v>
      </c>
      <c r="B53" t="s">
        <v>112</v>
      </c>
      <c r="C53">
        <v>3.89</v>
      </c>
    </row>
    <row r="54" spans="1:9" x14ac:dyDescent="0.2">
      <c r="A54" t="s">
        <v>99</v>
      </c>
      <c r="B54" t="s">
        <v>112</v>
      </c>
      <c r="C54">
        <v>19</v>
      </c>
    </row>
    <row r="55" spans="1:9" x14ac:dyDescent="0.2">
      <c r="A55" t="s">
        <v>98</v>
      </c>
      <c r="B55" t="s">
        <v>26</v>
      </c>
      <c r="C55">
        <v>8.6999999999999993</v>
      </c>
    </row>
    <row r="56" spans="1:9" x14ac:dyDescent="0.2">
      <c r="A56" t="s">
        <v>97</v>
      </c>
      <c r="B56" t="s">
        <v>26</v>
      </c>
      <c r="C56">
        <v>11.1</v>
      </c>
    </row>
    <row r="57" spans="1:9" x14ac:dyDescent="0.2">
      <c r="A57" t="s">
        <v>103</v>
      </c>
      <c r="C57" t="s">
        <v>52</v>
      </c>
    </row>
    <row r="58" spans="1:9" x14ac:dyDescent="0.2">
      <c r="A58" t="s">
        <v>101</v>
      </c>
      <c r="D58" s="1"/>
    </row>
    <row r="61" spans="1:9" x14ac:dyDescent="0.2">
      <c r="H61" t="s">
        <v>139</v>
      </c>
      <c r="I61" t="s">
        <v>128</v>
      </c>
    </row>
    <row r="62" spans="1:9" x14ac:dyDescent="0.2">
      <c r="A62" t="s">
        <v>108</v>
      </c>
      <c r="B62" t="s">
        <v>109</v>
      </c>
      <c r="C62" t="s">
        <v>110</v>
      </c>
      <c r="D62" t="s">
        <v>111</v>
      </c>
      <c r="E62" t="s">
        <v>127</v>
      </c>
      <c r="F62" t="s">
        <v>113</v>
      </c>
      <c r="G62">
        <f>0.232*2000</f>
        <v>464</v>
      </c>
      <c r="H62">
        <f>10200</f>
        <v>10200</v>
      </c>
      <c r="I62" s="4">
        <f>H62/H73</f>
        <v>0.67326732673267331</v>
      </c>
    </row>
    <row r="63" spans="1:9" x14ac:dyDescent="0.2">
      <c r="A63" t="s">
        <v>108</v>
      </c>
      <c r="B63" t="s">
        <v>114</v>
      </c>
      <c r="C63" t="s">
        <v>110</v>
      </c>
      <c r="D63" t="s">
        <v>111</v>
      </c>
      <c r="E63" t="s">
        <v>17</v>
      </c>
      <c r="F63" t="s">
        <v>113</v>
      </c>
      <c r="G63">
        <f>23100/2000</f>
        <v>11.55</v>
      </c>
      <c r="I63" s="4"/>
    </row>
    <row r="64" spans="1:9" x14ac:dyDescent="0.2">
      <c r="A64" t="s">
        <v>116</v>
      </c>
      <c r="B64" t="s">
        <v>115</v>
      </c>
      <c r="C64" t="s">
        <v>117</v>
      </c>
      <c r="D64" t="s">
        <v>111</v>
      </c>
      <c r="E64" t="s">
        <v>29</v>
      </c>
      <c r="F64" t="s">
        <v>118</v>
      </c>
      <c r="G64">
        <v>2230</v>
      </c>
      <c r="H64">
        <f>1450</f>
        <v>1450</v>
      </c>
      <c r="I64" s="4">
        <f>H64/H73</f>
        <v>9.5709570957095716E-2</v>
      </c>
    </row>
    <row r="65" spans="1:10" x14ac:dyDescent="0.2">
      <c r="A65" t="s">
        <v>116</v>
      </c>
      <c r="B65" t="s">
        <v>119</v>
      </c>
      <c r="C65" t="s">
        <v>117</v>
      </c>
      <c r="D65" t="s">
        <v>111</v>
      </c>
      <c r="E65" t="s">
        <v>17</v>
      </c>
      <c r="F65" t="s">
        <v>118</v>
      </c>
      <c r="G65">
        <v>2.11</v>
      </c>
      <c r="I65" s="4"/>
    </row>
    <row r="66" spans="1:10" x14ac:dyDescent="0.2">
      <c r="A66" t="s">
        <v>120</v>
      </c>
      <c r="B66" t="s">
        <v>115</v>
      </c>
      <c r="C66" t="s">
        <v>110</v>
      </c>
      <c r="D66" t="s">
        <v>111</v>
      </c>
      <c r="E66" t="s">
        <v>29</v>
      </c>
      <c r="F66" t="s">
        <v>121</v>
      </c>
      <c r="G66">
        <v>908</v>
      </c>
      <c r="H66">
        <f>2850</f>
        <v>2850</v>
      </c>
      <c r="I66" s="4">
        <f>H66/H73</f>
        <v>0.18811881188118812</v>
      </c>
    </row>
    <row r="67" spans="1:10" x14ac:dyDescent="0.2">
      <c r="A67" t="s">
        <v>120</v>
      </c>
      <c r="B67" t="s">
        <v>119</v>
      </c>
      <c r="C67" t="s">
        <v>110</v>
      </c>
      <c r="D67" t="s">
        <v>111</v>
      </c>
      <c r="E67" t="s">
        <v>17</v>
      </c>
      <c r="F67" t="s">
        <v>121</v>
      </c>
      <c r="G67">
        <v>5.69</v>
      </c>
      <c r="I67" s="4"/>
    </row>
    <row r="68" spans="1:10" x14ac:dyDescent="0.2">
      <c r="A68" t="s">
        <v>122</v>
      </c>
      <c r="B68" t="s">
        <v>115</v>
      </c>
      <c r="C68" t="s">
        <v>110</v>
      </c>
      <c r="D68" t="s">
        <v>111</v>
      </c>
      <c r="E68" t="s">
        <v>29</v>
      </c>
      <c r="F68" t="s">
        <v>123</v>
      </c>
      <c r="G68">
        <v>378</v>
      </c>
      <c r="H68">
        <f>557</f>
        <v>557</v>
      </c>
      <c r="I68" s="4">
        <f>H68/H73</f>
        <v>3.6765676567656766E-2</v>
      </c>
    </row>
    <row r="69" spans="1:10" x14ac:dyDescent="0.2">
      <c r="A69" t="s">
        <v>122</v>
      </c>
      <c r="B69" t="s">
        <v>119</v>
      </c>
      <c r="C69" t="s">
        <v>110</v>
      </c>
      <c r="D69" t="s">
        <v>111</v>
      </c>
      <c r="E69" t="s">
        <v>17</v>
      </c>
      <c r="F69" t="s">
        <v>123</v>
      </c>
      <c r="G69">
        <v>5.29</v>
      </c>
      <c r="I69" s="4"/>
    </row>
    <row r="70" spans="1:10" x14ac:dyDescent="0.2">
      <c r="H70" s="3"/>
      <c r="I70" s="4"/>
    </row>
    <row r="71" spans="1:10" x14ac:dyDescent="0.2">
      <c r="A71" t="s">
        <v>133</v>
      </c>
      <c r="B71" t="s">
        <v>132</v>
      </c>
      <c r="H71" s="3">
        <v>93</v>
      </c>
      <c r="I71" s="4">
        <f>H71/H73</f>
        <v>6.1386138613861389E-3</v>
      </c>
    </row>
    <row r="72" spans="1:10" x14ac:dyDescent="0.2">
      <c r="B72" t="s">
        <v>140</v>
      </c>
      <c r="C72" t="s">
        <v>29</v>
      </c>
      <c r="D72">
        <v>476</v>
      </c>
      <c r="G72" t="s">
        <v>134</v>
      </c>
      <c r="H72" t="s">
        <v>129</v>
      </c>
      <c r="I72" t="s">
        <v>130</v>
      </c>
      <c r="J72" t="s">
        <v>131</v>
      </c>
    </row>
    <row r="73" spans="1:10" x14ac:dyDescent="0.2">
      <c r="B73" t="s">
        <v>141</v>
      </c>
      <c r="C73" t="s">
        <v>142</v>
      </c>
      <c r="G73" s="3">
        <v>15166</v>
      </c>
      <c r="H73" s="1">
        <f>SUM(H62,H64,H66,H68, H71)</f>
        <v>15150</v>
      </c>
      <c r="I73">
        <f>(I62*G62)+(I64*G64)+(I66*G66)+(I68*G68)+(I71*D72)</f>
        <v>713.45966996699667</v>
      </c>
      <c r="J73">
        <f>(I62*G63)+(I64*G65)+(I66*G67)+(I68*G69)+(I71*D73)</f>
        <v>9.2430712871287142</v>
      </c>
    </row>
    <row r="74" spans="1:10" x14ac:dyDescent="0.2">
      <c r="G74" s="3">
        <f>G73*30*30*0.000247105</f>
        <v>3372.8349870000002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6"/>
  <sheetViews>
    <sheetView tabSelected="1" zoomScale="130" zoomScaleNormal="130" workbookViewId="0">
      <selection activeCell="Q41" sqref="Q41"/>
    </sheetView>
  </sheetViews>
  <sheetFormatPr baseColWidth="10" defaultRowHeight="16" x14ac:dyDescent="0.2"/>
  <sheetData>
    <row r="1" spans="1:10" x14ac:dyDescent="0.2">
      <c r="A1" t="s">
        <v>143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35</v>
      </c>
      <c r="C3">
        <v>154000</v>
      </c>
      <c r="D3">
        <v>5000</v>
      </c>
      <c r="E3">
        <v>378000</v>
      </c>
      <c r="F3">
        <f>SUM(C3:E3)</f>
        <v>537000</v>
      </c>
      <c r="H3">
        <f>C3/$F3</f>
        <v>0.28677839851024206</v>
      </c>
      <c r="I3">
        <f t="shared" ref="I3:J3" si="0">D3/$F3</f>
        <v>9.3109869646182501E-3</v>
      </c>
      <c r="J3">
        <f t="shared" si="0"/>
        <v>0.7039106145251397</v>
      </c>
    </row>
    <row r="4" spans="1:10" x14ac:dyDescent="0.2">
      <c r="A4" t="s">
        <v>33</v>
      </c>
      <c r="C4">
        <v>32900</v>
      </c>
      <c r="D4">
        <v>0</v>
      </c>
      <c r="E4">
        <v>0</v>
      </c>
      <c r="F4">
        <f t="shared" ref="F4:F9" si="1">SUM(C4:E4)</f>
        <v>32900</v>
      </c>
      <c r="H4">
        <f t="shared" ref="H4:H9" si="2">C4/$F4</f>
        <v>1</v>
      </c>
      <c r="I4">
        <f t="shared" ref="I4:I9" si="3">D4/$F4</f>
        <v>0</v>
      </c>
      <c r="J4">
        <f t="shared" ref="J4:J9" si="4">E4/$F4</f>
        <v>0</v>
      </c>
    </row>
    <row r="5" spans="1:10" x14ac:dyDescent="0.2">
      <c r="A5" t="s">
        <v>34</v>
      </c>
      <c r="C5">
        <v>318000</v>
      </c>
      <c r="D5">
        <v>185000</v>
      </c>
      <c r="E5">
        <v>447000</v>
      </c>
      <c r="F5">
        <f t="shared" si="1"/>
        <v>950000</v>
      </c>
      <c r="H5">
        <f t="shared" si="2"/>
        <v>0.33473684210526317</v>
      </c>
      <c r="I5">
        <f t="shared" si="3"/>
        <v>0.19473684210526315</v>
      </c>
      <c r="J5">
        <f t="shared" si="4"/>
        <v>0.47052631578947368</v>
      </c>
    </row>
    <row r="6" spans="1:10" x14ac:dyDescent="0.2">
      <c r="A6" t="s">
        <v>6</v>
      </c>
      <c r="C6">
        <v>106000</v>
      </c>
      <c r="D6">
        <v>27000</v>
      </c>
      <c r="E6">
        <v>39000</v>
      </c>
      <c r="F6">
        <f t="shared" si="1"/>
        <v>172000</v>
      </c>
      <c r="H6">
        <f t="shared" si="2"/>
        <v>0.61627906976744184</v>
      </c>
      <c r="I6">
        <f t="shared" si="3"/>
        <v>0.15697674418604651</v>
      </c>
      <c r="J6">
        <f t="shared" si="4"/>
        <v>0.22674418604651161</v>
      </c>
    </row>
    <row r="7" spans="1:10" x14ac:dyDescent="0.2">
      <c r="A7" t="s">
        <v>92</v>
      </c>
      <c r="C7">
        <v>42800</v>
      </c>
      <c r="D7">
        <v>16300</v>
      </c>
      <c r="E7">
        <v>251000</v>
      </c>
      <c r="F7">
        <f t="shared" si="1"/>
        <v>310100</v>
      </c>
      <c r="H7">
        <f t="shared" si="2"/>
        <v>0.1380199935504676</v>
      </c>
      <c r="I7">
        <f t="shared" si="3"/>
        <v>5.2563689132537894E-2</v>
      </c>
      <c r="J7">
        <f t="shared" si="4"/>
        <v>0.80941631731699448</v>
      </c>
    </row>
    <row r="8" spans="1:10" x14ac:dyDescent="0.2">
      <c r="A8" t="s">
        <v>93</v>
      </c>
      <c r="C8">
        <v>95200</v>
      </c>
      <c r="D8">
        <v>48200</v>
      </c>
      <c r="E8">
        <v>251600</v>
      </c>
      <c r="F8">
        <f t="shared" si="1"/>
        <v>395000</v>
      </c>
      <c r="H8">
        <f t="shared" si="2"/>
        <v>0.24101265822784809</v>
      </c>
      <c r="I8">
        <f t="shared" si="3"/>
        <v>0.1220253164556962</v>
      </c>
      <c r="J8">
        <f t="shared" si="4"/>
        <v>0.63696202531645574</v>
      </c>
    </row>
    <row r="9" spans="1:10" x14ac:dyDescent="0.2">
      <c r="A9" t="s">
        <v>8</v>
      </c>
      <c r="C9">
        <v>0</v>
      </c>
      <c r="D9">
        <v>16000</v>
      </c>
      <c r="E9">
        <v>220000</v>
      </c>
      <c r="F9">
        <f t="shared" si="1"/>
        <v>236000</v>
      </c>
      <c r="H9">
        <f t="shared" si="2"/>
        <v>0</v>
      </c>
      <c r="I9">
        <f t="shared" si="3"/>
        <v>6.7796610169491525E-2</v>
      </c>
      <c r="J9">
        <f t="shared" si="4"/>
        <v>0.93220338983050843</v>
      </c>
    </row>
    <row r="13" spans="1:10" x14ac:dyDescent="0.2">
      <c r="A13" t="s">
        <v>141</v>
      </c>
    </row>
    <row r="14" spans="1:10" x14ac:dyDescent="0.2">
      <c r="A14" t="s">
        <v>2</v>
      </c>
      <c r="B14" t="s">
        <v>94</v>
      </c>
      <c r="C14">
        <v>118.9</v>
      </c>
      <c r="D14">
        <v>91.2</v>
      </c>
      <c r="E14">
        <v>93</v>
      </c>
      <c r="G14">
        <f>(C14*H3)+(D14*I3)+(E14*J3)</f>
        <v>100.41080074487897</v>
      </c>
    </row>
    <row r="15" spans="1:10" x14ac:dyDescent="0.2">
      <c r="A15" t="s">
        <v>33</v>
      </c>
      <c r="C15">
        <v>2490</v>
      </c>
      <c r="D15">
        <v>0</v>
      </c>
      <c r="E15">
        <v>0</v>
      </c>
      <c r="G15">
        <f t="shared" ref="G15:G20" si="5">(C15*H4)+(D15*I4)+(E15*J4)</f>
        <v>2490</v>
      </c>
    </row>
    <row r="16" spans="1:10" x14ac:dyDescent="0.2">
      <c r="A16" t="s">
        <v>34</v>
      </c>
      <c r="B16" t="s">
        <v>17</v>
      </c>
      <c r="C16">
        <v>4.6500000000000004</v>
      </c>
      <c r="D16">
        <v>4.8499999999999996</v>
      </c>
      <c r="E16">
        <v>3.85</v>
      </c>
      <c r="G16">
        <f t="shared" si="5"/>
        <v>4.3125263157894738</v>
      </c>
    </row>
    <row r="17" spans="1:17" x14ac:dyDescent="0.2">
      <c r="A17" t="s">
        <v>6</v>
      </c>
      <c r="B17" t="s">
        <v>17</v>
      </c>
      <c r="C17">
        <v>37.4</v>
      </c>
      <c r="D17">
        <v>41.2</v>
      </c>
      <c r="E17">
        <v>38.700000000000003</v>
      </c>
      <c r="G17">
        <f t="shared" si="5"/>
        <v>38.291279069767441</v>
      </c>
    </row>
    <row r="18" spans="1:17" x14ac:dyDescent="0.2">
      <c r="A18" t="s">
        <v>92</v>
      </c>
      <c r="B18" t="s">
        <v>94</v>
      </c>
      <c r="C18">
        <v>93.7</v>
      </c>
      <c r="D18">
        <v>76.2</v>
      </c>
      <c r="E18">
        <v>78.599999999999994</v>
      </c>
      <c r="G18">
        <f t="shared" si="5"/>
        <v>80.557949048693956</v>
      </c>
    </row>
    <row r="19" spans="1:17" x14ac:dyDescent="0.2">
      <c r="A19" t="s">
        <v>93</v>
      </c>
      <c r="B19" t="s">
        <v>94</v>
      </c>
      <c r="C19">
        <v>109.3</v>
      </c>
      <c r="D19">
        <v>106.1</v>
      </c>
      <c r="E19">
        <v>85.3</v>
      </c>
      <c r="G19">
        <f t="shared" si="5"/>
        <v>93.622430379746831</v>
      </c>
    </row>
    <row r="20" spans="1:17" x14ac:dyDescent="0.2">
      <c r="A20" t="s">
        <v>8</v>
      </c>
      <c r="B20" t="s">
        <v>16</v>
      </c>
      <c r="C20">
        <v>0</v>
      </c>
      <c r="D20">
        <v>500</v>
      </c>
      <c r="E20">
        <v>386</v>
      </c>
      <c r="G20">
        <f t="shared" si="5"/>
        <v>393.72881355932202</v>
      </c>
    </row>
    <row r="24" spans="1:17" x14ac:dyDescent="0.2">
      <c r="A24" t="s">
        <v>140</v>
      </c>
    </row>
    <row r="25" spans="1:17" x14ac:dyDescent="0.2">
      <c r="A25" t="s">
        <v>2</v>
      </c>
      <c r="B25">
        <v>5.86</v>
      </c>
    </row>
    <row r="26" spans="1:17" x14ac:dyDescent="0.2">
      <c r="A26" t="s">
        <v>50</v>
      </c>
      <c r="B26">
        <v>32.1</v>
      </c>
    </row>
    <row r="27" spans="1:17" x14ac:dyDescent="0.2">
      <c r="A27" t="s">
        <v>34</v>
      </c>
      <c r="B27">
        <v>170</v>
      </c>
    </row>
    <row r="28" spans="1:17" x14ac:dyDescent="0.2">
      <c r="A28" t="s">
        <v>6</v>
      </c>
      <c r="B28">
        <v>45.5</v>
      </c>
    </row>
    <row r="30" spans="1:17" x14ac:dyDescent="0.2">
      <c r="A30" t="s">
        <v>151</v>
      </c>
      <c r="B30">
        <v>5.03</v>
      </c>
    </row>
    <row r="31" spans="1:17" x14ac:dyDescent="0.2">
      <c r="A31" t="s">
        <v>8</v>
      </c>
      <c r="B31">
        <v>7</v>
      </c>
      <c r="H31" t="s">
        <v>144</v>
      </c>
      <c r="I31" t="s">
        <v>145</v>
      </c>
      <c r="J31" t="s">
        <v>146</v>
      </c>
      <c r="K31" t="s">
        <v>111</v>
      </c>
      <c r="L31" t="s">
        <v>147</v>
      </c>
      <c r="M31" t="s">
        <v>148</v>
      </c>
      <c r="N31">
        <v>17200</v>
      </c>
      <c r="O31">
        <f>N31/Q31</f>
        <v>0.92972972972972978</v>
      </c>
      <c r="Q31">
        <f>N31+N34</f>
        <v>18500</v>
      </c>
    </row>
    <row r="32" spans="1:17" x14ac:dyDescent="0.2">
      <c r="H32" t="s">
        <v>144</v>
      </c>
      <c r="I32" t="s">
        <v>109</v>
      </c>
      <c r="J32" t="s">
        <v>146</v>
      </c>
      <c r="K32" t="s">
        <v>111</v>
      </c>
      <c r="L32" t="s">
        <v>112</v>
      </c>
      <c r="M32" t="s">
        <v>148</v>
      </c>
      <c r="N32">
        <v>21.4</v>
      </c>
      <c r="P32">
        <f>(N32*O31)+(N35*O34)</f>
        <v>21.245405405405407</v>
      </c>
    </row>
    <row r="33" spans="1:19" x14ac:dyDescent="0.2">
      <c r="H33" t="s">
        <v>144</v>
      </c>
      <c r="I33" t="s">
        <v>114</v>
      </c>
      <c r="J33" t="s">
        <v>146</v>
      </c>
      <c r="K33" t="s">
        <v>111</v>
      </c>
      <c r="L33" t="s">
        <v>40</v>
      </c>
      <c r="M33" t="s">
        <v>148</v>
      </c>
      <c r="N33">
        <v>105</v>
      </c>
      <c r="P33">
        <f>(N33*O31)+(N36*O34)</f>
        <v>107.81081081081082</v>
      </c>
    </row>
    <row r="34" spans="1:19" x14ac:dyDescent="0.2">
      <c r="H34" t="s">
        <v>149</v>
      </c>
      <c r="I34" t="s">
        <v>145</v>
      </c>
      <c r="J34" t="s">
        <v>150</v>
      </c>
      <c r="K34" t="s">
        <v>111</v>
      </c>
      <c r="L34" t="s">
        <v>147</v>
      </c>
      <c r="M34" t="s">
        <v>148</v>
      </c>
      <c r="N34">
        <v>1300</v>
      </c>
      <c r="O34">
        <f>N34/Q31</f>
        <v>7.0270270270270274E-2</v>
      </c>
    </row>
    <row r="35" spans="1:19" x14ac:dyDescent="0.2">
      <c r="A35" t="s">
        <v>100</v>
      </c>
      <c r="H35" t="s">
        <v>149</v>
      </c>
      <c r="I35" t="s">
        <v>109</v>
      </c>
      <c r="J35" t="s">
        <v>150</v>
      </c>
      <c r="K35" t="s">
        <v>111</v>
      </c>
      <c r="L35" t="s">
        <v>112</v>
      </c>
      <c r="M35" t="s">
        <v>148</v>
      </c>
      <c r="N35">
        <v>19.2</v>
      </c>
    </row>
    <row r="36" spans="1:19" x14ac:dyDescent="0.2">
      <c r="A36" t="s">
        <v>102</v>
      </c>
      <c r="B36">
        <v>3.53</v>
      </c>
      <c r="C36" t="s">
        <v>112</v>
      </c>
      <c r="H36" t="s">
        <v>149</v>
      </c>
      <c r="I36" t="s">
        <v>114</v>
      </c>
      <c r="J36" t="s">
        <v>150</v>
      </c>
      <c r="K36" t="s">
        <v>111</v>
      </c>
      <c r="L36" t="s">
        <v>40</v>
      </c>
      <c r="M36" t="s">
        <v>148</v>
      </c>
      <c r="N36">
        <v>145</v>
      </c>
    </row>
    <row r="37" spans="1:19" x14ac:dyDescent="0.2">
      <c r="A37" t="s">
        <v>99</v>
      </c>
    </row>
    <row r="38" spans="1:19" x14ac:dyDescent="0.2">
      <c r="A38" t="s">
        <v>98</v>
      </c>
    </row>
    <row r="39" spans="1:19" x14ac:dyDescent="0.2">
      <c r="A39" t="s">
        <v>97</v>
      </c>
      <c r="F39" t="s">
        <v>152</v>
      </c>
      <c r="G39">
        <v>2015</v>
      </c>
      <c r="H39" t="s">
        <v>108</v>
      </c>
      <c r="I39" t="s">
        <v>109</v>
      </c>
      <c r="J39" t="s">
        <v>110</v>
      </c>
      <c r="K39" t="s">
        <v>111</v>
      </c>
      <c r="L39" t="s">
        <v>29</v>
      </c>
      <c r="M39" t="s">
        <v>113</v>
      </c>
      <c r="N39">
        <f>0.326*2000</f>
        <v>652</v>
      </c>
      <c r="O39" s="1">
        <v>6000</v>
      </c>
      <c r="P39" s="1">
        <f>O39/Q39</f>
        <v>0.71925197794293938</v>
      </c>
      <c r="Q39" s="1">
        <f>O39+O41+O43+O45</f>
        <v>8342</v>
      </c>
      <c r="R39" t="s">
        <v>153</v>
      </c>
    </row>
    <row r="40" spans="1:19" x14ac:dyDescent="0.2">
      <c r="A40" t="s">
        <v>103</v>
      </c>
      <c r="F40" t="s">
        <v>152</v>
      </c>
      <c r="G40">
        <v>2015</v>
      </c>
      <c r="H40" t="s">
        <v>108</v>
      </c>
      <c r="I40" t="s">
        <v>114</v>
      </c>
      <c r="J40" t="s">
        <v>110</v>
      </c>
      <c r="K40" t="s">
        <v>111</v>
      </c>
      <c r="L40" t="s">
        <v>17</v>
      </c>
      <c r="M40" t="s">
        <v>113</v>
      </c>
      <c r="N40">
        <f>20000/2000</f>
        <v>10</v>
      </c>
      <c r="O40" s="1"/>
      <c r="P40" s="1"/>
      <c r="Q40" s="1">
        <f>(N40*P39)+(N42*P41)+(N44*P43)+(N46*P45)</f>
        <v>8.7496355789978413</v>
      </c>
      <c r="R40" t="s">
        <v>154</v>
      </c>
      <c r="S40" t="s">
        <v>17</v>
      </c>
    </row>
    <row r="41" spans="1:19" x14ac:dyDescent="0.2">
      <c r="A41" t="s">
        <v>101</v>
      </c>
      <c r="F41" t="s">
        <v>152</v>
      </c>
      <c r="G41">
        <v>2015</v>
      </c>
      <c r="H41" t="s">
        <v>116</v>
      </c>
      <c r="I41" t="s">
        <v>115</v>
      </c>
      <c r="J41" t="s">
        <v>117</v>
      </c>
      <c r="K41" t="s">
        <v>111</v>
      </c>
      <c r="L41" t="s">
        <v>29</v>
      </c>
      <c r="M41" t="s">
        <v>118</v>
      </c>
      <c r="N41">
        <v>2010</v>
      </c>
      <c r="O41" s="1">
        <v>952</v>
      </c>
      <c r="P41" s="1">
        <f>O41/Q39</f>
        <v>0.11412131383361304</v>
      </c>
      <c r="Q41" s="1">
        <f>(N39*P39)+(N41*P41)+(N43*P43)+(N45*P45)</f>
        <v>851.32222488611853</v>
      </c>
      <c r="S41" t="s">
        <v>29</v>
      </c>
    </row>
    <row r="42" spans="1:19" x14ac:dyDescent="0.2">
      <c r="F42" t="s">
        <v>152</v>
      </c>
      <c r="G42">
        <v>2015</v>
      </c>
      <c r="H42" t="s">
        <v>116</v>
      </c>
      <c r="I42" t="s">
        <v>119</v>
      </c>
      <c r="J42" t="s">
        <v>117</v>
      </c>
      <c r="K42" t="s">
        <v>111</v>
      </c>
      <c r="L42" t="s">
        <v>17</v>
      </c>
      <c r="M42" t="s">
        <v>118</v>
      </c>
      <c r="N42">
        <v>2.78</v>
      </c>
      <c r="O42" s="1"/>
      <c r="P42" s="1"/>
      <c r="Q42" s="1"/>
    </row>
    <row r="43" spans="1:19" x14ac:dyDescent="0.2">
      <c r="F43" t="s">
        <v>152</v>
      </c>
      <c r="G43">
        <v>2015</v>
      </c>
      <c r="H43" t="s">
        <v>120</v>
      </c>
      <c r="I43" t="s">
        <v>115</v>
      </c>
      <c r="J43" t="s">
        <v>110</v>
      </c>
      <c r="K43" t="s">
        <v>111</v>
      </c>
      <c r="L43" t="s">
        <v>29</v>
      </c>
      <c r="M43" t="s">
        <v>121</v>
      </c>
      <c r="N43">
        <v>943</v>
      </c>
      <c r="O43" s="1">
        <v>1310</v>
      </c>
      <c r="P43" s="1">
        <f>O43/Q39</f>
        <v>0.15703668185087508</v>
      </c>
      <c r="Q43" s="1"/>
    </row>
    <row r="44" spans="1:19" x14ac:dyDescent="0.2">
      <c r="F44" t="s">
        <v>152</v>
      </c>
      <c r="G44">
        <v>2015</v>
      </c>
      <c r="H44" t="s">
        <v>120</v>
      </c>
      <c r="I44" t="s">
        <v>119</v>
      </c>
      <c r="J44" t="s">
        <v>110</v>
      </c>
      <c r="K44" t="s">
        <v>111</v>
      </c>
      <c r="L44" t="s">
        <v>17</v>
      </c>
      <c r="M44" t="s">
        <v>121</v>
      </c>
      <c r="N44">
        <v>7.59</v>
      </c>
      <c r="O44" s="1"/>
      <c r="P44" s="1"/>
      <c r="Q44" s="1"/>
    </row>
    <row r="45" spans="1:19" x14ac:dyDescent="0.2">
      <c r="F45" t="s">
        <v>152</v>
      </c>
      <c r="G45">
        <v>2015</v>
      </c>
      <c r="H45" t="s">
        <v>122</v>
      </c>
      <c r="I45" t="s">
        <v>115</v>
      </c>
      <c r="J45" t="s">
        <v>110</v>
      </c>
      <c r="K45" t="s">
        <v>111</v>
      </c>
      <c r="L45" t="s">
        <v>29</v>
      </c>
      <c r="M45" t="s">
        <v>123</v>
      </c>
      <c r="N45">
        <v>511</v>
      </c>
      <c r="O45" s="1">
        <v>80</v>
      </c>
      <c r="P45" s="1">
        <f>O45/Q39</f>
        <v>9.5900263725725247E-3</v>
      </c>
      <c r="Q45" s="1"/>
    </row>
    <row r="46" spans="1:19" x14ac:dyDescent="0.2">
      <c r="F46" t="s">
        <v>152</v>
      </c>
      <c r="G46">
        <v>2015</v>
      </c>
      <c r="H46" t="s">
        <v>122</v>
      </c>
      <c r="I46" t="s">
        <v>119</v>
      </c>
      <c r="J46" t="s">
        <v>110</v>
      </c>
      <c r="K46" t="s">
        <v>111</v>
      </c>
      <c r="L46" t="s">
        <v>17</v>
      </c>
      <c r="M46" t="s">
        <v>123</v>
      </c>
      <c r="N46">
        <v>5</v>
      </c>
      <c r="O46" s="1"/>
      <c r="P46" s="1"/>
      <c r="Q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1975</vt:lpstr>
      <vt:lpstr>1990</vt:lpstr>
      <vt:lpstr>2005</vt:lpstr>
      <vt:lpstr>2010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</dc:creator>
  <cp:lastModifiedBy>Kendra Kaiser</cp:lastModifiedBy>
  <dcterms:created xsi:type="dcterms:W3CDTF">2019-07-29T19:00:18Z</dcterms:created>
  <dcterms:modified xsi:type="dcterms:W3CDTF">2019-08-05T16:11:03Z</dcterms:modified>
</cp:coreProperties>
</file>