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huanyu/Desktop/Accounting 401/case 6/"/>
    </mc:Choice>
  </mc:AlternateContent>
  <xr:revisionPtr revIDLastSave="0" documentId="13_ncr:1_{463B55AE-373D-D841-8CAE-187CA93A9A49}" xr6:coauthVersionLast="40" xr6:coauthVersionMax="40" xr10:uidLastSave="{00000000-0000-0000-0000-000000000000}"/>
  <bookViews>
    <workbookView xWindow="0" yWindow="460" windowWidth="25600" windowHeight="14480" activeTab="3" xr2:uid="{00000000-000D-0000-FFFF-FFFF00000000}"/>
  </bookViews>
  <sheets>
    <sheet name="BS" sheetId="1" r:id="rId1"/>
    <sheet name="IS" sheetId="2" r:id="rId2"/>
    <sheet name="CFS" sheetId="3" r:id="rId3"/>
    <sheet name="Valuation" sheetId="4" r:id="rId4"/>
  </sheets>
  <calcPr calcId="191029" iterate="1" iterateCount="1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F36" i="1"/>
  <c r="G36" i="1"/>
  <c r="H36" i="1"/>
  <c r="I36" i="1"/>
  <c r="D36" i="1"/>
  <c r="F28" i="1"/>
  <c r="G28" i="1"/>
  <c r="H28" i="1"/>
  <c r="F21" i="3" s="1"/>
  <c r="F22" i="3" s="1"/>
  <c r="I28" i="1"/>
  <c r="G21" i="3" s="1"/>
  <c r="G22" i="3" s="1"/>
  <c r="E28" i="1"/>
  <c r="D28" i="1"/>
  <c r="E39" i="1"/>
  <c r="F39" i="1"/>
  <c r="G39" i="1"/>
  <c r="H39" i="1"/>
  <c r="I39" i="1"/>
  <c r="D39" i="1"/>
  <c r="B29" i="4"/>
  <c r="E26" i="4"/>
  <c r="F26" i="4" s="1"/>
  <c r="G26" i="4" s="1"/>
  <c r="H26" i="4" s="1"/>
  <c r="D26" i="4"/>
  <c r="C22" i="4"/>
  <c r="C21" i="4"/>
  <c r="E13" i="4"/>
  <c r="F13" i="4"/>
  <c r="G13" i="4" s="1"/>
  <c r="H13" i="4" s="1"/>
  <c r="D13" i="4"/>
  <c r="C21" i="3"/>
  <c r="C22" i="3" s="1"/>
  <c r="D21" i="3"/>
  <c r="D22" i="3" s="1"/>
  <c r="E21" i="3"/>
  <c r="E22" i="3" s="1"/>
  <c r="B21" i="3"/>
  <c r="B22" i="3" s="1"/>
  <c r="C19" i="3"/>
  <c r="D19" i="3"/>
  <c r="G19" i="3"/>
  <c r="B19" i="3"/>
  <c r="C9" i="3"/>
  <c r="D9" i="3"/>
  <c r="E9" i="3"/>
  <c r="F9" i="3"/>
  <c r="G9" i="3"/>
  <c r="B9" i="3"/>
  <c r="C8" i="3"/>
  <c r="D8" i="3"/>
  <c r="E8" i="3"/>
  <c r="F8" i="3"/>
  <c r="G8" i="3"/>
  <c r="B8" i="3"/>
  <c r="C7" i="3"/>
  <c r="D7" i="3"/>
  <c r="E7" i="3"/>
  <c r="F7" i="3"/>
  <c r="G7" i="3"/>
  <c r="B7" i="3"/>
  <c r="C6" i="3"/>
  <c r="D6" i="3"/>
  <c r="E6" i="3"/>
  <c r="F6" i="3"/>
  <c r="G6" i="3"/>
  <c r="B6" i="3"/>
  <c r="C14" i="3"/>
  <c r="D14" i="3"/>
  <c r="E14" i="3"/>
  <c r="F14" i="3"/>
  <c r="G14" i="3"/>
  <c r="B14" i="3"/>
  <c r="C13" i="3"/>
  <c r="D13" i="3"/>
  <c r="E13" i="3"/>
  <c r="F13" i="3"/>
  <c r="G13" i="3"/>
  <c r="B13" i="3"/>
  <c r="C12" i="3"/>
  <c r="D12" i="3"/>
  <c r="E12" i="3"/>
  <c r="F12" i="3"/>
  <c r="G12" i="3"/>
  <c r="B12" i="3"/>
  <c r="C11" i="3"/>
  <c r="D11" i="3"/>
  <c r="E11" i="3"/>
  <c r="F11" i="3"/>
  <c r="G11" i="3"/>
  <c r="B11" i="3"/>
  <c r="C10" i="3"/>
  <c r="D10" i="3"/>
  <c r="E10" i="3"/>
  <c r="F10" i="3"/>
  <c r="G10" i="3"/>
  <c r="B10" i="3"/>
  <c r="C4" i="3"/>
  <c r="C18" i="3" s="1"/>
  <c r="D4" i="3"/>
  <c r="D18" i="3" s="1"/>
  <c r="E4" i="3"/>
  <c r="E18" i="3" s="1"/>
  <c r="E19" i="3" s="1"/>
  <c r="F4" i="3"/>
  <c r="F18" i="3" s="1"/>
  <c r="F19" i="3" s="1"/>
  <c r="G4" i="3"/>
  <c r="G18" i="3" s="1"/>
  <c r="B4" i="3"/>
  <c r="B18" i="3" s="1"/>
  <c r="G14" i="2" l="1"/>
  <c r="H14" i="2"/>
  <c r="E11" i="2"/>
  <c r="E14" i="2" s="1"/>
  <c r="F11" i="2"/>
  <c r="F14" i="2" s="1"/>
  <c r="G11" i="2"/>
  <c r="H11" i="2"/>
  <c r="I11" i="2"/>
  <c r="I14" i="2" s="1"/>
  <c r="J11" i="2"/>
  <c r="J14" i="2" s="1"/>
  <c r="E21" i="4" l="1"/>
  <c r="E22" i="4" s="1"/>
  <c r="G21" i="4"/>
  <c r="G22" i="4" s="1"/>
  <c r="E31" i="1"/>
  <c r="E37" i="1" s="1"/>
  <c r="F31" i="1"/>
  <c r="G31" i="1"/>
  <c r="G37" i="1" s="1"/>
  <c r="H31" i="1"/>
  <c r="I31" i="1"/>
  <c r="I37" i="1" s="1"/>
  <c r="D31" i="1"/>
  <c r="D21" i="4"/>
  <c r="D22" i="4" s="1"/>
  <c r="E18" i="1"/>
  <c r="F18" i="1"/>
  <c r="G18" i="1"/>
  <c r="H18" i="1"/>
  <c r="I18" i="1"/>
  <c r="D18" i="1"/>
  <c r="E13" i="1"/>
  <c r="F13" i="1"/>
  <c r="G13" i="1"/>
  <c r="H13" i="1"/>
  <c r="D13" i="1"/>
  <c r="F9" i="2"/>
  <c r="G9" i="2"/>
  <c r="H9" i="2"/>
  <c r="I9" i="2"/>
  <c r="J9" i="2"/>
  <c r="E9" i="2"/>
  <c r="D37" i="1" l="1"/>
  <c r="H37" i="1"/>
  <c r="H21" i="4"/>
  <c r="H22" i="4" s="1"/>
  <c r="F37" i="1"/>
  <c r="F21" i="4"/>
  <c r="F22" i="4" s="1"/>
  <c r="H15" i="2"/>
  <c r="H16" i="2" s="1"/>
  <c r="I15" i="2"/>
  <c r="I16" i="2" s="1"/>
  <c r="E15" i="2"/>
  <c r="E27" i="1"/>
  <c r="F27" i="1"/>
  <c r="G27" i="1"/>
  <c r="H27" i="1"/>
  <c r="I27" i="1"/>
  <c r="D27" i="1"/>
  <c r="E24" i="1"/>
  <c r="F24" i="1"/>
  <c r="G24" i="1"/>
  <c r="H24" i="1"/>
  <c r="I24" i="1"/>
  <c r="D24" i="1"/>
  <c r="G16" i="1"/>
  <c r="H16" i="1"/>
  <c r="I16" i="1" s="1"/>
  <c r="F16" i="1"/>
  <c r="E16" i="1"/>
  <c r="E12" i="1"/>
  <c r="F12" i="1"/>
  <c r="G12" i="1"/>
  <c r="H12" i="1"/>
  <c r="I12" i="1"/>
  <c r="D12" i="1"/>
  <c r="E11" i="1"/>
  <c r="F12" i="2"/>
  <c r="G12" i="2"/>
  <c r="H12" i="2"/>
  <c r="I12" i="2"/>
  <c r="J12" i="2"/>
  <c r="G8" i="2"/>
  <c r="H8" i="2"/>
  <c r="I8" i="2"/>
  <c r="J8" i="2"/>
  <c r="F8" i="2"/>
  <c r="I6" i="2"/>
  <c r="J6" i="2"/>
  <c r="F6" i="2"/>
  <c r="G6" i="2"/>
  <c r="H6" i="2"/>
  <c r="J5" i="2"/>
  <c r="I5" i="2"/>
  <c r="H5" i="2"/>
  <c r="G5" i="2"/>
  <c r="F5" i="2"/>
  <c r="E2" i="3" l="1"/>
  <c r="E15" i="3" s="1"/>
  <c r="E23" i="3" s="1"/>
  <c r="F10" i="4" s="1"/>
  <c r="F12" i="4" s="1"/>
  <c r="F15" i="4" s="1"/>
  <c r="F20" i="4"/>
  <c r="F23" i="4" s="1"/>
  <c r="F25" i="4" s="1"/>
  <c r="F27" i="4" s="1"/>
  <c r="G20" i="4"/>
  <c r="G23" i="4" s="1"/>
  <c r="F2" i="3"/>
  <c r="F15" i="3" s="1"/>
  <c r="F23" i="3" s="1"/>
  <c r="G10" i="4" s="1"/>
  <c r="G12" i="4" s="1"/>
  <c r="G15" i="2"/>
  <c r="G16" i="2" s="1"/>
  <c r="J15" i="2"/>
  <c r="J16" i="2" s="1"/>
  <c r="F15" i="2"/>
  <c r="F16" i="2" s="1"/>
  <c r="E16" i="2"/>
  <c r="D16" i="1"/>
  <c r="D11" i="1"/>
  <c r="E12" i="2"/>
  <c r="E8" i="2"/>
  <c r="E6" i="2"/>
  <c r="E5" i="2"/>
  <c r="H20" i="4" l="1"/>
  <c r="H23" i="4" s="1"/>
  <c r="G24" i="4" s="1"/>
  <c r="G25" i="4" s="1"/>
  <c r="G27" i="4" s="1"/>
  <c r="G2" i="3"/>
  <c r="G15" i="3" s="1"/>
  <c r="G23" i="3" s="1"/>
  <c r="H10" i="4" s="1"/>
  <c r="E20" i="4"/>
  <c r="E23" i="4" s="1"/>
  <c r="E25" i="4" s="1"/>
  <c r="E27" i="4" s="1"/>
  <c r="D2" i="3"/>
  <c r="D15" i="3" s="1"/>
  <c r="D23" i="3" s="1"/>
  <c r="E10" i="4" s="1"/>
  <c r="E12" i="4" s="1"/>
  <c r="E15" i="4" s="1"/>
  <c r="C2" i="3"/>
  <c r="C15" i="3" s="1"/>
  <c r="C23" i="3" s="1"/>
  <c r="D10" i="4" s="1"/>
  <c r="D12" i="4" s="1"/>
  <c r="D15" i="4" s="1"/>
  <c r="D20" i="4"/>
  <c r="D23" i="4" s="1"/>
  <c r="D25" i="4" s="1"/>
  <c r="D27" i="4" s="1"/>
  <c r="C20" i="4"/>
  <c r="C23" i="4" s="1"/>
  <c r="C25" i="4" s="1"/>
  <c r="C27" i="4" s="1"/>
  <c r="B2" i="3"/>
  <c r="B15" i="3" s="1"/>
  <c r="B23" i="3" s="1"/>
  <c r="C10" i="4" s="1"/>
  <c r="C12" i="4" s="1"/>
  <c r="C15" i="4" s="1"/>
  <c r="D9" i="2"/>
  <c r="D14" i="2" s="1"/>
  <c r="D16" i="2" s="1"/>
  <c r="C9" i="2"/>
  <c r="C14" i="2" s="1"/>
  <c r="C16" i="2" s="1"/>
  <c r="B9" i="2"/>
  <c r="B14" i="2" s="1"/>
  <c r="B16" i="2" s="1"/>
  <c r="C27" i="1"/>
  <c r="C31" i="1" s="1"/>
  <c r="B27" i="1"/>
  <c r="B31" i="1" s="1"/>
  <c r="C12" i="1"/>
  <c r="C18" i="1" s="1"/>
  <c r="B12" i="1"/>
  <c r="B18" i="1" s="1"/>
  <c r="H12" i="4" l="1"/>
  <c r="G11" i="4"/>
  <c r="G15" i="4" s="1"/>
  <c r="B16" i="4"/>
  <c r="B17" i="4" s="1"/>
  <c r="B28" i="4"/>
  <c r="B30" i="4" s="1"/>
  <c r="B31" i="4" s="1"/>
  <c r="C36" i="1"/>
  <c r="C37" i="1" s="1"/>
  <c r="B36" i="1"/>
  <c r="B37" i="1" s="1"/>
  <c r="I13" i="1" l="1"/>
</calcChain>
</file>

<file path=xl/sharedStrings.xml><?xml version="1.0" encoding="utf-8"?>
<sst xmlns="http://schemas.openxmlformats.org/spreadsheetml/2006/main" count="102" uniqueCount="87">
  <si>
    <t>Ethan Allen</t>
  </si>
  <si>
    <t>Assets</t>
  </si>
  <si>
    <t>Current assets:</t>
  </si>
  <si>
    <t>Cash and cash equivalents</t>
  </si>
  <si>
    <t>Marketable securities</t>
  </si>
  <si>
    <t>Accounts receivable, less allowance for doubtful accounts of $1,639 at June 30, 2016 and $1,386 at June 30, 2015</t>
  </si>
  <si>
    <t>Inventories</t>
  </si>
  <si>
    <t>Prepaid expenses and other current assets</t>
  </si>
  <si>
    <t>Total current assets</t>
  </si>
  <si>
    <t>Property and equipment, net</t>
  </si>
  <si>
    <t>Goodwill and other intangible assets</t>
  </si>
  <si>
    <t>Restricted cash and investments</t>
  </si>
  <si>
    <t>Other assets</t>
  </si>
  <si>
    <t>Total assets</t>
  </si>
  <si>
    <t>Liabilities and Stockholder's Equity</t>
  </si>
  <si>
    <t xml:space="preserve"> </t>
  </si>
  <si>
    <t>Current liabilities:</t>
  </si>
  <si>
    <t>Current maturities of long-term debt</t>
  </si>
  <si>
    <t>Customer deposits</t>
  </si>
  <si>
    <t>Accounts payable</t>
  </si>
  <si>
    <t>Accrued compensation and benefits</t>
  </si>
  <si>
    <t>Accrued expenses and other current liabilities</t>
  </si>
  <si>
    <t>Total current liabilities</t>
  </si>
  <si>
    <t>Long-term debt</t>
  </si>
  <si>
    <t>Other long-term liabilities</t>
  </si>
  <si>
    <t>Total liabilities</t>
  </si>
  <si>
    <t>Stockholders' equity:</t>
  </si>
  <si>
    <t>Total stockholders' equity</t>
  </si>
  <si>
    <t>Total liabilities and stockholders' equity</t>
  </si>
  <si>
    <t>Balance Sheet</t>
  </si>
  <si>
    <t>Revenues</t>
  </si>
  <si>
    <t>Cost of revenues</t>
  </si>
  <si>
    <r>
      <rPr>
        <i/>
        <sz val="10"/>
        <color theme="1"/>
        <rFont val="Calibri"/>
        <family val="2"/>
        <scheme val="minor"/>
      </rPr>
      <t>Depreciation and amortization</t>
    </r>
    <r>
      <rPr>
        <sz val="10"/>
        <color theme="1"/>
        <rFont val="Calibri"/>
        <family val="2"/>
        <scheme val="minor"/>
      </rPr>
      <t xml:space="preserve"> </t>
    </r>
  </si>
  <si>
    <t>n/a</t>
  </si>
  <si>
    <t>General and administrative</t>
  </si>
  <si>
    <t>Operating income</t>
  </si>
  <si>
    <t>Other income (expense)</t>
  </si>
  <si>
    <t>Interest expense</t>
  </si>
  <si>
    <t>Interest and other income (expense)</t>
  </si>
  <si>
    <t>Loss on extinguishment of debt</t>
  </si>
  <si>
    <t>Income before income taxes</t>
  </si>
  <si>
    <t>Provision for income taxes</t>
  </si>
  <si>
    <t>Net income</t>
  </si>
  <si>
    <t>Statement of Operations</t>
  </si>
  <si>
    <t xml:space="preserve">As of Decmber 31, </t>
  </si>
  <si>
    <t>Class A common stock, par value $0.01; 150,000,000 shares authorized; 48,921,544 shares issued at June 30, 2017 and 48,884,5866 shares issued at June 30, 2016</t>
  </si>
  <si>
    <t>Statement of Cash Flows</t>
  </si>
  <si>
    <t>Adjustments to reconcile net income to net cash provided by operating activites:</t>
  </si>
  <si>
    <t>Depreciation of property, equipment and intangibles</t>
  </si>
  <si>
    <t>Change in operating assets and liabilities</t>
  </si>
  <si>
    <t>Other non-current asset (net of deferred taxes)</t>
  </si>
  <si>
    <t>Other non-current liabilities</t>
  </si>
  <si>
    <t>Net cash from operating activities</t>
  </si>
  <si>
    <t>Cash flows-investing activities:</t>
  </si>
  <si>
    <t>Additions to content library</t>
  </si>
  <si>
    <t>Purchases of property and equipment</t>
  </si>
  <si>
    <t>Net cash from investing activities</t>
  </si>
  <si>
    <t>Cash flows-financing activities:</t>
  </si>
  <si>
    <t>Issuance (repayment) of debt</t>
  </si>
  <si>
    <t>Net cash from financing activities</t>
  </si>
  <si>
    <t>Net increase/(decrease) in cash and cash equivalents</t>
  </si>
  <si>
    <t>Prepaid Expense and other current assets</t>
  </si>
  <si>
    <t xml:space="preserve">    Account receivable</t>
  </si>
  <si>
    <t xml:space="preserve">    Inventories</t>
  </si>
  <si>
    <t>WACC calculation</t>
  </si>
  <si>
    <t>Equity cost of capital</t>
  </si>
  <si>
    <t>Debt cost of capital</t>
  </si>
  <si>
    <t>WACC</t>
  </si>
  <si>
    <t>Initial number of shares</t>
  </si>
  <si>
    <t>Valuation</t>
  </si>
  <si>
    <t>DCF-Equity Basis</t>
  </si>
  <si>
    <t>Cash flow to equity holders</t>
  </si>
  <si>
    <t>Terminal value</t>
  </si>
  <si>
    <t>Total cash flow to equity holders</t>
  </si>
  <si>
    <t>Discount rate</t>
  </si>
  <si>
    <t>Equity value</t>
  </si>
  <si>
    <t>Per share</t>
  </si>
  <si>
    <t>Residual income-Equity basis</t>
  </si>
  <si>
    <t>Book value beginning period (S/E)</t>
  </si>
  <si>
    <t>Capital charge</t>
  </si>
  <si>
    <t>Abnormal earnings</t>
  </si>
  <si>
    <t>Total abnormal earnings</t>
  </si>
  <si>
    <t>Residual Income</t>
  </si>
  <si>
    <t>Beginning BV (shareholders' equity)</t>
  </si>
  <si>
    <t>Tax</t>
  </si>
  <si>
    <t>Value</t>
  </si>
  <si>
    <t>D+E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</si>
</sst>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1" fontId="2" fillId="0" borderId="0" xfId="0" applyNumberFormat="1" applyFont="1"/>
    <xf numFmtId="1" fontId="0" fillId="0" borderId="0" xfId="0" applyNumberFormat="1"/>
    <xf numFmtId="1" fontId="3" fillId="0" borderId="0" xfId="0" applyNumberFormat="1" applyFont="1"/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" fillId="0" borderId="0" xfId="1" applyNumberFormat="1" applyFont="1"/>
    <xf numFmtId="1" fontId="2" fillId="0" borderId="4" xfId="1" applyNumberFormat="1" applyFont="1" applyBorder="1"/>
    <xf numFmtId="1" fontId="2" fillId="0" borderId="0" xfId="0" applyNumberFormat="1" applyFont="1" applyAlignment="1">
      <alignment horizontal="left" indent="2"/>
    </xf>
    <xf numFmtId="1" fontId="2" fillId="0" borderId="0" xfId="0" applyNumberFormat="1" applyFont="1" applyAlignment="1">
      <alignment horizontal="left" indent="4"/>
    </xf>
    <xf numFmtId="1" fontId="2" fillId="0" borderId="0" xfId="1" applyNumberFormat="1" applyFont="1" applyAlignment="1">
      <alignment horizontal="right"/>
    </xf>
    <xf numFmtId="1" fontId="2" fillId="0" borderId="4" xfId="1" applyNumberFormat="1" applyFont="1" applyBorder="1" applyAlignment="1">
      <alignment horizontal="right"/>
    </xf>
    <xf numFmtId="1" fontId="2" fillId="0" borderId="5" xfId="0" applyNumberFormat="1" applyFont="1" applyBorder="1" applyAlignment="1"/>
    <xf numFmtId="1" fontId="2" fillId="0" borderId="5" xfId="1" applyNumberFormat="1" applyFont="1" applyBorder="1"/>
    <xf numFmtId="1" fontId="2" fillId="0" borderId="6" xfId="1" applyNumberFormat="1" applyFont="1" applyBorder="1"/>
    <xf numFmtId="1" fontId="2" fillId="0" borderId="1" xfId="0" applyNumberFormat="1" applyFont="1" applyBorder="1" applyAlignment="1">
      <alignment horizontal="left" indent="2"/>
    </xf>
    <xf numFmtId="1" fontId="2" fillId="0" borderId="1" xfId="1" applyNumberFormat="1" applyFont="1" applyBorder="1"/>
    <xf numFmtId="1" fontId="2" fillId="0" borderId="7" xfId="1" applyNumberFormat="1" applyFont="1" applyBorder="1"/>
    <xf numFmtId="1" fontId="2" fillId="0" borderId="8" xfId="0" applyNumberFormat="1" applyFont="1" applyBorder="1" applyAlignment="1"/>
    <xf numFmtId="1" fontId="2" fillId="0" borderId="8" xfId="1" applyNumberFormat="1" applyFont="1" applyBorder="1"/>
    <xf numFmtId="1" fontId="2" fillId="0" borderId="3" xfId="1" applyNumberFormat="1" applyFont="1" applyBorder="1"/>
    <xf numFmtId="1" fontId="4" fillId="0" borderId="0" xfId="0" applyNumberFormat="1" applyFont="1"/>
    <xf numFmtId="1" fontId="2" fillId="0" borderId="4" xfId="0" applyNumberFormat="1" applyFont="1" applyBorder="1"/>
    <xf numFmtId="1" fontId="2" fillId="0" borderId="5" xfId="0" applyNumberFormat="1" applyFont="1" applyBorder="1" applyAlignment="1">
      <alignment horizontal="left" indent="4"/>
    </xf>
    <xf numFmtId="1" fontId="2" fillId="0" borderId="7" xfId="1" applyNumberFormat="1" applyFont="1" applyBorder="1" applyAlignment="1">
      <alignment horizontal="right"/>
    </xf>
    <xf numFmtId="1" fontId="2" fillId="0" borderId="8" xfId="0" applyNumberFormat="1" applyFont="1" applyBorder="1" applyAlignment="1">
      <alignment horizontal="left" indent="4"/>
    </xf>
    <xf numFmtId="1" fontId="2" fillId="0" borderId="9" xfId="0" applyNumberFormat="1" applyFont="1" applyBorder="1" applyAlignment="1">
      <alignment horizontal="left" indent="4"/>
    </xf>
    <xf numFmtId="1" fontId="2" fillId="0" borderId="9" xfId="1" applyNumberFormat="1" applyFont="1" applyBorder="1"/>
    <xf numFmtId="1" fontId="2" fillId="0" borderId="2" xfId="0" applyNumberFormat="1" applyFont="1" applyBorder="1" applyAlignment="1">
      <alignment horizontal="left" indent="4"/>
    </xf>
    <xf numFmtId="1" fontId="2" fillId="0" borderId="2" xfId="1" applyNumberFormat="1" applyFont="1" applyBorder="1"/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left" wrapText="1" indent="2"/>
    </xf>
    <xf numFmtId="1" fontId="2" fillId="0" borderId="0" xfId="1" applyNumberFormat="1" applyFont="1"/>
    <xf numFmtId="1" fontId="2" fillId="0" borderId="4" xfId="1" applyNumberFormat="1" applyFont="1" applyBorder="1"/>
    <xf numFmtId="0" fontId="5" fillId="2" borderId="0" xfId="0" applyFont="1" applyFill="1"/>
    <xf numFmtId="0" fontId="6" fillId="0" borderId="0" xfId="0" applyFont="1"/>
    <xf numFmtId="0" fontId="6" fillId="0" borderId="0" xfId="0" applyFont="1" applyAlignment="1">
      <alignment horizontal="left" indent="2"/>
    </xf>
    <xf numFmtId="0" fontId="6" fillId="0" borderId="0" xfId="0" applyFont="1" applyAlignment="1">
      <alignment horizontal="left" indent="4"/>
    </xf>
    <xf numFmtId="0" fontId="7" fillId="0" borderId="0" xfId="0" applyFont="1" applyAlignment="1">
      <alignment horizontal="left" indent="5"/>
    </xf>
    <xf numFmtId="0" fontId="7" fillId="0" borderId="0" xfId="0" applyFont="1"/>
    <xf numFmtId="0" fontId="7" fillId="0" borderId="0" xfId="0" applyFont="1" applyAlignment="1">
      <alignment horizontal="left" indent="3"/>
    </xf>
    <xf numFmtId="0" fontId="8" fillId="0" borderId="0" xfId="0" applyFont="1"/>
    <xf numFmtId="0" fontId="5" fillId="2" borderId="0" xfId="0" applyFont="1" applyFill="1" applyBorder="1"/>
    <xf numFmtId="0" fontId="7" fillId="2" borderId="10" xfId="0" applyFont="1" applyFill="1" applyBorder="1"/>
    <xf numFmtId="0" fontId="7" fillId="3" borderId="0" xfId="0" applyFont="1" applyFill="1"/>
    <xf numFmtId="0" fontId="9" fillId="0" borderId="0" xfId="0" applyFont="1"/>
    <xf numFmtId="9" fontId="0" fillId="0" borderId="0" xfId="0" applyNumberFormat="1"/>
    <xf numFmtId="10" fontId="0" fillId="0" borderId="0" xfId="0" applyNumberFormat="1"/>
    <xf numFmtId="3" fontId="0" fillId="0" borderId="0" xfId="0" applyNumberFormat="1"/>
    <xf numFmtId="0" fontId="1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zoomScale="130" zoomScaleNormal="130" workbookViewId="0">
      <selection activeCell="G41" sqref="G41"/>
    </sheetView>
  </sheetViews>
  <sheetFormatPr baseColWidth="10" defaultColWidth="8.83203125" defaultRowHeight="15" x14ac:dyDescent="0.2"/>
  <cols>
    <col min="1" max="1" width="56.5" style="2" customWidth="1"/>
    <col min="2" max="2" width="21.5" style="2" customWidth="1"/>
    <col min="3" max="3" width="33.33203125" style="2" customWidth="1"/>
    <col min="4" max="4" width="11.1640625" style="2" bestFit="1" customWidth="1"/>
    <col min="5" max="5" width="12.6640625" style="2" customWidth="1"/>
    <col min="6" max="9" width="12.1640625" style="2" bestFit="1" customWidth="1"/>
    <col min="10" max="16384" width="8.83203125" style="2"/>
  </cols>
  <sheetData>
    <row r="1" spans="1:9" x14ac:dyDescent="0.2">
      <c r="A1" s="1" t="s">
        <v>0</v>
      </c>
      <c r="B1" s="1"/>
      <c r="C1" s="1"/>
    </row>
    <row r="2" spans="1:9" x14ac:dyDescent="0.2">
      <c r="A2" s="3" t="s">
        <v>29</v>
      </c>
      <c r="B2" s="1"/>
      <c r="C2" s="1"/>
    </row>
    <row r="3" spans="1:9" x14ac:dyDescent="0.2">
      <c r="A3" s="1"/>
      <c r="B3" s="31" t="s">
        <v>44</v>
      </c>
      <c r="C3" s="31"/>
    </row>
    <row r="4" spans="1:9" ht="16" thickBot="1" x14ac:dyDescent="0.25">
      <c r="A4" s="1"/>
      <c r="B4" s="4">
        <v>2016</v>
      </c>
      <c r="C4" s="5">
        <v>2017</v>
      </c>
      <c r="D4" s="2">
        <v>2018</v>
      </c>
      <c r="E4" s="2">
        <v>2019</v>
      </c>
      <c r="F4" s="2">
        <v>2020</v>
      </c>
      <c r="G4" s="2">
        <v>2021</v>
      </c>
      <c r="H4" s="2">
        <v>2022</v>
      </c>
      <c r="I4" s="2">
        <v>2023</v>
      </c>
    </row>
    <row r="5" spans="1:9" ht="16" thickTop="1" x14ac:dyDescent="0.2">
      <c r="A5" s="22" t="s">
        <v>1</v>
      </c>
      <c r="B5" s="1"/>
      <c r="C5" s="23"/>
    </row>
    <row r="6" spans="1:9" x14ac:dyDescent="0.2">
      <c r="A6" s="1" t="s">
        <v>2</v>
      </c>
      <c r="B6" s="1"/>
      <c r="C6" s="23"/>
    </row>
    <row r="7" spans="1:9" x14ac:dyDescent="0.2">
      <c r="A7" s="9" t="s">
        <v>3</v>
      </c>
      <c r="B7" s="7">
        <v>76182</v>
      </c>
      <c r="C7" s="8">
        <v>52659</v>
      </c>
      <c r="D7" s="8">
        <v>52659</v>
      </c>
      <c r="E7" s="8">
        <v>52659</v>
      </c>
      <c r="F7" s="8">
        <v>52659</v>
      </c>
      <c r="G7" s="8">
        <v>52659</v>
      </c>
      <c r="H7" s="8">
        <v>52659</v>
      </c>
      <c r="I7" s="8">
        <v>52659</v>
      </c>
    </row>
    <row r="8" spans="1:9" x14ac:dyDescent="0.2">
      <c r="A8" s="9" t="s">
        <v>4</v>
      </c>
      <c r="B8" s="7">
        <v>2198</v>
      </c>
      <c r="C8" s="8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</row>
    <row r="9" spans="1:9" x14ac:dyDescent="0.2">
      <c r="A9" s="9" t="s">
        <v>5</v>
      </c>
      <c r="B9" s="7">
        <v>12547</v>
      </c>
      <c r="C9" s="8">
        <v>9467</v>
      </c>
      <c r="D9" s="2">
        <v>15024.7</v>
      </c>
      <c r="E9" s="2">
        <v>17595.599999999999</v>
      </c>
      <c r="F9" s="2">
        <v>20458.400000000001</v>
      </c>
      <c r="G9" s="2">
        <v>23166.400000000001</v>
      </c>
      <c r="H9" s="2">
        <v>25900</v>
      </c>
      <c r="I9" s="2">
        <v>25900</v>
      </c>
    </row>
    <row r="10" spans="1:9" x14ac:dyDescent="0.2">
      <c r="A10" s="9" t="s">
        <v>6</v>
      </c>
      <c r="B10" s="7">
        <v>151916</v>
      </c>
      <c r="C10" s="8">
        <v>162323</v>
      </c>
      <c r="D10" s="2">
        <v>156050.27967752062</v>
      </c>
      <c r="E10" s="2">
        <v>164476.99478010676</v>
      </c>
      <c r="F10" s="2">
        <v>173852.18348257284</v>
      </c>
      <c r="G10" s="2">
        <v>180458.56645491059</v>
      </c>
      <c r="H10" s="2">
        <v>186233.24058146775</v>
      </c>
      <c r="I10" s="2">
        <v>186233.24058146775</v>
      </c>
    </row>
    <row r="11" spans="1:9" x14ac:dyDescent="0.2">
      <c r="A11" s="9" t="s">
        <v>7</v>
      </c>
      <c r="B11" s="7">
        <v>27831</v>
      </c>
      <c r="C11" s="8">
        <v>23755</v>
      </c>
      <c r="D11" s="2">
        <f xml:space="preserve"> C11 * 0.9005</f>
        <v>21391.377499999999</v>
      </c>
      <c r="E11" s="2">
        <f>D11 * 0.9005</f>
        <v>19262.935438749999</v>
      </c>
      <c r="F11" s="2">
        <v>19263</v>
      </c>
      <c r="G11" s="2">
        <v>19263</v>
      </c>
      <c r="H11" s="2">
        <v>19263</v>
      </c>
      <c r="I11" s="2">
        <v>19263</v>
      </c>
    </row>
    <row r="12" spans="1:9" x14ac:dyDescent="0.2">
      <c r="A12" s="24" t="s">
        <v>8</v>
      </c>
      <c r="B12" s="14">
        <f>SUM(B7:B11)</f>
        <v>270674</v>
      </c>
      <c r="C12" s="15">
        <f>SUM(C7:C11)</f>
        <v>248204</v>
      </c>
      <c r="D12" s="2">
        <f>D7+D9+D10+D11</f>
        <v>245125.35717752064</v>
      </c>
      <c r="E12" s="2">
        <f t="shared" ref="E12:I12" si="0">E7+E9+E10+E11</f>
        <v>253994.53021885676</v>
      </c>
      <c r="F12" s="2">
        <f t="shared" si="0"/>
        <v>266232.58348257281</v>
      </c>
      <c r="G12" s="2">
        <f t="shared" si="0"/>
        <v>275546.96645491058</v>
      </c>
      <c r="H12" s="2">
        <f t="shared" si="0"/>
        <v>284055.24058146775</v>
      </c>
      <c r="I12" s="2">
        <f t="shared" si="0"/>
        <v>284055.24058146775</v>
      </c>
    </row>
    <row r="13" spans="1:9" x14ac:dyDescent="0.2">
      <c r="A13" s="1" t="s">
        <v>9</v>
      </c>
      <c r="B13" s="7">
        <v>277035</v>
      </c>
      <c r="C13" s="8">
        <v>273615</v>
      </c>
      <c r="D13" s="2">
        <f>C13*1.0121</f>
        <v>276925.7415</v>
      </c>
      <c r="E13" s="2">
        <f t="shared" ref="E13:H13" si="1">D13*1.0121</f>
        <v>280276.54297215003</v>
      </c>
      <c r="F13" s="2">
        <f t="shared" si="1"/>
        <v>283667.88914211304</v>
      </c>
      <c r="G13" s="2">
        <f t="shared" si="1"/>
        <v>287100.27060073259</v>
      </c>
      <c r="H13" s="2">
        <f t="shared" si="1"/>
        <v>290574.18387500144</v>
      </c>
      <c r="I13" s="2">
        <f>H13</f>
        <v>290574.18387500144</v>
      </c>
    </row>
    <row r="14" spans="1:9" x14ac:dyDescent="0.2">
      <c r="A14" s="1" t="s">
        <v>10</v>
      </c>
      <c r="B14" s="7">
        <v>45128</v>
      </c>
      <c r="C14" s="8">
        <v>45128</v>
      </c>
      <c r="D14" s="2">
        <v>45128</v>
      </c>
      <c r="E14" s="2">
        <v>45128</v>
      </c>
      <c r="F14" s="2">
        <v>45128</v>
      </c>
      <c r="G14" s="2">
        <v>45128</v>
      </c>
      <c r="H14" s="2">
        <v>45128</v>
      </c>
      <c r="I14" s="2">
        <v>45128</v>
      </c>
    </row>
    <row r="15" spans="1:9" x14ac:dyDescent="0.2">
      <c r="A15" s="1" t="s">
        <v>11</v>
      </c>
      <c r="B15" s="7">
        <v>8010</v>
      </c>
      <c r="C15" s="8">
        <v>7820</v>
      </c>
      <c r="D15" s="2">
        <v>7820</v>
      </c>
      <c r="E15" s="2">
        <v>7820</v>
      </c>
      <c r="F15" s="2">
        <v>7820</v>
      </c>
      <c r="G15" s="2">
        <v>7820</v>
      </c>
      <c r="H15" s="2">
        <v>7820</v>
      </c>
      <c r="I15" s="2">
        <v>7820</v>
      </c>
    </row>
    <row r="16" spans="1:9" x14ac:dyDescent="0.2">
      <c r="A16" s="1" t="s">
        <v>12</v>
      </c>
      <c r="B16" s="7">
        <v>5130</v>
      </c>
      <c r="C16" s="8">
        <v>2642</v>
      </c>
      <c r="D16" s="2">
        <f>C16 * 0.9005</f>
        <v>2379.1210000000001</v>
      </c>
      <c r="E16" s="2">
        <f>D16 * 0.9005</f>
        <v>2142.3984605000001</v>
      </c>
      <c r="F16" s="2">
        <f>E16</f>
        <v>2142.3984605000001</v>
      </c>
      <c r="G16" s="2">
        <f t="shared" ref="G16:I16" si="2">F16</f>
        <v>2142.3984605000001</v>
      </c>
      <c r="H16" s="2">
        <f t="shared" si="2"/>
        <v>2142.3984605000001</v>
      </c>
      <c r="I16" s="2">
        <f t="shared" si="2"/>
        <v>2142.3984605000001</v>
      </c>
    </row>
    <row r="17" spans="1:9" x14ac:dyDescent="0.2">
      <c r="A17" s="3"/>
      <c r="B17" s="11"/>
      <c r="C17" s="25"/>
    </row>
    <row r="18" spans="1:9" ht="16" thickBot="1" x14ac:dyDescent="0.25">
      <c r="A18" s="26" t="s">
        <v>13</v>
      </c>
      <c r="B18" s="20">
        <f>SUM(B12:B16)</f>
        <v>605977</v>
      </c>
      <c r="C18" s="20">
        <f>SUM(C12:C16)</f>
        <v>577409</v>
      </c>
      <c r="D18" s="2">
        <f>SUM(D12:D16)</f>
        <v>577378.21967752068</v>
      </c>
      <c r="E18" s="2">
        <f t="shared" ref="E18:I18" si="3">SUM(E12:E16)</f>
        <v>589361.47165150673</v>
      </c>
      <c r="F18" s="2">
        <f t="shared" si="3"/>
        <v>604990.87108518579</v>
      </c>
      <c r="G18" s="2">
        <f t="shared" si="3"/>
        <v>617737.63551614317</v>
      </c>
      <c r="H18" s="2">
        <f t="shared" si="3"/>
        <v>629719.82291696919</v>
      </c>
      <c r="I18" s="2">
        <f t="shared" si="3"/>
        <v>629719.82291696919</v>
      </c>
    </row>
    <row r="19" spans="1:9" ht="16" thickTop="1" x14ac:dyDescent="0.2">
      <c r="A19" s="1"/>
      <c r="B19" s="7"/>
      <c r="C19" s="8"/>
    </row>
    <row r="20" spans="1:9" x14ac:dyDescent="0.2">
      <c r="A20" s="22" t="s">
        <v>14</v>
      </c>
      <c r="B20" s="7" t="s">
        <v>15</v>
      </c>
      <c r="C20" s="8" t="s">
        <v>15</v>
      </c>
    </row>
    <row r="21" spans="1:9" x14ac:dyDescent="0.2">
      <c r="A21" s="1" t="s">
        <v>16</v>
      </c>
      <c r="B21" s="7"/>
      <c r="C21" s="8"/>
    </row>
    <row r="22" spans="1:9" x14ac:dyDescent="0.2">
      <c r="A22" s="9" t="s">
        <v>17</v>
      </c>
      <c r="B22" s="7">
        <v>3034</v>
      </c>
      <c r="C22" s="8"/>
    </row>
    <row r="23" spans="1:9" x14ac:dyDescent="0.2">
      <c r="A23" s="9" t="s">
        <v>18</v>
      </c>
      <c r="B23" s="7">
        <v>67970</v>
      </c>
      <c r="C23" s="8">
        <v>60958</v>
      </c>
      <c r="D23" s="2">
        <v>70950.035669999997</v>
      </c>
      <c r="E23" s="2">
        <v>76540.898480795993</v>
      </c>
      <c r="F23" s="2">
        <v>82763.585549240466</v>
      </c>
      <c r="G23" s="2">
        <v>87839.132177642212</v>
      </c>
      <c r="H23" s="2">
        <v>92642.291756938343</v>
      </c>
      <c r="I23" s="2">
        <v>92642.291756938343</v>
      </c>
    </row>
    <row r="24" spans="1:9" x14ac:dyDescent="0.2">
      <c r="A24" s="9" t="s">
        <v>19</v>
      </c>
      <c r="B24" s="7">
        <v>18946</v>
      </c>
      <c r="C24" s="8">
        <v>15437</v>
      </c>
      <c r="D24" s="2">
        <f>D10*0.1247</f>
        <v>19459.469875786821</v>
      </c>
      <c r="E24" s="2">
        <f t="shared" ref="E24:I24" si="4">E10*0.1247</f>
        <v>20510.281249079315</v>
      </c>
      <c r="F24" s="2">
        <f t="shared" si="4"/>
        <v>21679.367280276834</v>
      </c>
      <c r="G24" s="2">
        <f t="shared" si="4"/>
        <v>22503.183236927351</v>
      </c>
      <c r="H24" s="2">
        <f t="shared" si="4"/>
        <v>23223.285100509031</v>
      </c>
      <c r="I24" s="2">
        <f t="shared" si="4"/>
        <v>23223.285100509031</v>
      </c>
    </row>
    <row r="25" spans="1:9" x14ac:dyDescent="0.2">
      <c r="A25" s="9" t="s">
        <v>20</v>
      </c>
      <c r="B25" s="7">
        <v>26896</v>
      </c>
      <c r="C25" s="8">
        <v>22067</v>
      </c>
      <c r="D25" s="2">
        <v>24301.522417545715</v>
      </c>
      <c r="E25" s="2">
        <v>25233.691089091804</v>
      </c>
      <c r="F25" s="2">
        <v>26672.011481170037</v>
      </c>
      <c r="G25" s="2">
        <v>27685.5479174545</v>
      </c>
      <c r="H25" s="2">
        <v>28571.485450813045</v>
      </c>
      <c r="I25" s="2">
        <v>28571.485450813045</v>
      </c>
    </row>
    <row r="26" spans="1:9" x14ac:dyDescent="0.2">
      <c r="A26" s="9" t="s">
        <v>21</v>
      </c>
      <c r="B26" s="7">
        <v>23816</v>
      </c>
      <c r="C26" s="8">
        <v>21884</v>
      </c>
      <c r="D26" s="2">
        <v>24301.522417545715</v>
      </c>
      <c r="E26" s="2">
        <v>25233.691089091804</v>
      </c>
      <c r="F26" s="2">
        <v>26672.011481170037</v>
      </c>
      <c r="G26" s="2">
        <v>27685.5479174545</v>
      </c>
      <c r="H26" s="2">
        <v>28571.485450813045</v>
      </c>
      <c r="I26" s="2">
        <v>28571.485450813045</v>
      </c>
    </row>
    <row r="27" spans="1:9" x14ac:dyDescent="0.2">
      <c r="A27" s="10" t="s">
        <v>22</v>
      </c>
      <c r="B27" s="7">
        <f>SUM(B22:B26)</f>
        <v>140662</v>
      </c>
      <c r="C27" s="8">
        <f>SUM(C22:C26)</f>
        <v>120346</v>
      </c>
      <c r="D27" s="2">
        <f>SUM(D23:D26)</f>
        <v>139012.55038087824</v>
      </c>
      <c r="E27" s="2">
        <f t="shared" ref="E27:I27" si="5">SUM(E23:E26)</f>
        <v>147518.56190805891</v>
      </c>
      <c r="F27" s="2">
        <f t="shared" si="5"/>
        <v>157786.9757918574</v>
      </c>
      <c r="G27" s="2">
        <f t="shared" si="5"/>
        <v>165713.41124947855</v>
      </c>
      <c r="H27" s="2">
        <f t="shared" si="5"/>
        <v>173008.54775907347</v>
      </c>
      <c r="I27" s="2">
        <f t="shared" si="5"/>
        <v>173008.54775907347</v>
      </c>
    </row>
    <row r="28" spans="1:9" x14ac:dyDescent="0.2">
      <c r="A28" s="1" t="s">
        <v>23</v>
      </c>
      <c r="B28" s="7">
        <v>73203</v>
      </c>
      <c r="C28" s="8">
        <v>41838</v>
      </c>
      <c r="D28" s="2">
        <f>D39 * 0.0964</f>
        <v>39915.783759144921</v>
      </c>
      <c r="E28" s="2">
        <f>E39 * 0.0964</f>
        <v>40161.128678279914</v>
      </c>
      <c r="F28" s="2">
        <f t="shared" ref="F28:I28" si="6">F39 * 0.0964</f>
        <v>40539.273599492066</v>
      </c>
      <c r="G28" s="2">
        <f t="shared" si="6"/>
        <v>40906.248400063851</v>
      </c>
      <c r="H28" s="2">
        <f t="shared" si="6"/>
        <v>41272.675727762777</v>
      </c>
      <c r="I28" s="2">
        <f t="shared" si="6"/>
        <v>41272.675727762777</v>
      </c>
    </row>
    <row r="29" spans="1:9" x14ac:dyDescent="0.2">
      <c r="A29" s="1" t="s">
        <v>24</v>
      </c>
      <c r="B29" s="7">
        <v>21577</v>
      </c>
      <c r="C29" s="8">
        <v>23023</v>
      </c>
      <c r="D29" s="2">
        <v>24301.522417545715</v>
      </c>
      <c r="E29" s="2">
        <v>25233.691089091804</v>
      </c>
      <c r="F29" s="2">
        <v>26672.011481170037</v>
      </c>
      <c r="G29" s="2">
        <v>27685.5479174545</v>
      </c>
      <c r="H29" s="2">
        <v>28571.485450813045</v>
      </c>
      <c r="I29" s="2">
        <v>28571.485450813045</v>
      </c>
    </row>
    <row r="30" spans="1:9" x14ac:dyDescent="0.2">
      <c r="A30" s="3"/>
      <c r="B30" s="7"/>
      <c r="C30" s="18"/>
    </row>
    <row r="31" spans="1:9" x14ac:dyDescent="0.2">
      <c r="A31" s="24" t="s">
        <v>25</v>
      </c>
      <c r="B31" s="14">
        <f>SUM(B27:B29)</f>
        <v>235442</v>
      </c>
      <c r="C31" s="8">
        <f>SUM(C27:C29)</f>
        <v>185207</v>
      </c>
      <c r="D31" s="2">
        <f>SUM(D27:D29)</f>
        <v>203229.85655756888</v>
      </c>
      <c r="E31" s="2">
        <f t="shared" ref="E31:I31" si="7">SUM(E27:E29)</f>
        <v>212913.3816754306</v>
      </c>
      <c r="F31" s="2">
        <f t="shared" si="7"/>
        <v>224998.26087251952</v>
      </c>
      <c r="G31" s="2">
        <f t="shared" si="7"/>
        <v>234305.20756699692</v>
      </c>
      <c r="H31" s="2">
        <f t="shared" si="7"/>
        <v>242852.70893764929</v>
      </c>
      <c r="I31" s="2">
        <f t="shared" si="7"/>
        <v>242852.70893764929</v>
      </c>
    </row>
    <row r="32" spans="1:9" x14ac:dyDescent="0.2">
      <c r="A32" s="1" t="s">
        <v>26</v>
      </c>
      <c r="B32" s="7"/>
      <c r="C32" s="8"/>
    </row>
    <row r="33" spans="1:10" s="1" customFormat="1" ht="14" x14ac:dyDescent="0.2">
      <c r="A33" s="32" t="s">
        <v>45</v>
      </c>
      <c r="B33" s="32"/>
      <c r="C33" s="33"/>
      <c r="D33" s="34"/>
      <c r="E33" s="7"/>
      <c r="F33" s="7"/>
      <c r="G33" s="7"/>
      <c r="H33" s="7"/>
      <c r="I33" s="7"/>
      <c r="J33" s="7"/>
    </row>
    <row r="34" spans="1:10" s="1" customFormat="1" ht="14" x14ac:dyDescent="0.2">
      <c r="A34" s="32"/>
      <c r="B34" s="32"/>
      <c r="C34" s="33"/>
      <c r="D34" s="34"/>
      <c r="E34" s="7"/>
      <c r="F34" s="7"/>
      <c r="G34" s="7"/>
      <c r="H34" s="7"/>
      <c r="I34" s="7"/>
      <c r="J34" s="7"/>
    </row>
    <row r="35" spans="1:10" s="1" customFormat="1" ht="12" customHeight="1" x14ac:dyDescent="0.2">
      <c r="A35" s="32"/>
      <c r="B35" s="32"/>
      <c r="C35" s="33"/>
      <c r="D35" s="34"/>
      <c r="E35" s="7"/>
      <c r="F35" s="7"/>
      <c r="G35" s="7"/>
      <c r="H35" s="7"/>
      <c r="I35" s="7"/>
      <c r="J35" s="7"/>
    </row>
    <row r="36" spans="1:10" ht="15" customHeight="1" x14ac:dyDescent="0.2">
      <c r="A36" s="27" t="s">
        <v>27</v>
      </c>
      <c r="B36" s="28">
        <f>B18-B31</f>
        <v>370535</v>
      </c>
      <c r="C36" s="28">
        <f>C18-C31</f>
        <v>392202</v>
      </c>
      <c r="D36" s="2">
        <f>D39-D28</f>
        <v>374148.3631199518</v>
      </c>
      <c r="E36" s="2">
        <f t="shared" ref="E36:I36" si="8">E39-E28</f>
        <v>376448.08997607604</v>
      </c>
      <c r="F36" s="2">
        <f t="shared" si="8"/>
        <v>379992.61021266633</v>
      </c>
      <c r="G36" s="2">
        <f t="shared" si="8"/>
        <v>383432.42794914625</v>
      </c>
      <c r="H36" s="2">
        <f t="shared" si="8"/>
        <v>386867.11397931993</v>
      </c>
      <c r="I36" s="2">
        <f t="shared" si="8"/>
        <v>386867.11397931993</v>
      </c>
    </row>
    <row r="37" spans="1:10" ht="16" thickBot="1" x14ac:dyDescent="0.25">
      <c r="A37" s="29" t="s">
        <v>28</v>
      </c>
      <c r="B37" s="30">
        <f>SUM(B31,B36)</f>
        <v>605977</v>
      </c>
      <c r="C37" s="30">
        <f>SUM(C31,C36)</f>
        <v>577409</v>
      </c>
      <c r="D37" s="2">
        <f>D31+D36</f>
        <v>577378.21967752068</v>
      </c>
      <c r="E37" s="2">
        <f t="shared" ref="E37:I37" si="9">E31+E36</f>
        <v>589361.47165150661</v>
      </c>
      <c r="F37" s="2">
        <f t="shared" si="9"/>
        <v>604990.87108518579</v>
      </c>
      <c r="G37" s="2">
        <f t="shared" si="9"/>
        <v>617737.63551614317</v>
      </c>
      <c r="H37" s="2">
        <f t="shared" si="9"/>
        <v>629719.82291696919</v>
      </c>
      <c r="I37" s="2">
        <f t="shared" si="9"/>
        <v>629719.82291696919</v>
      </c>
    </row>
    <row r="38" spans="1:10" ht="16" thickTop="1" x14ac:dyDescent="0.2"/>
    <row r="39" spans="1:10" x14ac:dyDescent="0.2">
      <c r="A39" s="2" t="s">
        <v>86</v>
      </c>
      <c r="D39" s="2">
        <f>D18 - D27-D29</f>
        <v>414064.14687909669</v>
      </c>
      <c r="E39" s="2">
        <f t="shared" ref="E39:I39" si="10">E18 - E27-E29</f>
        <v>416609.21865435597</v>
      </c>
      <c r="F39" s="2">
        <f t="shared" si="10"/>
        <v>420531.88381215837</v>
      </c>
      <c r="G39" s="2">
        <f t="shared" si="10"/>
        <v>424338.67634921009</v>
      </c>
      <c r="H39" s="2">
        <f t="shared" si="10"/>
        <v>428139.78970708273</v>
      </c>
      <c r="I39" s="2">
        <f t="shared" si="10"/>
        <v>428139.78970708273</v>
      </c>
    </row>
  </sheetData>
  <mergeCells count="5">
    <mergeCell ref="B3:C3"/>
    <mergeCell ref="B33:B35"/>
    <mergeCell ref="C33:C35"/>
    <mergeCell ref="D33:D35"/>
    <mergeCell ref="A33:A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zoomScale="125" zoomScaleNormal="160" workbookViewId="0">
      <selection activeCell="F11" sqref="F11"/>
    </sheetView>
  </sheetViews>
  <sheetFormatPr baseColWidth="10" defaultColWidth="8.83203125" defaultRowHeight="15" x14ac:dyDescent="0.2"/>
  <cols>
    <col min="1" max="1" width="44.5" style="2" customWidth="1"/>
    <col min="2" max="2" width="17.5" style="2" customWidth="1"/>
    <col min="3" max="3" width="16.83203125" style="2" customWidth="1"/>
    <col min="4" max="4" width="19.6640625" style="2" customWidth="1"/>
    <col min="5" max="10" width="11.1640625" style="2" bestFit="1" customWidth="1"/>
    <col min="11" max="16384" width="8.83203125" style="2"/>
  </cols>
  <sheetData>
    <row r="1" spans="1:10" x14ac:dyDescent="0.2">
      <c r="A1" s="1" t="s">
        <v>0</v>
      </c>
      <c r="B1" s="1"/>
      <c r="C1" s="1"/>
      <c r="D1" s="1"/>
    </row>
    <row r="2" spans="1:10" x14ac:dyDescent="0.2">
      <c r="A2" s="3" t="s">
        <v>43</v>
      </c>
      <c r="B2" s="1"/>
      <c r="C2" s="1"/>
      <c r="D2" s="1"/>
    </row>
    <row r="3" spans="1:10" x14ac:dyDescent="0.2">
      <c r="A3" s="1"/>
      <c r="B3" s="31" t="s">
        <v>44</v>
      </c>
      <c r="C3" s="31"/>
      <c r="D3" s="31"/>
    </row>
    <row r="4" spans="1:10" ht="16" thickBot="1" x14ac:dyDescent="0.25">
      <c r="A4" s="1"/>
      <c r="B4" s="4">
        <v>2015</v>
      </c>
      <c r="C4" s="5">
        <v>2016</v>
      </c>
      <c r="D4" s="5">
        <v>2017</v>
      </c>
      <c r="E4" s="6">
        <v>2018</v>
      </c>
      <c r="F4" s="6">
        <v>2019</v>
      </c>
      <c r="G4" s="6">
        <v>2020</v>
      </c>
      <c r="H4" s="6">
        <v>2021</v>
      </c>
      <c r="I4" s="6">
        <v>2022</v>
      </c>
      <c r="J4" s="6">
        <v>2023</v>
      </c>
    </row>
    <row r="5" spans="1:10" ht="16" thickTop="1" x14ac:dyDescent="0.2">
      <c r="A5" s="1" t="s">
        <v>30</v>
      </c>
      <c r="B5" s="7">
        <v>746659</v>
      </c>
      <c r="C5" s="7">
        <v>754600</v>
      </c>
      <c r="D5" s="8">
        <v>794202</v>
      </c>
      <c r="E5" s="2">
        <f>1.051 * D5</f>
        <v>834706.30199999991</v>
      </c>
      <c r="F5" s="2">
        <f>1.054*E5</f>
        <v>879780.44230799994</v>
      </c>
      <c r="G5" s="2">
        <f>1.057*F5</f>
        <v>929927.9275195559</v>
      </c>
      <c r="H5" s="2">
        <f>1.038*G5</f>
        <v>965265.18876529904</v>
      </c>
      <c r="I5" s="2">
        <f>1.032*H5</f>
        <v>996153.67480578867</v>
      </c>
      <c r="J5" s="2">
        <f>I5</f>
        <v>996153.67480578867</v>
      </c>
    </row>
    <row r="6" spans="1:10" x14ac:dyDescent="0.2">
      <c r="A6" s="9" t="s">
        <v>31</v>
      </c>
      <c r="B6" s="7">
        <v>340163</v>
      </c>
      <c r="C6" s="7">
        <v>343437</v>
      </c>
      <c r="D6" s="8">
        <v>351966</v>
      </c>
      <c r="E6" s="2">
        <f>0.4188*E5</f>
        <v>349574.99927759997</v>
      </c>
      <c r="F6" s="2">
        <f t="shared" ref="F6:H6" si="0">0.4188*F5</f>
        <v>368452.04923859041</v>
      </c>
      <c r="G6" s="2">
        <f t="shared" si="0"/>
        <v>389453.81604519003</v>
      </c>
      <c r="H6" s="2">
        <f t="shared" si="0"/>
        <v>404253.06105490722</v>
      </c>
      <c r="I6" s="2">
        <f t="shared" ref="I6" si="1">0.4188*I5</f>
        <v>417189.15900866431</v>
      </c>
      <c r="J6" s="2">
        <f t="shared" ref="J6" si="2">0.4188*J5</f>
        <v>417189.15900866431</v>
      </c>
    </row>
    <row r="7" spans="1:10" x14ac:dyDescent="0.2">
      <c r="A7" s="10" t="s">
        <v>32</v>
      </c>
      <c r="B7" s="11" t="s">
        <v>33</v>
      </c>
      <c r="C7" s="11" t="s">
        <v>33</v>
      </c>
      <c r="D7" s="12" t="s">
        <v>33</v>
      </c>
      <c r="E7" s="2">
        <v>19351.699415070001</v>
      </c>
      <c r="F7" s="2">
        <v>19586.242011980645</v>
      </c>
      <c r="G7" s="2">
        <v>19823.627265165851</v>
      </c>
      <c r="H7" s="2">
        <v>20063.889627619661</v>
      </c>
      <c r="I7" s="2">
        <v>20307.063969906405</v>
      </c>
      <c r="J7" s="2">
        <v>20429.383521083902</v>
      </c>
    </row>
    <row r="8" spans="1:10" x14ac:dyDescent="0.2">
      <c r="A8" s="9" t="s">
        <v>34</v>
      </c>
      <c r="B8" s="7">
        <v>336860</v>
      </c>
      <c r="C8" s="7">
        <v>345229</v>
      </c>
      <c r="D8" s="8">
        <v>353057</v>
      </c>
      <c r="E8" s="2">
        <f>0.438 * E5</f>
        <v>365601.36027599993</v>
      </c>
      <c r="F8" s="2">
        <f>0.4315*F5</f>
        <v>379625.26085590199</v>
      </c>
      <c r="G8" s="2">
        <f t="shared" ref="G8:J8" si="3">0.4315*G5</f>
        <v>401263.90072468837</v>
      </c>
      <c r="H8" s="2">
        <f t="shared" si="3"/>
        <v>416511.92895222653</v>
      </c>
      <c r="I8" s="2">
        <f t="shared" si="3"/>
        <v>429840.31067869783</v>
      </c>
      <c r="J8" s="2">
        <f t="shared" si="3"/>
        <v>429840.31067869783</v>
      </c>
    </row>
    <row r="9" spans="1:10" x14ac:dyDescent="0.2">
      <c r="A9" s="13" t="s">
        <v>35</v>
      </c>
      <c r="B9" s="14">
        <f>SUM(B5-SUM(B6,B8))</f>
        <v>69636</v>
      </c>
      <c r="C9" s="14">
        <f>SUM(C5-SUM(C6,C8))</f>
        <v>65934</v>
      </c>
      <c r="D9" s="15">
        <f>SUM(D5-SUM(D6,D8))</f>
        <v>89179</v>
      </c>
      <c r="E9" s="2">
        <f xml:space="preserve"> E5 - E6-E7 - E8</f>
        <v>100178.24303133</v>
      </c>
      <c r="F9" s="2">
        <f t="shared" ref="F9:J9" si="4" xml:space="preserve"> F5 - F6-F7 - F8</f>
        <v>112116.89020152693</v>
      </c>
      <c r="G9" s="2">
        <f t="shared" si="4"/>
        <v>119386.58348451171</v>
      </c>
      <c r="H9" s="2">
        <f t="shared" si="4"/>
        <v>124436.30913054559</v>
      </c>
      <c r="I9" s="2">
        <f t="shared" si="4"/>
        <v>128817.14114852011</v>
      </c>
      <c r="J9" s="2">
        <f t="shared" si="4"/>
        <v>128694.82159734267</v>
      </c>
    </row>
    <row r="10" spans="1:10" x14ac:dyDescent="0.2">
      <c r="A10" s="1" t="s">
        <v>36</v>
      </c>
      <c r="B10" s="7"/>
      <c r="C10" s="7"/>
      <c r="D10" s="8"/>
    </row>
    <row r="11" spans="1:10" x14ac:dyDescent="0.2">
      <c r="A11" s="9" t="s">
        <v>37</v>
      </c>
      <c r="B11" s="7">
        <v>-7510</v>
      </c>
      <c r="C11" s="7">
        <v>-5918</v>
      </c>
      <c r="D11" s="8">
        <v>-1618</v>
      </c>
      <c r="E11" s="2">
        <f>(BS!C28+BS!D28)/2 *-0.0275</f>
        <v>-1124.1145266882427</v>
      </c>
      <c r="F11" s="2">
        <f>(BS!D28+BS!E28)/2 *-0.0275</f>
        <v>-1101.0575460145915</v>
      </c>
      <c r="G11" s="2">
        <f>(BS!E28+BS!F28)/2 *-0.0275</f>
        <v>-1109.6305313193648</v>
      </c>
      <c r="H11" s="2">
        <f>(BS!F28+BS!G28)/2 *-0.0275</f>
        <v>-1119.8759274938939</v>
      </c>
      <c r="I11" s="2">
        <f>(BS!G28+BS!H28)/2 *-0.0275</f>
        <v>-1129.9602067576161</v>
      </c>
      <c r="J11" s="2">
        <f>(BS!H28+BS!I28)/2 *-0.0275</f>
        <v>-1134.9985825134763</v>
      </c>
    </row>
    <row r="12" spans="1:10" x14ac:dyDescent="0.2">
      <c r="A12" s="9" t="s">
        <v>38</v>
      </c>
      <c r="B12" s="7">
        <v>276</v>
      </c>
      <c r="C12" s="7">
        <v>-3333</v>
      </c>
      <c r="D12" s="8">
        <v>395</v>
      </c>
      <c r="E12" s="2">
        <f>52659 * 0.0061</f>
        <v>321.2199</v>
      </c>
      <c r="F12" s="2">
        <f t="shared" ref="F12:J12" si="5">52659 * 0.0061</f>
        <v>321.2199</v>
      </c>
      <c r="G12" s="2">
        <f t="shared" si="5"/>
        <v>321.2199</v>
      </c>
      <c r="H12" s="2">
        <f t="shared" si="5"/>
        <v>321.2199</v>
      </c>
      <c r="I12" s="2">
        <f t="shared" si="5"/>
        <v>321.2199</v>
      </c>
      <c r="J12" s="2">
        <f t="shared" si="5"/>
        <v>321.2199</v>
      </c>
    </row>
    <row r="13" spans="1:10" x14ac:dyDescent="0.2">
      <c r="A13" s="16" t="s">
        <v>39</v>
      </c>
      <c r="B13" s="17">
        <v>0</v>
      </c>
      <c r="C13" s="17">
        <v>0</v>
      </c>
      <c r="D13" s="18">
        <v>0</v>
      </c>
    </row>
    <row r="14" spans="1:10" x14ac:dyDescent="0.2">
      <c r="A14" s="1" t="s">
        <v>40</v>
      </c>
      <c r="B14" s="7">
        <f t="shared" ref="B14:D14" si="6">SUM(B9:B13)</f>
        <v>62402</v>
      </c>
      <c r="C14" s="7">
        <f t="shared" si="6"/>
        <v>56683</v>
      </c>
      <c r="D14" s="15">
        <f t="shared" si="6"/>
        <v>87956</v>
      </c>
      <c r="E14" s="2">
        <f>E9+E11+E12</f>
        <v>99375.348404641758</v>
      </c>
      <c r="F14" s="2">
        <f t="shared" ref="F14:J14" si="7">F9+F11+F12</f>
        <v>111337.05255551233</v>
      </c>
      <c r="G14" s="2">
        <f t="shared" si="7"/>
        <v>118598.17285319234</v>
      </c>
      <c r="H14" s="2">
        <f t="shared" si="7"/>
        <v>123637.65310305169</v>
      </c>
      <c r="I14" s="2">
        <f t="shared" si="7"/>
        <v>128008.40084176249</v>
      </c>
      <c r="J14" s="2">
        <f t="shared" si="7"/>
        <v>127881.04291482919</v>
      </c>
    </row>
    <row r="15" spans="1:10" x14ac:dyDescent="0.2">
      <c r="A15" s="1" t="s">
        <v>41</v>
      </c>
      <c r="B15" s="7">
        <v>19471</v>
      </c>
      <c r="C15" s="7">
        <v>19541</v>
      </c>
      <c r="D15" s="8">
        <v>31319</v>
      </c>
      <c r="E15" s="2">
        <f>E14*0.25</f>
        <v>24843.837101160439</v>
      </c>
      <c r="F15" s="2">
        <f t="shared" ref="F15:J15" si="8">F14*0.25</f>
        <v>27834.263138878083</v>
      </c>
      <c r="G15" s="2">
        <f t="shared" si="8"/>
        <v>29649.543213298086</v>
      </c>
      <c r="H15" s="2">
        <f t="shared" si="8"/>
        <v>30909.413275762923</v>
      </c>
      <c r="I15" s="2">
        <f t="shared" si="8"/>
        <v>32002.100210440622</v>
      </c>
      <c r="J15" s="2">
        <f t="shared" si="8"/>
        <v>31970.260728707297</v>
      </c>
    </row>
    <row r="16" spans="1:10" ht="16" thickBot="1" x14ac:dyDescent="0.25">
      <c r="A16" s="19" t="s">
        <v>42</v>
      </c>
      <c r="B16" s="20">
        <f t="shared" ref="B16:D16" si="9">B14-B15</f>
        <v>42931</v>
      </c>
      <c r="C16" s="20">
        <f t="shared" si="9"/>
        <v>37142</v>
      </c>
      <c r="D16" s="21">
        <f t="shared" si="9"/>
        <v>56637</v>
      </c>
      <c r="E16" s="2">
        <f>E14-E15</f>
        <v>74531.511303481326</v>
      </c>
      <c r="F16" s="2">
        <f t="shared" ref="F16:J16" si="10">F14-F15</f>
        <v>83502.789416634245</v>
      </c>
      <c r="G16" s="2">
        <f t="shared" si="10"/>
        <v>88948.629639894265</v>
      </c>
      <c r="H16" s="2">
        <f t="shared" si="10"/>
        <v>92728.239827288766</v>
      </c>
      <c r="I16" s="2">
        <f t="shared" si="10"/>
        <v>96006.300631321865</v>
      </c>
      <c r="J16" s="2">
        <f t="shared" si="10"/>
        <v>95910.782186121884</v>
      </c>
    </row>
    <row r="17" ht="16" thickTop="1" x14ac:dyDescent="0.2"/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zoomScale="130" zoomScaleNormal="130" workbookViewId="0">
      <selection activeCell="D24" sqref="D24"/>
    </sheetView>
  </sheetViews>
  <sheetFormatPr baseColWidth="10" defaultColWidth="8.83203125" defaultRowHeight="15" x14ac:dyDescent="0.2"/>
  <cols>
    <col min="1" max="1" width="67.1640625" bestFit="1" customWidth="1"/>
  </cols>
  <sheetData>
    <row r="1" spans="1:7" ht="20" x14ac:dyDescent="0.2">
      <c r="A1" s="35" t="s">
        <v>46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2">
      <c r="A2" s="36" t="s">
        <v>42</v>
      </c>
      <c r="B2" s="2">
        <f>IS!E16</f>
        <v>74531.511303481326</v>
      </c>
      <c r="C2" s="2">
        <f>IS!F16</f>
        <v>83502.789416634245</v>
      </c>
      <c r="D2" s="2">
        <f>IS!G16</f>
        <v>88948.629639894265</v>
      </c>
      <c r="E2" s="2">
        <f>IS!H16</f>
        <v>92728.239827288766</v>
      </c>
      <c r="F2" s="2">
        <f>IS!I16</f>
        <v>96006.300631321865</v>
      </c>
      <c r="G2" s="2">
        <f>IS!J16</f>
        <v>95910.782186121884</v>
      </c>
    </row>
    <row r="3" spans="1:7" x14ac:dyDescent="0.2">
      <c r="A3" s="36" t="s">
        <v>47</v>
      </c>
    </row>
    <row r="4" spans="1:7" x14ac:dyDescent="0.2">
      <c r="A4" s="37" t="s">
        <v>48</v>
      </c>
      <c r="B4" s="2">
        <f>IS!E7</f>
        <v>19351.699415070001</v>
      </c>
      <c r="C4" s="2">
        <f>IS!F7</f>
        <v>19586.242011980645</v>
      </c>
      <c r="D4" s="2">
        <f>IS!G7</f>
        <v>19823.627265165851</v>
      </c>
      <c r="E4" s="2">
        <f>IS!H7</f>
        <v>20063.889627619661</v>
      </c>
      <c r="F4" s="2">
        <f>IS!I7</f>
        <v>20307.063969906405</v>
      </c>
      <c r="G4" s="2">
        <f>IS!J7</f>
        <v>20429.383521083902</v>
      </c>
    </row>
    <row r="5" spans="1:7" x14ac:dyDescent="0.2">
      <c r="A5" s="37" t="s">
        <v>49</v>
      </c>
    </row>
    <row r="6" spans="1:7" x14ac:dyDescent="0.2">
      <c r="A6" s="37" t="s">
        <v>62</v>
      </c>
      <c r="B6" s="2">
        <f>-(BS!D9-BS!C9)</f>
        <v>-5557.7000000000007</v>
      </c>
      <c r="C6" s="2">
        <f>-(BS!E9-BS!D9)</f>
        <v>-2570.8999999999978</v>
      </c>
      <c r="D6" s="2">
        <f>-(BS!F9-BS!E9)</f>
        <v>-2862.8000000000029</v>
      </c>
      <c r="E6" s="2">
        <f>-(BS!G9-BS!F9)</f>
        <v>-2708</v>
      </c>
      <c r="F6" s="2">
        <f>-(BS!H9-BS!G9)</f>
        <v>-2733.5999999999985</v>
      </c>
      <c r="G6" s="2">
        <f>-(BS!I9-BS!H9)</f>
        <v>0</v>
      </c>
    </row>
    <row r="7" spans="1:7" x14ac:dyDescent="0.2">
      <c r="A7" s="37" t="s">
        <v>63</v>
      </c>
      <c r="B7" s="2">
        <f>-(BS!D10 - BS!C10)</f>
        <v>6272.7203224793775</v>
      </c>
      <c r="C7" s="2">
        <f>-(BS!E10 - BS!D10)</f>
        <v>-8426.7151025861385</v>
      </c>
      <c r="D7" s="2">
        <f>-(BS!F10 - BS!E10)</f>
        <v>-9375.1887024660828</v>
      </c>
      <c r="E7" s="2">
        <f>-(BS!G10 - BS!F10)</f>
        <v>-6606.3829723377421</v>
      </c>
      <c r="F7" s="2">
        <f>-(BS!H10 - BS!G10)</f>
        <v>-5774.6741265571618</v>
      </c>
      <c r="G7" s="2">
        <f>-(BS!I10 - BS!H10)</f>
        <v>0</v>
      </c>
    </row>
    <row r="8" spans="1:7" x14ac:dyDescent="0.2">
      <c r="A8" s="38" t="s">
        <v>61</v>
      </c>
      <c r="B8" s="2">
        <f>-(BS!D11-BS!C11)</f>
        <v>2363.6225000000013</v>
      </c>
      <c r="C8" s="2">
        <f>-(BS!E11-BS!D11)</f>
        <v>2128.4420612499998</v>
      </c>
      <c r="D8" s="2">
        <f>-(BS!F11-BS!E11)</f>
        <v>-6.4561250001133885E-2</v>
      </c>
      <c r="E8" s="2">
        <f>-(BS!G11-BS!F11)</f>
        <v>0</v>
      </c>
      <c r="F8" s="2">
        <f>-(BS!H11-BS!G11)</f>
        <v>0</v>
      </c>
      <c r="G8" s="2">
        <f>-(BS!I11-BS!H11)</f>
        <v>0</v>
      </c>
    </row>
    <row r="9" spans="1:7" x14ac:dyDescent="0.2">
      <c r="A9" s="38" t="s">
        <v>50</v>
      </c>
      <c r="B9" s="2">
        <f>-(BS!D16-BS!C16)</f>
        <v>262.87899999999991</v>
      </c>
      <c r="C9" s="2">
        <f>-(BS!E16-BS!D16)</f>
        <v>236.72253950000004</v>
      </c>
      <c r="D9" s="2">
        <f>-(BS!F16-BS!E16)</f>
        <v>0</v>
      </c>
      <c r="E9" s="2">
        <f>-(BS!G16-BS!F16)</f>
        <v>0</v>
      </c>
      <c r="F9" s="2">
        <f>-(BS!H16-BS!G16)</f>
        <v>0</v>
      </c>
      <c r="G9" s="2">
        <f>-(BS!I16-BS!H16)</f>
        <v>0</v>
      </c>
    </row>
    <row r="10" spans="1:7" x14ac:dyDescent="0.2">
      <c r="A10" s="38" t="s">
        <v>18</v>
      </c>
      <c r="B10" s="2">
        <f>BS!D23 - BS!C23</f>
        <v>9992.0356699999975</v>
      </c>
      <c r="C10" s="2">
        <f>BS!E23 - BS!D23</f>
        <v>5590.8628107959958</v>
      </c>
      <c r="D10" s="2">
        <f>BS!F23 - BS!E23</f>
        <v>6222.687068444473</v>
      </c>
      <c r="E10" s="2">
        <f>BS!G23 - BS!F23</f>
        <v>5075.5466284017457</v>
      </c>
      <c r="F10" s="2">
        <f>BS!H23 - BS!G23</f>
        <v>4803.1595792961307</v>
      </c>
      <c r="G10" s="2">
        <f>BS!I23 - BS!H23</f>
        <v>0</v>
      </c>
    </row>
    <row r="11" spans="1:7" x14ac:dyDescent="0.2">
      <c r="A11" s="38" t="s">
        <v>19</v>
      </c>
      <c r="B11" s="2">
        <f>BS!D24 - BS!C24</f>
        <v>4022.4698757868209</v>
      </c>
      <c r="C11" s="2">
        <f>BS!E24 - BS!D24</f>
        <v>1050.811373292494</v>
      </c>
      <c r="D11" s="2">
        <f>BS!F24 - BS!E24</f>
        <v>1169.0860311975193</v>
      </c>
      <c r="E11" s="2">
        <f>BS!G24 - BS!F24</f>
        <v>823.81595665051645</v>
      </c>
      <c r="F11" s="2">
        <f>BS!H24 - BS!G24</f>
        <v>720.10186358167994</v>
      </c>
      <c r="G11" s="2">
        <f>BS!I24 - BS!H24</f>
        <v>0</v>
      </c>
    </row>
    <row r="12" spans="1:7" x14ac:dyDescent="0.2">
      <c r="A12" s="38" t="s">
        <v>20</v>
      </c>
      <c r="B12" s="2">
        <f>BS!D25 - BS!C25</f>
        <v>2234.5224175457151</v>
      </c>
      <c r="C12" s="2">
        <f>BS!E25 - BS!D25</f>
        <v>932.16867154608917</v>
      </c>
      <c r="D12" s="2">
        <f>BS!F25 - BS!E25</f>
        <v>1438.3203920782325</v>
      </c>
      <c r="E12" s="2">
        <f>BS!G25 - BS!F25</f>
        <v>1013.536436284463</v>
      </c>
      <c r="F12" s="2">
        <f>BS!H25 - BS!G25</f>
        <v>885.9375333585449</v>
      </c>
      <c r="G12" s="2">
        <f>BS!I25 - BS!H25</f>
        <v>0</v>
      </c>
    </row>
    <row r="13" spans="1:7" x14ac:dyDescent="0.2">
      <c r="A13" s="38" t="s">
        <v>21</v>
      </c>
      <c r="B13" s="2">
        <f>BS!D26 - BS!C26</f>
        <v>2417.5224175457151</v>
      </c>
      <c r="C13" s="2">
        <f>BS!E26 - BS!D26</f>
        <v>932.16867154608917</v>
      </c>
      <c r="D13" s="2">
        <f>BS!F26 - BS!E26</f>
        <v>1438.3203920782325</v>
      </c>
      <c r="E13" s="2">
        <f>BS!G26 - BS!F26</f>
        <v>1013.536436284463</v>
      </c>
      <c r="F13" s="2">
        <f>BS!H26 - BS!G26</f>
        <v>885.9375333585449</v>
      </c>
      <c r="G13" s="2">
        <f>BS!I26 - BS!H26</f>
        <v>0</v>
      </c>
    </row>
    <row r="14" spans="1:7" x14ac:dyDescent="0.2">
      <c r="A14" s="38" t="s">
        <v>51</v>
      </c>
      <c r="B14" s="2">
        <f>BS!D29 - BS!C29</f>
        <v>1278.5224175457151</v>
      </c>
      <c r="C14" s="2">
        <f>BS!E29 - BS!D29</f>
        <v>932.16867154608917</v>
      </c>
      <c r="D14" s="2">
        <f>BS!F29 - BS!E29</f>
        <v>1438.3203920782325</v>
      </c>
      <c r="E14" s="2">
        <f>BS!G29 - BS!F29</f>
        <v>1013.536436284463</v>
      </c>
      <c r="F14" s="2">
        <f>BS!H29 - BS!G29</f>
        <v>885.9375333585449</v>
      </c>
      <c r="G14" s="2">
        <f>BS!I29 - BS!H29</f>
        <v>0</v>
      </c>
    </row>
    <row r="15" spans="1:7" x14ac:dyDescent="0.2">
      <c r="A15" s="39" t="s">
        <v>52</v>
      </c>
      <c r="B15" s="2">
        <f>SUM(B2:B14)</f>
        <v>117169.80533945466</v>
      </c>
      <c r="C15" s="2">
        <f t="shared" ref="C15:G15" si="0">SUM(C2:C14)</f>
        <v>103894.76112550552</v>
      </c>
      <c r="D15" s="2">
        <f t="shared" si="0"/>
        <v>108240.9379172207</v>
      </c>
      <c r="E15" s="2">
        <f t="shared" si="0"/>
        <v>112417.71837647632</v>
      </c>
      <c r="F15" s="2">
        <f t="shared" si="0"/>
        <v>115986.16451762457</v>
      </c>
      <c r="G15" s="2">
        <f t="shared" si="0"/>
        <v>116340.16570720579</v>
      </c>
    </row>
    <row r="16" spans="1:7" x14ac:dyDescent="0.2">
      <c r="A16" s="40" t="s">
        <v>53</v>
      </c>
    </row>
    <row r="17" spans="1:7" x14ac:dyDescent="0.2">
      <c r="A17" s="36" t="s">
        <v>54</v>
      </c>
    </row>
    <row r="18" spans="1:7" x14ac:dyDescent="0.2">
      <c r="A18" s="36" t="s">
        <v>55</v>
      </c>
      <c r="B18" s="2">
        <f>-(BS!D13-BS!C13+B4)</f>
        <v>-22662.440915070005</v>
      </c>
      <c r="C18" s="2">
        <f>-(BS!E13-BS!D13+C4)</f>
        <v>-22937.043484130667</v>
      </c>
      <c r="D18" s="2">
        <f>-(BS!F13-BS!E13+D4)</f>
        <v>-23214.973435128864</v>
      </c>
      <c r="E18" s="2">
        <f>-(BS!G13-BS!F13+E4)</f>
        <v>-23496.271086239212</v>
      </c>
      <c r="F18" s="2">
        <f>-(BS!H13-BS!G13+F4)</f>
        <v>-23780.977244175258</v>
      </c>
      <c r="G18" s="2">
        <f>-(BS!I13-BS!H13+G4)</f>
        <v>-20429.383521083902</v>
      </c>
    </row>
    <row r="19" spans="1:7" x14ac:dyDescent="0.2">
      <c r="A19" s="41" t="s">
        <v>56</v>
      </c>
      <c r="B19" s="2">
        <f>B18</f>
        <v>-22662.440915070005</v>
      </c>
      <c r="C19" s="2">
        <f t="shared" ref="C19:G19" si="1">C18</f>
        <v>-22937.043484130667</v>
      </c>
      <c r="D19" s="2">
        <f t="shared" si="1"/>
        <v>-23214.973435128864</v>
      </c>
      <c r="E19" s="2">
        <f t="shared" si="1"/>
        <v>-23496.271086239212</v>
      </c>
      <c r="F19" s="2">
        <f t="shared" si="1"/>
        <v>-23780.977244175258</v>
      </c>
      <c r="G19" s="2">
        <f t="shared" si="1"/>
        <v>-20429.383521083902</v>
      </c>
    </row>
    <row r="20" spans="1:7" x14ac:dyDescent="0.2">
      <c r="A20" s="40" t="s">
        <v>57</v>
      </c>
    </row>
    <row r="21" spans="1:7" x14ac:dyDescent="0.2">
      <c r="A21" s="36" t="s">
        <v>58</v>
      </c>
      <c r="B21" s="2">
        <f>BS!D28 - BS!C28</f>
        <v>-1922.2162408550794</v>
      </c>
      <c r="C21" s="2">
        <f>BS!E28 - BS!D28</f>
        <v>245.34491913499369</v>
      </c>
      <c r="D21" s="2">
        <f>BS!F28 - BS!E28</f>
        <v>378.14492121215153</v>
      </c>
      <c r="E21" s="2">
        <f>BS!G28 - BS!F28</f>
        <v>366.97480057178473</v>
      </c>
      <c r="F21" s="2">
        <f>BS!H28 - BS!G28</f>
        <v>366.42732769892609</v>
      </c>
      <c r="G21" s="2">
        <f>BS!I28 - BS!H28</f>
        <v>0</v>
      </c>
    </row>
    <row r="22" spans="1:7" x14ac:dyDescent="0.2">
      <c r="A22" s="41" t="s">
        <v>59</v>
      </c>
      <c r="B22" s="2">
        <f>B21</f>
        <v>-1922.2162408550794</v>
      </c>
      <c r="C22" s="2">
        <f t="shared" ref="C22:G22" si="2">C21</f>
        <v>245.34491913499369</v>
      </c>
      <c r="D22" s="2">
        <f t="shared" si="2"/>
        <v>378.14492121215153</v>
      </c>
      <c r="E22" s="2">
        <f t="shared" si="2"/>
        <v>366.97480057178473</v>
      </c>
      <c r="F22" s="2">
        <f t="shared" si="2"/>
        <v>366.42732769892609</v>
      </c>
      <c r="G22" s="2">
        <f t="shared" si="2"/>
        <v>0</v>
      </c>
    </row>
    <row r="23" spans="1:7" x14ac:dyDescent="0.2">
      <c r="A23" s="40" t="s">
        <v>60</v>
      </c>
      <c r="B23" s="2">
        <f>B15+B19+B22</f>
        <v>92585.148183529571</v>
      </c>
      <c r="C23" s="2">
        <f t="shared" ref="C23:G23" si="3">C15+C19+C22</f>
        <v>81203.062560509847</v>
      </c>
      <c r="D23" s="2">
        <f t="shared" si="3"/>
        <v>85404.109403303984</v>
      </c>
      <c r="E23" s="2">
        <f t="shared" si="3"/>
        <v>89288.42209080889</v>
      </c>
      <c r="F23" s="2">
        <f t="shared" si="3"/>
        <v>92571.614601148234</v>
      </c>
      <c r="G23" s="2">
        <f t="shared" si="3"/>
        <v>95910.782186121884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6241-F324-1740-953F-297955F03CFD}">
  <dimension ref="A1:H58"/>
  <sheetViews>
    <sheetView tabSelected="1" zoomScale="112" workbookViewId="0">
      <selection activeCell="F31" sqref="F31"/>
    </sheetView>
  </sheetViews>
  <sheetFormatPr baseColWidth="10" defaultRowHeight="15" x14ac:dyDescent="0.2"/>
  <cols>
    <col min="1" max="1" width="35" bestFit="1" customWidth="1"/>
  </cols>
  <sheetData>
    <row r="1" spans="1:8" ht="23" x14ac:dyDescent="0.25">
      <c r="A1" s="42" t="s">
        <v>64</v>
      </c>
      <c r="C1" t="s">
        <v>85</v>
      </c>
      <c r="D1" t="s">
        <v>84</v>
      </c>
    </row>
    <row r="2" spans="1:8" x14ac:dyDescent="0.2">
      <c r="A2" s="36" t="s">
        <v>65</v>
      </c>
      <c r="B2" s="47">
        <v>0.1</v>
      </c>
      <c r="D2" s="47">
        <v>0.25</v>
      </c>
    </row>
    <row r="3" spans="1:8" x14ac:dyDescent="0.2">
      <c r="A3" s="36" t="s">
        <v>66</v>
      </c>
      <c r="B3" s="48">
        <v>2.75E-2</v>
      </c>
    </row>
    <row r="4" spans="1:8" x14ac:dyDescent="0.2">
      <c r="A4" s="36" t="s">
        <v>67</v>
      </c>
    </row>
    <row r="5" spans="1:8" x14ac:dyDescent="0.2">
      <c r="A5" s="36" t="s">
        <v>68</v>
      </c>
      <c r="B5" s="49">
        <v>48921544</v>
      </c>
    </row>
    <row r="6" spans="1:8" x14ac:dyDescent="0.2">
      <c r="A6" s="36"/>
    </row>
    <row r="7" spans="1:8" ht="20" x14ac:dyDescent="0.2">
      <c r="A7" s="43" t="s">
        <v>69</v>
      </c>
    </row>
    <row r="8" spans="1:8" ht="16" thickBot="1" x14ac:dyDescent="0.25">
      <c r="A8" s="44"/>
      <c r="C8" s="50">
        <v>2018</v>
      </c>
      <c r="D8" s="50">
        <v>2019</v>
      </c>
      <c r="E8" s="50">
        <v>2020</v>
      </c>
      <c r="F8" s="50">
        <v>2021</v>
      </c>
      <c r="G8" s="50">
        <v>2022</v>
      </c>
      <c r="H8" s="50">
        <v>2023</v>
      </c>
    </row>
    <row r="9" spans="1:8" x14ac:dyDescent="0.2">
      <c r="A9" s="45" t="s">
        <v>70</v>
      </c>
    </row>
    <row r="10" spans="1:8" x14ac:dyDescent="0.2">
      <c r="A10" s="36" t="s">
        <v>71</v>
      </c>
      <c r="C10" s="2">
        <f>CFS!B23</f>
        <v>92585.148183529571</v>
      </c>
      <c r="D10" s="2">
        <f>CFS!C23</f>
        <v>81203.062560509847</v>
      </c>
      <c r="E10" s="2">
        <f>CFS!D23</f>
        <v>85404.109403303984</v>
      </c>
      <c r="F10" s="2">
        <f>CFS!E23</f>
        <v>89288.42209080889</v>
      </c>
      <c r="G10" s="2">
        <f>CFS!F23</f>
        <v>92571.614601148234</v>
      </c>
      <c r="H10" s="2">
        <f>CFS!G23</f>
        <v>95910.782186121884</v>
      </c>
    </row>
    <row r="11" spans="1:8" x14ac:dyDescent="0.2">
      <c r="A11" s="36" t="s">
        <v>72</v>
      </c>
      <c r="G11" s="2">
        <f>H10/B2</f>
        <v>959107.82186121878</v>
      </c>
    </row>
    <row r="12" spans="1:8" x14ac:dyDescent="0.2">
      <c r="A12" s="36" t="s">
        <v>73</v>
      </c>
      <c r="C12" s="2">
        <f>C10</f>
        <v>92585.148183529571</v>
      </c>
      <c r="D12" s="2">
        <f t="shared" ref="D12:H12" si="0">D10</f>
        <v>81203.062560509847</v>
      </c>
      <c r="E12" s="2">
        <f t="shared" si="0"/>
        <v>85404.109403303984</v>
      </c>
      <c r="F12" s="2">
        <f t="shared" si="0"/>
        <v>89288.42209080889</v>
      </c>
      <c r="G12" s="2">
        <f t="shared" si="0"/>
        <v>92571.614601148234</v>
      </c>
      <c r="H12" s="2">
        <f t="shared" si="0"/>
        <v>95910.782186121884</v>
      </c>
    </row>
    <row r="13" spans="1:8" x14ac:dyDescent="0.2">
      <c r="A13" s="36" t="s">
        <v>74</v>
      </c>
      <c r="B13" s="47">
        <v>0.1</v>
      </c>
      <c r="C13">
        <v>1.1000000000000001</v>
      </c>
      <c r="D13">
        <f>(1+0.1)*C13</f>
        <v>1.2100000000000002</v>
      </c>
      <c r="E13">
        <f t="shared" ref="E13:H13" si="1">(1+0.1)*D13</f>
        <v>1.3310000000000004</v>
      </c>
      <c r="F13">
        <f t="shared" si="1"/>
        <v>1.4641000000000006</v>
      </c>
      <c r="G13">
        <f t="shared" si="1"/>
        <v>1.6105100000000008</v>
      </c>
      <c r="H13">
        <f t="shared" si="1"/>
        <v>1.7715610000000011</v>
      </c>
    </row>
    <row r="14" spans="1:8" x14ac:dyDescent="0.2">
      <c r="A14" s="36"/>
    </row>
    <row r="15" spans="1:8" x14ac:dyDescent="0.2">
      <c r="A15" s="36"/>
      <c r="C15" s="2">
        <f>C12/C13</f>
        <v>84168.316530481417</v>
      </c>
      <c r="D15" s="2">
        <f>D12/D13</f>
        <v>67109.969058272589</v>
      </c>
      <c r="E15" s="2">
        <f>E12/E13</f>
        <v>64165.371452519881</v>
      </c>
      <c r="F15" s="2">
        <f>F12/F13</f>
        <v>60985.193696338261</v>
      </c>
      <c r="G15" s="2">
        <f>(G11+G10)/G13</f>
        <v>653010.18712231924</v>
      </c>
      <c r="H15" s="2"/>
    </row>
    <row r="16" spans="1:8" x14ac:dyDescent="0.2">
      <c r="A16" s="40" t="s">
        <v>75</v>
      </c>
      <c r="B16" s="2">
        <f>SUM(C15:H15)</f>
        <v>929439.03785993136</v>
      </c>
    </row>
    <row r="17" spans="1:8" x14ac:dyDescent="0.2">
      <c r="A17" s="36" t="s">
        <v>76</v>
      </c>
      <c r="B17">
        <f>B16/B5 * 1000</f>
        <v>18.998563043307289</v>
      </c>
    </row>
    <row r="18" spans="1:8" x14ac:dyDescent="0.2">
      <c r="A18" s="36"/>
    </row>
    <row r="19" spans="1:8" x14ac:dyDescent="0.2">
      <c r="A19" s="45" t="s">
        <v>77</v>
      </c>
    </row>
    <row r="20" spans="1:8" x14ac:dyDescent="0.2">
      <c r="A20" s="36" t="s">
        <v>42</v>
      </c>
      <c r="C20" s="2">
        <f>IS!E16</f>
        <v>74531.511303481326</v>
      </c>
      <c r="D20" s="2">
        <f>IS!F16</f>
        <v>83502.789416634245</v>
      </c>
      <c r="E20" s="2">
        <f>IS!G16</f>
        <v>88948.629639894265</v>
      </c>
      <c r="F20" s="2">
        <f>IS!H16</f>
        <v>92728.239827288766</v>
      </c>
      <c r="G20" s="2">
        <f>IS!I16</f>
        <v>96006.300631321865</v>
      </c>
      <c r="H20" s="2">
        <f>IS!J16</f>
        <v>95910.782186121884</v>
      </c>
    </row>
    <row r="21" spans="1:8" x14ac:dyDescent="0.2">
      <c r="A21" s="36" t="s">
        <v>78</v>
      </c>
      <c r="C21" s="2">
        <f>BS!C36</f>
        <v>392202</v>
      </c>
      <c r="D21" s="2">
        <f>BS!D36</f>
        <v>374148.3631199518</v>
      </c>
      <c r="E21" s="2">
        <f>BS!E36</f>
        <v>376448.08997607604</v>
      </c>
      <c r="F21" s="2">
        <f>BS!F36</f>
        <v>379992.61021266633</v>
      </c>
      <c r="G21" s="2">
        <f>BS!G36</f>
        <v>383432.42794914625</v>
      </c>
      <c r="H21" s="2">
        <f>BS!H36</f>
        <v>386867.11397931993</v>
      </c>
    </row>
    <row r="22" spans="1:8" x14ac:dyDescent="0.2">
      <c r="A22" s="36" t="s">
        <v>79</v>
      </c>
      <c r="C22" s="2">
        <f>C21*0.1</f>
        <v>39220.200000000004</v>
      </c>
      <c r="D22" s="2">
        <f t="shared" ref="D22:H22" si="2">D21*0.1</f>
        <v>37414.836311995183</v>
      </c>
      <c r="E22" s="2">
        <f t="shared" si="2"/>
        <v>37644.808997607608</v>
      </c>
      <c r="F22" s="2">
        <f t="shared" si="2"/>
        <v>37999.261021266633</v>
      </c>
      <c r="G22" s="2">
        <f t="shared" si="2"/>
        <v>38343.242794914629</v>
      </c>
      <c r="H22" s="2">
        <f t="shared" si="2"/>
        <v>38686.711397931991</v>
      </c>
    </row>
    <row r="23" spans="1:8" x14ac:dyDescent="0.2">
      <c r="A23" s="36" t="s">
        <v>80</v>
      </c>
      <c r="C23" s="2">
        <f>C20-C22</f>
        <v>35311.311303481321</v>
      </c>
      <c r="D23" s="2">
        <f t="shared" ref="D23:H23" si="3">D20-D22</f>
        <v>46087.953104639062</v>
      </c>
      <c r="E23" s="2">
        <f t="shared" si="3"/>
        <v>51303.820642286657</v>
      </c>
      <c r="F23" s="2">
        <f t="shared" si="3"/>
        <v>54728.978806022133</v>
      </c>
      <c r="G23" s="2">
        <f t="shared" si="3"/>
        <v>57663.057836407235</v>
      </c>
      <c r="H23" s="2">
        <f t="shared" si="3"/>
        <v>57224.070788189892</v>
      </c>
    </row>
    <row r="24" spans="1:8" x14ac:dyDescent="0.2">
      <c r="A24" s="36" t="s">
        <v>72</v>
      </c>
      <c r="G24" s="2">
        <f>H23/B2</f>
        <v>572240.70788189885</v>
      </c>
    </row>
    <row r="25" spans="1:8" x14ac:dyDescent="0.2">
      <c r="A25" s="40" t="s">
        <v>81</v>
      </c>
      <c r="C25" s="2">
        <f>C23+C24</f>
        <v>35311.311303481321</v>
      </c>
      <c r="D25" s="2">
        <f t="shared" ref="D25:G25" si="4">D23+D24</f>
        <v>46087.953104639062</v>
      </c>
      <c r="E25" s="2">
        <f t="shared" si="4"/>
        <v>51303.820642286657</v>
      </c>
      <c r="F25" s="2">
        <f t="shared" si="4"/>
        <v>54728.978806022133</v>
      </c>
      <c r="G25" s="2">
        <f t="shared" si="4"/>
        <v>629903.76571830607</v>
      </c>
    </row>
    <row r="26" spans="1:8" x14ac:dyDescent="0.2">
      <c r="A26" s="36" t="s">
        <v>74</v>
      </c>
      <c r="B26" s="47">
        <v>0.1</v>
      </c>
      <c r="C26">
        <v>1.1000000000000001</v>
      </c>
      <c r="D26">
        <f>(1+0.1)*C26</f>
        <v>1.2100000000000002</v>
      </c>
      <c r="E26">
        <f t="shared" ref="E26:H26" si="5">(1+0.1)*D26</f>
        <v>1.3310000000000004</v>
      </c>
      <c r="F26">
        <f t="shared" si="5"/>
        <v>1.4641000000000006</v>
      </c>
      <c r="G26">
        <f t="shared" si="5"/>
        <v>1.6105100000000008</v>
      </c>
      <c r="H26">
        <f t="shared" si="5"/>
        <v>1.7715610000000011</v>
      </c>
    </row>
    <row r="27" spans="1:8" x14ac:dyDescent="0.2">
      <c r="A27" s="36"/>
      <c r="B27" s="2"/>
      <c r="C27" s="2">
        <f>C25/C26</f>
        <v>32101.192094073926</v>
      </c>
      <c r="D27" s="2">
        <f t="shared" ref="D27:G27" si="6">D25/D26</f>
        <v>38089.217441850458</v>
      </c>
      <c r="E27" s="2">
        <f t="shared" si="6"/>
        <v>38545.319791349844</v>
      </c>
      <c r="F27" s="2">
        <f t="shared" si="6"/>
        <v>37380.628922902884</v>
      </c>
      <c r="G27" s="2">
        <f t="shared" si="6"/>
        <v>391120.67960975453</v>
      </c>
    </row>
    <row r="28" spans="1:8" x14ac:dyDescent="0.2">
      <c r="A28" s="36" t="s">
        <v>82</v>
      </c>
      <c r="B28" s="2">
        <f>SUM(C27:G27)</f>
        <v>537237.03785993159</v>
      </c>
      <c r="C28" s="2"/>
      <c r="D28" s="2"/>
      <c r="E28" s="2"/>
      <c r="F28" s="2"/>
      <c r="G28" s="2"/>
    </row>
    <row r="29" spans="1:8" x14ac:dyDescent="0.2">
      <c r="A29" s="36" t="s">
        <v>83</v>
      </c>
      <c r="B29" s="2">
        <f>BS!C36</f>
        <v>392202</v>
      </c>
    </row>
    <row r="30" spans="1:8" x14ac:dyDescent="0.2">
      <c r="A30" s="40" t="s">
        <v>75</v>
      </c>
      <c r="B30" s="2">
        <f>B28+B29</f>
        <v>929439.03785993159</v>
      </c>
    </row>
    <row r="31" spans="1:8" x14ac:dyDescent="0.2">
      <c r="A31" s="36" t="s">
        <v>76</v>
      </c>
      <c r="B31">
        <f>B30/B5 * 1000</f>
        <v>18.998563043307293</v>
      </c>
    </row>
    <row r="32" spans="1:8" x14ac:dyDescent="0.2">
      <c r="A32" s="36"/>
    </row>
    <row r="33" spans="1:1" x14ac:dyDescent="0.2">
      <c r="A33" s="36"/>
    </row>
    <row r="34" spans="1:1" x14ac:dyDescent="0.2">
      <c r="A34" s="45"/>
    </row>
    <row r="35" spans="1:1" x14ac:dyDescent="0.2">
      <c r="A35" s="36"/>
    </row>
    <row r="36" spans="1:1" x14ac:dyDescent="0.2">
      <c r="A36" s="36"/>
    </row>
    <row r="37" spans="1:1" x14ac:dyDescent="0.2">
      <c r="A37" s="46"/>
    </row>
    <row r="38" spans="1:1" x14ac:dyDescent="0.2">
      <c r="A38" s="46"/>
    </row>
    <row r="39" spans="1:1" x14ac:dyDescent="0.2">
      <c r="A39" s="36"/>
    </row>
    <row r="40" spans="1:1" x14ac:dyDescent="0.2">
      <c r="A40" s="36"/>
    </row>
    <row r="41" spans="1:1" x14ac:dyDescent="0.2">
      <c r="A41" s="36"/>
    </row>
    <row r="42" spans="1:1" x14ac:dyDescent="0.2">
      <c r="A42" s="36"/>
    </row>
    <row r="43" spans="1:1" x14ac:dyDescent="0.2">
      <c r="A43" s="36"/>
    </row>
    <row r="44" spans="1:1" x14ac:dyDescent="0.2">
      <c r="A44" s="40"/>
    </row>
    <row r="45" spans="1:1" x14ac:dyDescent="0.2">
      <c r="A45" s="36"/>
    </row>
    <row r="46" spans="1:1" x14ac:dyDescent="0.2">
      <c r="A46" s="36"/>
    </row>
    <row r="47" spans="1:1" x14ac:dyDescent="0.2">
      <c r="A47" s="45"/>
    </row>
    <row r="48" spans="1:1" x14ac:dyDescent="0.2">
      <c r="A48" s="36"/>
    </row>
    <row r="49" spans="1:1" x14ac:dyDescent="0.2">
      <c r="A49" s="46"/>
    </row>
    <row r="50" spans="1:1" x14ac:dyDescent="0.2">
      <c r="A50" s="36"/>
    </row>
    <row r="51" spans="1:1" x14ac:dyDescent="0.2">
      <c r="A51" s="36"/>
    </row>
    <row r="52" spans="1:1" x14ac:dyDescent="0.2">
      <c r="A52" s="36"/>
    </row>
    <row r="53" spans="1:1" x14ac:dyDescent="0.2">
      <c r="A53" s="36"/>
    </row>
    <row r="54" spans="1:1" x14ac:dyDescent="0.2">
      <c r="A54" s="40"/>
    </row>
    <row r="55" spans="1:1" x14ac:dyDescent="0.2">
      <c r="A55" s="36"/>
    </row>
    <row r="56" spans="1:1" x14ac:dyDescent="0.2">
      <c r="A56" s="36"/>
    </row>
    <row r="57" spans="1:1" x14ac:dyDescent="0.2">
      <c r="A57" s="40"/>
    </row>
    <row r="58" spans="1:1" x14ac:dyDescent="0.2">
      <c r="A58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</vt:lpstr>
      <vt:lpstr>IS</vt:lpstr>
      <vt:lpstr>CFS</vt:lpstr>
      <vt:lpstr>Valuation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daboody</dc:creator>
  <cp:lastModifiedBy>Microsoft Office User</cp:lastModifiedBy>
  <dcterms:created xsi:type="dcterms:W3CDTF">2017-09-18T21:45:58Z</dcterms:created>
  <dcterms:modified xsi:type="dcterms:W3CDTF">2018-11-26T07:33:38Z</dcterms:modified>
</cp:coreProperties>
</file>