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boody\MFE 2018\Session 11 - 14\"/>
    </mc:Choice>
  </mc:AlternateContent>
  <bookViews>
    <workbookView xWindow="0" yWindow="60" windowWidth="21840" windowHeight="13680" tabRatio="895"/>
  </bookViews>
  <sheets>
    <sheet name="Pro Forma Balance Sheet" sheetId="1" r:id="rId1"/>
    <sheet name="Pro Forma Cash Flow" sheetId="6" r:id="rId2"/>
    <sheet name="Pro Forma Income Statement" sheetId="5" r:id="rId3"/>
    <sheet name="Assumption" sheetId="3" r:id="rId4"/>
    <sheet name="Valuation " sheetId="4" r:id="rId5"/>
    <sheet name="Standard Finance Template" sheetId="13" r:id="rId6"/>
    <sheet name="Employee stock option" sheetId="12" r:id="rId7"/>
    <sheet name="Option Value " sheetId="11" r:id="rId8"/>
    <sheet name="Short-term investment" sheetId="10" r:id="rId9"/>
  </sheets>
  <definedNames>
    <definedName name="_xlnm.Print_Area" localSheetId="3">Assumption!$A$1:$L$29</definedName>
    <definedName name="_xlnm.Print_Area" localSheetId="6">'Employee stock option'!$A$1:$I$67</definedName>
    <definedName name="_xlnm.Print_Area" localSheetId="7">'Option Value '!$A$1:$D$17</definedName>
    <definedName name="_xlnm.Print_Area" localSheetId="4">'Valuation '!$A$1:$I$58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B21" i="6"/>
  <c r="B19" i="6"/>
  <c r="B20" i="6"/>
  <c r="B3" i="6"/>
  <c r="B12" i="6"/>
  <c r="B16" i="6"/>
  <c r="B15" i="6"/>
  <c r="B14" i="6"/>
  <c r="B13" i="6"/>
  <c r="B11" i="6"/>
  <c r="B10" i="6"/>
  <c r="B9" i="6"/>
  <c r="B22" i="6"/>
  <c r="B17" i="6" l="1"/>
  <c r="B25" i="6" s="1"/>
  <c r="E5" i="10"/>
  <c r="D5" i="10"/>
  <c r="C5" i="10"/>
  <c r="B11" i="10"/>
  <c r="B12" i="10" s="1"/>
  <c r="D11" i="10"/>
  <c r="D10" i="10"/>
  <c r="C12" i="10" s="1"/>
  <c r="E10" i="10"/>
  <c r="E12" i="10" s="1"/>
  <c r="D12" i="10" l="1"/>
  <c r="B4" i="10" l="1"/>
  <c r="B5" i="10" s="1"/>
  <c r="D14" i="11" l="1"/>
  <c r="C29" i="13"/>
  <c r="C28" i="13"/>
  <c r="C27" i="13"/>
  <c r="C45" i="13" s="1"/>
  <c r="C26" i="13"/>
  <c r="C25" i="13"/>
  <c r="C23" i="13"/>
  <c r="D22" i="13"/>
  <c r="E22" i="13"/>
  <c r="F22" i="13"/>
  <c r="G22" i="13"/>
  <c r="H22" i="13"/>
  <c r="I22" i="13"/>
  <c r="C22" i="13"/>
  <c r="C11" i="13"/>
  <c r="C15" i="13" s="1"/>
  <c r="C20" i="13" s="1"/>
  <c r="D10" i="13"/>
  <c r="E10" i="13" s="1"/>
  <c r="F10" i="13" s="1"/>
  <c r="G10" i="13" s="1"/>
  <c r="H10" i="13" s="1"/>
  <c r="I10" i="13" s="1"/>
  <c r="D5" i="13"/>
  <c r="C49" i="12"/>
  <c r="H30" i="12"/>
  <c r="G30" i="12"/>
  <c r="F30" i="12"/>
  <c r="E30" i="12"/>
  <c r="D30" i="12"/>
  <c r="H13" i="12"/>
  <c r="G13" i="12"/>
  <c r="F13" i="12"/>
  <c r="E13" i="12"/>
  <c r="D13" i="12"/>
  <c r="C13" i="12"/>
  <c r="C30" i="12" s="1"/>
  <c r="D3" i="12"/>
  <c r="C3" i="12"/>
  <c r="E2" i="12"/>
  <c r="D12" i="11"/>
  <c r="D15" i="11" l="1"/>
  <c r="C30" i="13"/>
  <c r="E5" i="13"/>
  <c r="D3" i="4"/>
  <c r="C68" i="12" l="1"/>
  <c r="C52" i="12"/>
  <c r="C36" i="12"/>
  <c r="C18" i="12"/>
  <c r="F5" i="13"/>
  <c r="D30" i="3"/>
  <c r="E30" i="3" s="1"/>
  <c r="C30" i="3"/>
  <c r="K30" i="1"/>
  <c r="J30" i="1"/>
  <c r="I30" i="1"/>
  <c r="H30" i="1"/>
  <c r="G30" i="1"/>
  <c r="F30" i="1"/>
  <c r="F30" i="3" l="1"/>
  <c r="G5" i="13"/>
  <c r="C3" i="4"/>
  <c r="C43" i="4"/>
  <c r="C13" i="4"/>
  <c r="C26" i="4" s="1"/>
  <c r="E2" i="4"/>
  <c r="C24" i="6"/>
  <c r="C26" i="6" s="1"/>
  <c r="D9" i="6"/>
  <c r="E9" i="6"/>
  <c r="F9" i="6"/>
  <c r="G9" i="6"/>
  <c r="H9" i="6"/>
  <c r="I9" i="6"/>
  <c r="G30" i="3" l="1"/>
  <c r="H5" i="13"/>
  <c r="C21" i="6"/>
  <c r="C16" i="6"/>
  <c r="C15" i="6"/>
  <c r="C14" i="6"/>
  <c r="C13" i="6"/>
  <c r="C12" i="6"/>
  <c r="C10" i="6"/>
  <c r="C9" i="6"/>
  <c r="F29" i="1"/>
  <c r="G29" i="1" s="1"/>
  <c r="H29" i="1" s="1"/>
  <c r="I29" i="1" s="1"/>
  <c r="J29" i="1" s="1"/>
  <c r="K29" i="1" s="1"/>
  <c r="F28" i="1"/>
  <c r="G28" i="1" s="1"/>
  <c r="H28" i="1" s="1"/>
  <c r="I28" i="1" s="1"/>
  <c r="J28" i="1" s="1"/>
  <c r="K28" i="1" s="1"/>
  <c r="E16" i="3"/>
  <c r="F16" i="3" s="1"/>
  <c r="G16" i="3" s="1"/>
  <c r="H16" i="3" s="1"/>
  <c r="D16" i="3"/>
  <c r="D23" i="3"/>
  <c r="E23" i="3"/>
  <c r="F23" i="3"/>
  <c r="G23" i="3"/>
  <c r="H23" i="3"/>
  <c r="C23" i="3"/>
  <c r="F11" i="1" s="1"/>
  <c r="D13" i="3"/>
  <c r="E13" i="3" s="1"/>
  <c r="F13" i="3" s="1"/>
  <c r="G13" i="3" s="1"/>
  <c r="H13" i="3" s="1"/>
  <c r="E24" i="5"/>
  <c r="E25" i="5" s="1"/>
  <c r="C8" i="3" s="1"/>
  <c r="D7" i="3"/>
  <c r="E7" i="3" s="1"/>
  <c r="F7" i="3" s="1"/>
  <c r="G7" i="3" s="1"/>
  <c r="H7" i="3" s="1"/>
  <c r="C24" i="3"/>
  <c r="D24" i="3" s="1"/>
  <c r="C26" i="3"/>
  <c r="D26" i="3" s="1"/>
  <c r="C25" i="3"/>
  <c r="D25" i="3" s="1"/>
  <c r="F24" i="1"/>
  <c r="F8" i="1"/>
  <c r="D23" i="13" s="1"/>
  <c r="F5" i="1"/>
  <c r="F4" i="1"/>
  <c r="D38" i="4" s="1"/>
  <c r="G4" i="1" l="1"/>
  <c r="E38" i="4" s="1"/>
  <c r="H30" i="3"/>
  <c r="G24" i="1"/>
  <c r="D29" i="13"/>
  <c r="G5" i="1"/>
  <c r="D35" i="13"/>
  <c r="I5" i="13"/>
  <c r="E16" i="6"/>
  <c r="D16" i="6"/>
  <c r="E21" i="6"/>
  <c r="G8" i="1"/>
  <c r="E23" i="13" s="1"/>
  <c r="D10" i="6"/>
  <c r="D21" i="6"/>
  <c r="G11" i="1"/>
  <c r="F29" i="5"/>
  <c r="D34" i="13" s="1"/>
  <c r="D8" i="3"/>
  <c r="E26" i="5"/>
  <c r="E25" i="3"/>
  <c r="E26" i="3"/>
  <c r="E24" i="3"/>
  <c r="H4" i="1" l="1"/>
  <c r="F38" i="4" s="1"/>
  <c r="H24" i="1"/>
  <c r="E29" i="13"/>
  <c r="D6" i="6"/>
  <c r="D17" i="13"/>
  <c r="H5" i="1"/>
  <c r="E35" i="13"/>
  <c r="H11" i="1"/>
  <c r="D20" i="6"/>
  <c r="H8" i="1"/>
  <c r="F23" i="13" s="1"/>
  <c r="E10" i="6"/>
  <c r="G29" i="5"/>
  <c r="F14" i="3"/>
  <c r="E8" i="3"/>
  <c r="F26" i="3"/>
  <c r="F24" i="3"/>
  <c r="F25" i="3"/>
  <c r="I4" i="1" l="1"/>
  <c r="G38" i="4" s="1"/>
  <c r="I5" i="1"/>
  <c r="F35" i="13"/>
  <c r="F21" i="6"/>
  <c r="E6" i="6"/>
  <c r="E17" i="13"/>
  <c r="I24" i="1"/>
  <c r="F29" i="13"/>
  <c r="F16" i="6"/>
  <c r="E34" i="13"/>
  <c r="I11" i="1"/>
  <c r="I8" i="1"/>
  <c r="G23" i="13" s="1"/>
  <c r="F10" i="6"/>
  <c r="H29" i="5"/>
  <c r="E20" i="6"/>
  <c r="G14" i="3"/>
  <c r="F8" i="3"/>
  <c r="G24" i="3"/>
  <c r="G25" i="3"/>
  <c r="G26" i="3"/>
  <c r="J4" i="1" l="1"/>
  <c r="H38" i="4" s="1"/>
  <c r="J24" i="1"/>
  <c r="G29" i="13"/>
  <c r="G16" i="6"/>
  <c r="F6" i="6"/>
  <c r="F17" i="13"/>
  <c r="F34" i="13"/>
  <c r="J5" i="1"/>
  <c r="G35" i="13"/>
  <c r="G21" i="6"/>
  <c r="J11" i="1"/>
  <c r="J8" i="1"/>
  <c r="H23" i="13" s="1"/>
  <c r="G10" i="6"/>
  <c r="I29" i="5"/>
  <c r="F20" i="6"/>
  <c r="H14" i="3"/>
  <c r="G8" i="3"/>
  <c r="H25" i="3"/>
  <c r="H26" i="3"/>
  <c r="H24" i="3"/>
  <c r="K4" i="1" l="1"/>
  <c r="I38" i="4" s="1"/>
  <c r="K5" i="1"/>
  <c r="H35" i="13"/>
  <c r="H21" i="6"/>
  <c r="G6" i="6"/>
  <c r="G17" i="13"/>
  <c r="K24" i="1"/>
  <c r="H29" i="13"/>
  <c r="H16" i="6"/>
  <c r="G34" i="13"/>
  <c r="G20" i="6"/>
  <c r="K8" i="1"/>
  <c r="H10" i="6"/>
  <c r="J29" i="5"/>
  <c r="H34" i="13" s="1"/>
  <c r="K11" i="1"/>
  <c r="H8" i="3"/>
  <c r="I16" i="6" l="1"/>
  <c r="I29" i="13"/>
  <c r="H6" i="6"/>
  <c r="H17" i="13"/>
  <c r="I21" i="6"/>
  <c r="I35" i="13"/>
  <c r="I10" i="6"/>
  <c r="I23" i="13"/>
  <c r="K29" i="5"/>
  <c r="H20" i="6"/>
  <c r="C11" i="3"/>
  <c r="F11" i="5"/>
  <c r="G11" i="5" s="1"/>
  <c r="H11" i="5" s="1"/>
  <c r="I11" i="5" s="1"/>
  <c r="J11" i="5" s="1"/>
  <c r="K11" i="5" s="1"/>
  <c r="I6" i="6" l="1"/>
  <c r="I17" i="13"/>
  <c r="D8" i="13"/>
  <c r="I34" i="13"/>
  <c r="I20" i="6"/>
  <c r="D11" i="3"/>
  <c r="E8" i="13" s="1"/>
  <c r="F6" i="5"/>
  <c r="F9" i="5" s="1"/>
  <c r="C12" i="5"/>
  <c r="C17" i="5" s="1"/>
  <c r="C20" i="5" s="1"/>
  <c r="D12" i="5"/>
  <c r="D17" i="5" s="1"/>
  <c r="D20" i="5" s="1"/>
  <c r="E12" i="5"/>
  <c r="E17" i="5" s="1"/>
  <c r="E20" i="5" s="1"/>
  <c r="C3" i="6" s="1"/>
  <c r="C17" i="6" s="1"/>
  <c r="C22" i="6"/>
  <c r="F30" i="5" l="1"/>
  <c r="F31" i="5" s="1"/>
  <c r="F19" i="1"/>
  <c r="F10" i="1"/>
  <c r="C27" i="6"/>
  <c r="F25" i="5"/>
  <c r="G6" i="5"/>
  <c r="F12" i="1"/>
  <c r="E11" i="3"/>
  <c r="F8" i="13" s="1"/>
  <c r="D11" i="6" l="1"/>
  <c r="D24" i="13"/>
  <c r="G10" i="1"/>
  <c r="G24" i="5" s="1"/>
  <c r="E16" i="13" s="1"/>
  <c r="G19" i="1"/>
  <c r="E28" i="13" s="1"/>
  <c r="D28" i="13"/>
  <c r="D15" i="6"/>
  <c r="F10" i="5"/>
  <c r="D9" i="13"/>
  <c r="G25" i="5"/>
  <c r="G30" i="5"/>
  <c r="G31" i="5" s="1"/>
  <c r="F21" i="1"/>
  <c r="D25" i="13" s="1"/>
  <c r="F24" i="5"/>
  <c r="D16" i="13" s="1"/>
  <c r="G12" i="1"/>
  <c r="H6" i="5"/>
  <c r="G9" i="5"/>
  <c r="G17" i="1" s="1"/>
  <c r="F17" i="1"/>
  <c r="F18" i="1"/>
  <c r="F11" i="3"/>
  <c r="G8" i="13" s="1"/>
  <c r="H10" i="1" l="1"/>
  <c r="H19" i="1"/>
  <c r="F28" i="13" s="1"/>
  <c r="G10" i="5"/>
  <c r="E9" i="13"/>
  <c r="D33" i="13"/>
  <c r="D36" i="13" s="1"/>
  <c r="E11" i="6"/>
  <c r="E24" i="13"/>
  <c r="E33" i="13"/>
  <c r="E36" i="13" s="1"/>
  <c r="D14" i="6"/>
  <c r="D27" i="13"/>
  <c r="D13" i="6"/>
  <c r="D26" i="13"/>
  <c r="E26" i="13"/>
  <c r="E13" i="6"/>
  <c r="F26" i="5"/>
  <c r="D19" i="6"/>
  <c r="D22" i="6" s="1"/>
  <c r="D5" i="6"/>
  <c r="D12" i="6"/>
  <c r="E19" i="6"/>
  <c r="E22" i="6" s="1"/>
  <c r="E5" i="6"/>
  <c r="H25" i="5"/>
  <c r="H30" i="5"/>
  <c r="H31" i="5" s="1"/>
  <c r="G26" i="5"/>
  <c r="G18" i="1"/>
  <c r="E14" i="6" s="1"/>
  <c r="H12" i="1"/>
  <c r="H24" i="5"/>
  <c r="H9" i="5"/>
  <c r="I6" i="5"/>
  <c r="I19" i="1" s="1"/>
  <c r="G11" i="3"/>
  <c r="H8" i="13" s="1"/>
  <c r="F8" i="5" l="1"/>
  <c r="F12" i="5" s="1"/>
  <c r="D7" i="13"/>
  <c r="D11" i="13" s="1"/>
  <c r="D13" i="13" s="1"/>
  <c r="D15" i="13" s="1"/>
  <c r="D20" i="13" s="1"/>
  <c r="H10" i="5"/>
  <c r="F9" i="13"/>
  <c r="E27" i="13"/>
  <c r="F11" i="6"/>
  <c r="F24" i="13"/>
  <c r="G28" i="13"/>
  <c r="D36" i="4"/>
  <c r="D43" i="12"/>
  <c r="E36" i="4"/>
  <c r="E43" i="12"/>
  <c r="G8" i="5"/>
  <c r="G12" i="5" s="1"/>
  <c r="E7" i="13"/>
  <c r="F16" i="13"/>
  <c r="F33" i="13"/>
  <c r="F36" i="13" s="1"/>
  <c r="D30" i="13"/>
  <c r="I9" i="5"/>
  <c r="I17" i="1" s="1"/>
  <c r="I10" i="1"/>
  <c r="F19" i="6"/>
  <c r="F22" i="6" s="1"/>
  <c r="F5" i="6"/>
  <c r="I25" i="5"/>
  <c r="I30" i="5"/>
  <c r="I31" i="5" s="1"/>
  <c r="H26" i="5"/>
  <c r="J6" i="5"/>
  <c r="H17" i="1"/>
  <c r="I12" i="1"/>
  <c r="I24" i="5"/>
  <c r="H18" i="1"/>
  <c r="I18" i="1"/>
  <c r="H11" i="3"/>
  <c r="I8" i="13" s="1"/>
  <c r="G13" i="6" l="1"/>
  <c r="G26" i="13"/>
  <c r="G14" i="6"/>
  <c r="G27" i="13"/>
  <c r="E11" i="13"/>
  <c r="G11" i="6"/>
  <c r="G24" i="13"/>
  <c r="I10" i="5"/>
  <c r="G9" i="13"/>
  <c r="F13" i="6"/>
  <c r="F26" i="13"/>
  <c r="F14" i="6"/>
  <c r="F27" i="13"/>
  <c r="J10" i="1"/>
  <c r="J19" i="1"/>
  <c r="D38" i="13"/>
  <c r="D45" i="13" s="1"/>
  <c r="G33" i="13"/>
  <c r="G36" i="13" s="1"/>
  <c r="G16" i="13"/>
  <c r="H8" i="5"/>
  <c r="H12" i="5" s="1"/>
  <c r="F7" i="13"/>
  <c r="F36" i="4"/>
  <c r="F43" i="12"/>
  <c r="G19" i="6"/>
  <c r="G22" i="6" s="1"/>
  <c r="G5" i="6"/>
  <c r="I26" i="5"/>
  <c r="J25" i="5"/>
  <c r="J30" i="5"/>
  <c r="J31" i="5" s="1"/>
  <c r="J12" i="1"/>
  <c r="J9" i="5"/>
  <c r="J18" i="1" s="1"/>
  <c r="K6" i="5"/>
  <c r="K10" i="1" s="1"/>
  <c r="J24" i="5"/>
  <c r="J10" i="5" l="1"/>
  <c r="H9" i="13"/>
  <c r="H28" i="13"/>
  <c r="K19" i="1"/>
  <c r="I28" i="13" s="1"/>
  <c r="H14" i="6"/>
  <c r="H27" i="13"/>
  <c r="H11" i="6"/>
  <c r="H24" i="13"/>
  <c r="F11" i="13"/>
  <c r="H33" i="13"/>
  <c r="H36" i="13" s="1"/>
  <c r="H16" i="13"/>
  <c r="G36" i="4"/>
  <c r="G43" i="12"/>
  <c r="I8" i="5"/>
  <c r="I12" i="5" s="1"/>
  <c r="G7" i="13"/>
  <c r="H19" i="6"/>
  <c r="H22" i="6" s="1"/>
  <c r="H5" i="6"/>
  <c r="J17" i="1"/>
  <c r="K25" i="5"/>
  <c r="K30" i="5"/>
  <c r="K31" i="5" s="1"/>
  <c r="K12" i="1"/>
  <c r="K9" i="5"/>
  <c r="K18" i="1" s="1"/>
  <c r="J26" i="5"/>
  <c r="K24" i="5"/>
  <c r="H26" i="4"/>
  <c r="G26" i="4"/>
  <c r="F26" i="4"/>
  <c r="E26" i="4"/>
  <c r="D26" i="4"/>
  <c r="H13" i="4"/>
  <c r="G13" i="4"/>
  <c r="F13" i="4"/>
  <c r="E13" i="4"/>
  <c r="D13" i="4"/>
  <c r="D17" i="3"/>
  <c r="E13" i="13" s="1"/>
  <c r="E15" i="13" s="1"/>
  <c r="E20" i="13" s="1"/>
  <c r="E32" i="1"/>
  <c r="D32" i="1"/>
  <c r="E20" i="1"/>
  <c r="D20" i="1"/>
  <c r="D25" i="1" s="1"/>
  <c r="E9" i="1"/>
  <c r="E13" i="1" s="1"/>
  <c r="D9" i="1"/>
  <c r="D13" i="1" s="1"/>
  <c r="G11" i="13" l="1"/>
  <c r="C35" i="13"/>
  <c r="C36" i="13" s="1"/>
  <c r="C38" i="13" s="1"/>
  <c r="I14" i="6"/>
  <c r="I27" i="13"/>
  <c r="H13" i="6"/>
  <c r="H26" i="13"/>
  <c r="I11" i="6"/>
  <c r="I24" i="13"/>
  <c r="C65" i="12"/>
  <c r="C33" i="12"/>
  <c r="D59" i="12"/>
  <c r="D25" i="12"/>
  <c r="D26" i="12" s="1"/>
  <c r="K10" i="5"/>
  <c r="I9" i="13"/>
  <c r="I16" i="13"/>
  <c r="I33" i="13"/>
  <c r="I36" i="13" s="1"/>
  <c r="H36" i="4"/>
  <c r="H43" i="12"/>
  <c r="J8" i="5"/>
  <c r="J12" i="5" s="1"/>
  <c r="H7" i="13"/>
  <c r="C29" i="3"/>
  <c r="D29" i="3" s="1"/>
  <c r="E29" i="3" s="1"/>
  <c r="F29" i="3" s="1"/>
  <c r="G29" i="3" s="1"/>
  <c r="H29" i="3" s="1"/>
  <c r="D21" i="4"/>
  <c r="D22" i="4" s="1"/>
  <c r="C56" i="4"/>
  <c r="D50" i="4"/>
  <c r="C29" i="4"/>
  <c r="I19" i="6"/>
  <c r="I22" i="6" s="1"/>
  <c r="I5" i="6"/>
  <c r="K17" i="1"/>
  <c r="K26" i="5"/>
  <c r="E17" i="3"/>
  <c r="F13" i="13" s="1"/>
  <c r="F15" i="13" s="1"/>
  <c r="F20" i="13" s="1"/>
  <c r="G21" i="1"/>
  <c r="D33" i="1"/>
  <c r="E25" i="1"/>
  <c r="E33" i="1" s="1"/>
  <c r="F20" i="1"/>
  <c r="F36" i="1" s="1"/>
  <c r="I13" i="6" l="1"/>
  <c r="I26" i="13"/>
  <c r="H11" i="13"/>
  <c r="K8" i="5"/>
  <c r="K12" i="5" s="1"/>
  <c r="I7" i="13"/>
  <c r="I36" i="4"/>
  <c r="I43" i="12"/>
  <c r="E12" i="6"/>
  <c r="E25" i="13"/>
  <c r="E30" i="13" s="1"/>
  <c r="E38" i="13" s="1"/>
  <c r="E45" i="13" s="1"/>
  <c r="G20" i="1"/>
  <c r="G36" i="1" s="1"/>
  <c r="E15" i="6"/>
  <c r="F17" i="3"/>
  <c r="G13" i="13" s="1"/>
  <c r="G15" i="13" s="1"/>
  <c r="G20" i="13" s="1"/>
  <c r="H21" i="1"/>
  <c r="F25" i="13" s="1"/>
  <c r="F30" i="13" s="1"/>
  <c r="F38" i="13" s="1"/>
  <c r="F45" i="13" s="1"/>
  <c r="F15" i="6"/>
  <c r="I11" i="13" l="1"/>
  <c r="F12" i="6"/>
  <c r="G17" i="3"/>
  <c r="H13" i="13" s="1"/>
  <c r="H15" i="13" s="1"/>
  <c r="H20" i="13" s="1"/>
  <c r="I21" i="1"/>
  <c r="G15" i="6"/>
  <c r="H20" i="1"/>
  <c r="H36" i="1" s="1"/>
  <c r="G12" i="6" l="1"/>
  <c r="G25" i="13"/>
  <c r="G30" i="13" s="1"/>
  <c r="G38" i="13" s="1"/>
  <c r="G45" i="13" s="1"/>
  <c r="H17" i="3"/>
  <c r="I13" i="13" s="1"/>
  <c r="I15" i="13" s="1"/>
  <c r="I20" i="13" s="1"/>
  <c r="K21" i="1"/>
  <c r="J21" i="1"/>
  <c r="H15" i="6"/>
  <c r="I20" i="1"/>
  <c r="I36" i="1" s="1"/>
  <c r="F9" i="1"/>
  <c r="F13" i="1" s="1"/>
  <c r="H12" i="6" l="1"/>
  <c r="I25" i="13"/>
  <c r="I30" i="13" s="1"/>
  <c r="I38" i="13" s="1"/>
  <c r="I45" i="13" s="1"/>
  <c r="H25" i="13"/>
  <c r="H30" i="13" s="1"/>
  <c r="H38" i="13" s="1"/>
  <c r="H45" i="13" s="1"/>
  <c r="I12" i="6"/>
  <c r="F33" i="1"/>
  <c r="F35" i="1"/>
  <c r="I15" i="6"/>
  <c r="J20" i="1"/>
  <c r="J36" i="1" s="1"/>
  <c r="F37" i="1" l="1"/>
  <c r="F38" i="1" s="1"/>
  <c r="F22" i="1" s="1"/>
  <c r="G9" i="1"/>
  <c r="G13" i="1" s="1"/>
  <c r="K20" i="1"/>
  <c r="K36" i="1" s="1"/>
  <c r="F25" i="1" l="1"/>
  <c r="F32" i="1" s="1"/>
  <c r="F15" i="5"/>
  <c r="D44" i="12" s="1"/>
  <c r="D58" i="12" s="1"/>
  <c r="D24" i="6"/>
  <c r="D47" i="13" s="1"/>
  <c r="G35" i="1"/>
  <c r="G37" i="1" s="1"/>
  <c r="G38" i="1" s="1"/>
  <c r="G22" i="1" s="1"/>
  <c r="G33" i="1"/>
  <c r="H9" i="1"/>
  <c r="H13" i="1" s="1"/>
  <c r="F17" i="5" l="1"/>
  <c r="F19" i="5" s="1"/>
  <c r="F20" i="5" s="1"/>
  <c r="D20" i="4" s="1"/>
  <c r="D23" i="4" s="1"/>
  <c r="D25" i="4" s="1"/>
  <c r="D37" i="4"/>
  <c r="E21" i="4"/>
  <c r="E22" i="4" s="1"/>
  <c r="E59" i="12"/>
  <c r="E25" i="12"/>
  <c r="E26" i="12" s="1"/>
  <c r="E50" i="4"/>
  <c r="F31" i="1"/>
  <c r="G15" i="5"/>
  <c r="E44" i="12" s="1"/>
  <c r="E58" i="12" s="1"/>
  <c r="E24" i="6"/>
  <c r="E47" i="13" s="1"/>
  <c r="G25" i="1"/>
  <c r="G32" i="1" s="1"/>
  <c r="H35" i="1"/>
  <c r="H37" i="1" s="1"/>
  <c r="H38" i="1" s="1"/>
  <c r="H22" i="1" s="1"/>
  <c r="H33" i="1"/>
  <c r="I9" i="1"/>
  <c r="I13" i="1" s="1"/>
  <c r="D49" i="4" l="1"/>
  <c r="D46" i="13"/>
  <c r="D48" i="13" s="1"/>
  <c r="D48" i="4"/>
  <c r="G31" i="1"/>
  <c r="F59" i="12"/>
  <c r="F25" i="12"/>
  <c r="F26" i="12" s="1"/>
  <c r="D3" i="6"/>
  <c r="D17" i="6" s="1"/>
  <c r="D24" i="12"/>
  <c r="D27" i="12" s="1"/>
  <c r="D29" i="12" s="1"/>
  <c r="D57" i="12"/>
  <c r="F40" i="1"/>
  <c r="D25" i="6" s="1"/>
  <c r="D10" i="12" s="1"/>
  <c r="D12" i="12" s="1"/>
  <c r="F50" i="4"/>
  <c r="F21" i="4"/>
  <c r="F22" i="4" s="1"/>
  <c r="G17" i="5"/>
  <c r="G19" i="5" s="1"/>
  <c r="G20" i="5" s="1"/>
  <c r="E37" i="4"/>
  <c r="H15" i="5"/>
  <c r="F44" i="12" s="1"/>
  <c r="F58" i="12" s="1"/>
  <c r="F24" i="6"/>
  <c r="F47" i="13" s="1"/>
  <c r="H25" i="1"/>
  <c r="H32" i="1" s="1"/>
  <c r="I33" i="1"/>
  <c r="I35" i="1"/>
  <c r="I37" i="1" s="1"/>
  <c r="I38" i="1" s="1"/>
  <c r="I22" i="1" s="1"/>
  <c r="J9" i="1"/>
  <c r="J13" i="1" s="1"/>
  <c r="E49" i="4" l="1"/>
  <c r="E46" i="13"/>
  <c r="E48" i="13" s="1"/>
  <c r="D10" i="4"/>
  <c r="D26" i="6"/>
  <c r="D27" i="6" s="1"/>
  <c r="H31" i="1"/>
  <c r="G25" i="12"/>
  <c r="G26" i="12" s="1"/>
  <c r="G59" i="12"/>
  <c r="G40" i="1"/>
  <c r="E25" i="6" s="1"/>
  <c r="E10" i="12" s="1"/>
  <c r="E12" i="12" s="1"/>
  <c r="E24" i="12"/>
  <c r="E27" i="12" s="1"/>
  <c r="E29" i="12" s="1"/>
  <c r="E57" i="12"/>
  <c r="D35" i="4"/>
  <c r="D42" i="12"/>
  <c r="D45" i="12" s="1"/>
  <c r="I15" i="5"/>
  <c r="G44" i="12" s="1"/>
  <c r="G58" i="12" s="1"/>
  <c r="G24" i="6"/>
  <c r="G47" i="13" s="1"/>
  <c r="H17" i="5"/>
  <c r="H19" i="5" s="1"/>
  <c r="H20" i="5" s="1"/>
  <c r="F37" i="4"/>
  <c r="G50" i="4"/>
  <c r="G21" i="4"/>
  <c r="G22" i="4" s="1"/>
  <c r="E3" i="6"/>
  <c r="E17" i="6" s="1"/>
  <c r="E20" i="4"/>
  <c r="E23" i="4" s="1"/>
  <c r="E25" i="4" s="1"/>
  <c r="E48" i="4"/>
  <c r="K9" i="1"/>
  <c r="K13" i="1" s="1"/>
  <c r="I25" i="1"/>
  <c r="I32" i="1" s="1"/>
  <c r="J33" i="1"/>
  <c r="J35" i="1"/>
  <c r="J37" i="1" s="1"/>
  <c r="J38" i="1" s="1"/>
  <c r="J22" i="1" s="1"/>
  <c r="D39" i="4" l="1"/>
  <c r="D40" i="13" s="1"/>
  <c r="D42" i="13" s="1"/>
  <c r="D12" i="4"/>
  <c r="D49" i="13"/>
  <c r="D51" i="13" s="1"/>
  <c r="F49" i="4"/>
  <c r="F46" i="13"/>
  <c r="F48" i="13" s="1"/>
  <c r="I31" i="1"/>
  <c r="H25" i="12"/>
  <c r="H26" i="12" s="1"/>
  <c r="H59" i="12"/>
  <c r="F57" i="12"/>
  <c r="F24" i="12"/>
  <c r="F27" i="12" s="1"/>
  <c r="F29" i="12" s="1"/>
  <c r="H40" i="1"/>
  <c r="F25" i="6" s="1"/>
  <c r="E35" i="4"/>
  <c r="E42" i="12"/>
  <c r="E45" i="12" s="1"/>
  <c r="I17" i="5"/>
  <c r="I19" i="5" s="1"/>
  <c r="I20" i="5" s="1"/>
  <c r="G37" i="4"/>
  <c r="E10" i="4"/>
  <c r="E26" i="6"/>
  <c r="E27" i="6" s="1"/>
  <c r="J15" i="5"/>
  <c r="H44" i="12" s="1"/>
  <c r="H58" i="12" s="1"/>
  <c r="H24" i="6"/>
  <c r="H47" i="13" s="1"/>
  <c r="H50" i="4"/>
  <c r="H21" i="4"/>
  <c r="H22" i="4" s="1"/>
  <c r="F3" i="6"/>
  <c r="F17" i="6" s="1"/>
  <c r="F20" i="4"/>
  <c r="F23" i="4" s="1"/>
  <c r="F25" i="4" s="1"/>
  <c r="F48" i="4"/>
  <c r="K35" i="1"/>
  <c r="K37" i="1" s="1"/>
  <c r="K38" i="1" s="1"/>
  <c r="K22" i="1" s="1"/>
  <c r="K33" i="1"/>
  <c r="J25" i="1"/>
  <c r="J32" i="1" s="1"/>
  <c r="E39" i="4" l="1"/>
  <c r="E40" i="13" s="1"/>
  <c r="E42" i="13" s="1"/>
  <c r="E12" i="4"/>
  <c r="E49" i="13"/>
  <c r="E51" i="13" s="1"/>
  <c r="G49" i="4"/>
  <c r="G46" i="13"/>
  <c r="G48" i="13" s="1"/>
  <c r="J31" i="1"/>
  <c r="K31" i="1" s="1"/>
  <c r="I25" i="12"/>
  <c r="I26" i="12" s="1"/>
  <c r="I59" i="12"/>
  <c r="G57" i="12"/>
  <c r="G24" i="12"/>
  <c r="G27" i="12" s="1"/>
  <c r="G29" i="12" s="1"/>
  <c r="I40" i="1"/>
  <c r="G25" i="6" s="1"/>
  <c r="G10" i="12" s="1"/>
  <c r="G12" i="12" s="1"/>
  <c r="F35" i="4"/>
  <c r="F42" i="12"/>
  <c r="F45" i="12" s="1"/>
  <c r="F10" i="4"/>
  <c r="F10" i="12"/>
  <c r="F12" i="12" s="1"/>
  <c r="F26" i="6"/>
  <c r="F27" i="6" s="1"/>
  <c r="G3" i="6"/>
  <c r="G17" i="6" s="1"/>
  <c r="G20" i="4"/>
  <c r="G23" i="4" s="1"/>
  <c r="G25" i="4" s="1"/>
  <c r="G48" i="4"/>
  <c r="K15" i="5"/>
  <c r="I44" i="12" s="1"/>
  <c r="I58" i="12" s="1"/>
  <c r="I24" i="6"/>
  <c r="I47" i="13" s="1"/>
  <c r="I50" i="4"/>
  <c r="I21" i="4"/>
  <c r="I22" i="4" s="1"/>
  <c r="J17" i="5"/>
  <c r="J19" i="5" s="1"/>
  <c r="J20" i="5" s="1"/>
  <c r="H37" i="4"/>
  <c r="K25" i="1"/>
  <c r="K32" i="1" s="1"/>
  <c r="F39" i="4" l="1"/>
  <c r="F40" i="13" s="1"/>
  <c r="F42" i="13" s="1"/>
  <c r="F12" i="4"/>
  <c r="F49" i="13"/>
  <c r="F51" i="13" s="1"/>
  <c r="H49" i="4"/>
  <c r="H46" i="13"/>
  <c r="H48" i="13" s="1"/>
  <c r="J40" i="1"/>
  <c r="H25" i="6" s="1"/>
  <c r="H10" i="12" s="1"/>
  <c r="H24" i="12"/>
  <c r="H27" i="12" s="1"/>
  <c r="H57" i="12"/>
  <c r="G35" i="4"/>
  <c r="G42" i="12"/>
  <c r="G45" i="12" s="1"/>
  <c r="H3" i="6"/>
  <c r="H17" i="6" s="1"/>
  <c r="H48" i="4"/>
  <c r="H20" i="4"/>
  <c r="H23" i="4" s="1"/>
  <c r="G10" i="4"/>
  <c r="G26" i="6"/>
  <c r="G27" i="6" s="1"/>
  <c r="K17" i="5"/>
  <c r="K19" i="5" s="1"/>
  <c r="K20" i="5" s="1"/>
  <c r="I37" i="4"/>
  <c r="G39" i="4" l="1"/>
  <c r="G40" i="13" s="1"/>
  <c r="G42" i="13" s="1"/>
  <c r="G12" i="4"/>
  <c r="G49" i="13"/>
  <c r="G51" i="13" s="1"/>
  <c r="I49" i="4"/>
  <c r="I46" i="13"/>
  <c r="I48" i="13" s="1"/>
  <c r="H35" i="4"/>
  <c r="H42" i="12"/>
  <c r="H45" i="12" s="1"/>
  <c r="I24" i="12"/>
  <c r="I27" i="12" s="1"/>
  <c r="H28" i="12" s="1"/>
  <c r="H29" i="12" s="1"/>
  <c r="C32" i="12" s="1"/>
  <c r="C34" i="12" s="1"/>
  <c r="I57" i="12"/>
  <c r="K40" i="1"/>
  <c r="I25" i="6" s="1"/>
  <c r="I10" i="12" s="1"/>
  <c r="H11" i="12" s="1"/>
  <c r="H12" i="12" s="1"/>
  <c r="C16" i="12" s="1"/>
  <c r="I3" i="6"/>
  <c r="I17" i="6" s="1"/>
  <c r="I48" i="4"/>
  <c r="I20" i="4"/>
  <c r="I23" i="4" s="1"/>
  <c r="H24" i="4" s="1"/>
  <c r="H25" i="4" s="1"/>
  <c r="C28" i="4" s="1"/>
  <c r="C30" i="4" s="1"/>
  <c r="C31" i="4" s="1"/>
  <c r="H10" i="4"/>
  <c r="H49" i="13" s="1"/>
  <c r="H51" i="13" s="1"/>
  <c r="H26" i="6"/>
  <c r="H27" i="6" s="1"/>
  <c r="H39" i="4" l="1"/>
  <c r="H40" i="13" s="1"/>
  <c r="H42" i="13" s="1"/>
  <c r="I26" i="6"/>
  <c r="I27" i="6" s="1"/>
  <c r="I35" i="4"/>
  <c r="I42" i="12"/>
  <c r="I45" i="12" s="1"/>
  <c r="I10" i="4"/>
  <c r="C35" i="12"/>
  <c r="C37" i="12"/>
  <c r="C38" i="12" s="1"/>
  <c r="C17" i="12"/>
  <c r="C19" i="12"/>
  <c r="C20" i="12" s="1"/>
  <c r="D2" i="12"/>
  <c r="D4" i="12" s="1"/>
  <c r="C4" i="12" s="1"/>
  <c r="I39" i="4" l="1"/>
  <c r="I40" i="13" s="1"/>
  <c r="I42" i="13" s="1"/>
  <c r="H11" i="4"/>
  <c r="H12" i="4" s="1"/>
  <c r="C16" i="4" s="1"/>
  <c r="C17" i="4" s="1"/>
  <c r="I49" i="13"/>
  <c r="I51" i="13" s="1"/>
  <c r="E63" i="12"/>
  <c r="D47" i="12"/>
  <c r="D48" i="12" s="1"/>
  <c r="I60" i="12"/>
  <c r="I61" i="12" s="1"/>
  <c r="H62" i="12" s="1"/>
  <c r="F63" i="12"/>
  <c r="G60" i="12"/>
  <c r="G61" i="12" s="1"/>
  <c r="G63" i="12"/>
  <c r="H60" i="12"/>
  <c r="H61" i="12" s="1"/>
  <c r="D60" i="12"/>
  <c r="D61" i="12" s="1"/>
  <c r="E60" i="12"/>
  <c r="E61" i="12" s="1"/>
  <c r="E47" i="12"/>
  <c r="E48" i="12" s="1"/>
  <c r="G47" i="12"/>
  <c r="G48" i="12" s="1"/>
  <c r="H63" i="12"/>
  <c r="H47" i="12"/>
  <c r="F60" i="12"/>
  <c r="F61" i="12" s="1"/>
  <c r="F47" i="12"/>
  <c r="F48" i="12" s="1"/>
  <c r="D63" i="12"/>
  <c r="H46" i="12"/>
  <c r="D2" i="4" l="1"/>
  <c r="D4" i="4"/>
  <c r="D64" i="12"/>
  <c r="H64" i="12"/>
  <c r="F64" i="12"/>
  <c r="G64" i="12"/>
  <c r="H48" i="12"/>
  <c r="C48" i="12" s="1"/>
  <c r="C50" i="12" s="1"/>
  <c r="E64" i="12"/>
  <c r="C4" i="4" l="1"/>
  <c r="E54" i="4" s="1"/>
  <c r="E41" i="4"/>
  <c r="E42" i="4" s="1"/>
  <c r="F54" i="4"/>
  <c r="F55" i="4" s="1"/>
  <c r="G51" i="4"/>
  <c r="G52" i="4" s="1"/>
  <c r="I51" i="4"/>
  <c r="I52" i="4" s="1"/>
  <c r="H53" i="4" s="1"/>
  <c r="H54" i="4"/>
  <c r="F51" i="4"/>
  <c r="F52" i="4" s="1"/>
  <c r="G41" i="4"/>
  <c r="G42" i="4" s="1"/>
  <c r="H41" i="4"/>
  <c r="D54" i="4"/>
  <c r="H40" i="4"/>
  <c r="E51" i="4"/>
  <c r="E52" i="4" s="1"/>
  <c r="E55" i="4" s="1"/>
  <c r="D41" i="4"/>
  <c r="D42" i="4" s="1"/>
  <c r="C64" i="12"/>
  <c r="C66" i="12" s="1"/>
  <c r="C67" i="12" s="1"/>
  <c r="C51" i="12"/>
  <c r="C53" i="12"/>
  <c r="C54" i="12" s="1"/>
  <c r="D55" i="4" l="1"/>
  <c r="H51" i="4"/>
  <c r="H52" i="4" s="1"/>
  <c r="H55" i="4" s="1"/>
  <c r="D51" i="4"/>
  <c r="D52" i="4" s="1"/>
  <c r="G54" i="4"/>
  <c r="F41" i="4"/>
  <c r="F42" i="4" s="1"/>
  <c r="G55" i="4"/>
  <c r="H42" i="4"/>
  <c r="C69" i="12"/>
  <c r="C70" i="12" s="1"/>
  <c r="C42" i="4" l="1"/>
  <c r="C44" i="4" s="1"/>
  <c r="C45" i="4" s="1"/>
  <c r="C55" i="4"/>
  <c r="C57" i="4" s="1"/>
  <c r="C58" i="4" s="1"/>
</calcChain>
</file>

<file path=xl/sharedStrings.xml><?xml version="1.0" encoding="utf-8"?>
<sst xmlns="http://schemas.openxmlformats.org/spreadsheetml/2006/main" count="363" uniqueCount="195">
  <si>
    <t>Pro-forma financial statement</t>
  </si>
  <si>
    <t>Statement of Operations</t>
  </si>
  <si>
    <t>Historical data</t>
  </si>
  <si>
    <t>Pro Forma</t>
  </si>
  <si>
    <t>General and administrative expense</t>
  </si>
  <si>
    <t xml:space="preserve"> </t>
  </si>
  <si>
    <t>Statements of Financial Position</t>
  </si>
  <si>
    <t>Total current assets</t>
  </si>
  <si>
    <t>Total assets</t>
  </si>
  <si>
    <t>Liabilities and equity</t>
  </si>
  <si>
    <t>Accounts payable</t>
  </si>
  <si>
    <t>Total current liabilities</t>
  </si>
  <si>
    <t>Long-term debt</t>
  </si>
  <si>
    <t xml:space="preserve">    Total liabilities</t>
  </si>
  <si>
    <t>Shareholders' equity:</t>
  </si>
  <si>
    <t>Common stock</t>
  </si>
  <si>
    <t>Additional paid-in capital</t>
  </si>
  <si>
    <t>Retained earnings</t>
  </si>
  <si>
    <t>Accumulated other comprehensive loss</t>
  </si>
  <si>
    <t>Total shareholders' equity</t>
  </si>
  <si>
    <t>Totla liabilities and equity</t>
  </si>
  <si>
    <t>Debt+Equity</t>
  </si>
  <si>
    <t>Debt</t>
  </si>
  <si>
    <t>Dividend distribution</t>
  </si>
  <si>
    <t>Statement of Cash Flows</t>
  </si>
  <si>
    <t>Cash flows-investing activities:</t>
  </si>
  <si>
    <t>Cash flows-financing activities:</t>
  </si>
  <si>
    <t>Net increase/(decrease) in cash and cash equivalents</t>
  </si>
  <si>
    <t>(Dollars in thousands, except per share data)</t>
  </si>
  <si>
    <t>Revenue</t>
  </si>
  <si>
    <t>Cost of revenues</t>
  </si>
  <si>
    <t>Marketing</t>
  </si>
  <si>
    <t>Technolgy and development</t>
  </si>
  <si>
    <t>General and administrative</t>
  </si>
  <si>
    <t>Operating income</t>
  </si>
  <si>
    <t>Other income(expense)</t>
  </si>
  <si>
    <t>Interest expense</t>
  </si>
  <si>
    <t>Interest and other income (expense)</t>
  </si>
  <si>
    <t>Income before income taxes</t>
  </si>
  <si>
    <t>Provision for income taxes</t>
  </si>
  <si>
    <t>Net income</t>
  </si>
  <si>
    <t>Short-term investments</t>
  </si>
  <si>
    <t>Current content library, net</t>
  </si>
  <si>
    <t>Prepaid content</t>
  </si>
  <si>
    <t>Other current assets</t>
  </si>
  <si>
    <t>Non-current content library, net</t>
  </si>
  <si>
    <t>Property and equipment, net</t>
  </si>
  <si>
    <t>Current content liabilities</t>
  </si>
  <si>
    <t>Accrued expenses</t>
  </si>
  <si>
    <t>Deferred revenue</t>
  </si>
  <si>
    <t>Non-current content liabilities</t>
  </si>
  <si>
    <t>Long-term debt due to related party</t>
  </si>
  <si>
    <t>Other non-current liabilities</t>
  </si>
  <si>
    <t>Adjustments to reconcile net income to net cash provided by operating activites:</t>
  </si>
  <si>
    <t>Deferred taxes</t>
  </si>
  <si>
    <t>Change in operating assets and liabilities</t>
  </si>
  <si>
    <t>Purchases of property and equipment</t>
  </si>
  <si>
    <t>Net cash from investing activities</t>
  </si>
  <si>
    <t>Net cash from operating activities</t>
  </si>
  <si>
    <t>Net cash from financing activities</t>
  </si>
  <si>
    <t>Pro-forma Financial Statement</t>
  </si>
  <si>
    <t>Debt/(Debt+Equity)</t>
  </si>
  <si>
    <t>WACC calculation</t>
  </si>
  <si>
    <t>Value</t>
  </si>
  <si>
    <t>Tax rate</t>
  </si>
  <si>
    <t>Equity cost of capital</t>
  </si>
  <si>
    <t>Debt cost of capital</t>
  </si>
  <si>
    <t>WACC</t>
  </si>
  <si>
    <t>Initial number of shares</t>
  </si>
  <si>
    <t>Valuation</t>
  </si>
  <si>
    <t>Terminate year</t>
  </si>
  <si>
    <t>DCF-Equity Basis</t>
  </si>
  <si>
    <t>Cash flow to equity holders</t>
  </si>
  <si>
    <t>Terminal value</t>
  </si>
  <si>
    <t>Total cash flow to equity holders</t>
  </si>
  <si>
    <t>Discount rate</t>
  </si>
  <si>
    <t>Equity value</t>
  </si>
  <si>
    <t>Per share</t>
  </si>
  <si>
    <t>Residual income-Equity basis</t>
  </si>
  <si>
    <t>Capital charge</t>
  </si>
  <si>
    <t>Abnormal earnings</t>
  </si>
  <si>
    <t>Total abnormal earnings</t>
  </si>
  <si>
    <t>Residual Income</t>
  </si>
  <si>
    <t>Beginning BV (shareholders' equity)</t>
  </si>
  <si>
    <t>DCF-Entity Approach</t>
  </si>
  <si>
    <t>Cash from operating activities</t>
  </si>
  <si>
    <t>Cash from investing activity</t>
  </si>
  <si>
    <t>Free Cash Flow</t>
  </si>
  <si>
    <t>Terminate value</t>
  </si>
  <si>
    <t>Present value of FCF</t>
  </si>
  <si>
    <t>Value of debt</t>
  </si>
  <si>
    <t>Residual income-Entity approach</t>
  </si>
  <si>
    <t>Plus: Interest expense, net of tax</t>
  </si>
  <si>
    <t>Restidual Income</t>
  </si>
  <si>
    <t>Pro Forma Financial Statement</t>
  </si>
  <si>
    <t>Cost of revenue</t>
  </si>
  <si>
    <t xml:space="preserve">Depreciaton </t>
  </si>
  <si>
    <t>Non-depreciation</t>
  </si>
  <si>
    <t>Marketing expenses</t>
  </si>
  <si>
    <t>constant percentage of revenue</t>
  </si>
  <si>
    <t>constant percentage of marketing and general administrative expense</t>
  </si>
  <si>
    <t>Other non-current assets (deferred taxes)</t>
  </si>
  <si>
    <t>Current and non-current content liabilities, net of prepaid content</t>
  </si>
  <si>
    <t>80% of current and non-current library</t>
  </si>
  <si>
    <t>Current and non-current content library</t>
  </si>
  <si>
    <t>percentage of average NBV of combined content library</t>
  </si>
  <si>
    <t>Detailed calclulation</t>
  </si>
  <si>
    <t>Total cost of revenue</t>
  </si>
  <si>
    <t>Technology and development</t>
  </si>
  <si>
    <t>Depreciation</t>
  </si>
  <si>
    <t>percentage of revenue</t>
  </si>
  <si>
    <t>percentage of average of PPE</t>
  </si>
  <si>
    <t>Total technology and development</t>
  </si>
  <si>
    <t>Property and equipment</t>
  </si>
  <si>
    <t>Depreciation of property, equipment and intangibles</t>
  </si>
  <si>
    <t>Other non-current asset (net of deferred taxes)</t>
  </si>
  <si>
    <t>Content liabilities</t>
  </si>
  <si>
    <t>Additions to content library</t>
  </si>
  <si>
    <t>Purchases of short-term investments, net</t>
  </si>
  <si>
    <t>Amortization of content library</t>
  </si>
  <si>
    <t>Book value beginning period (S/E+Debt)</t>
  </si>
  <si>
    <t>Book value beginning period (S/E)</t>
  </si>
  <si>
    <t>Beginning book value (S/E)</t>
  </si>
  <si>
    <t>Non-amortization of content library</t>
  </si>
  <si>
    <t>Income tax rate</t>
  </si>
  <si>
    <t>Cash and cash equivalents</t>
  </si>
  <si>
    <t>remain constant</t>
  </si>
  <si>
    <t xml:space="preserve">remain constant </t>
  </si>
  <si>
    <t xml:space="preserve">remain constant D/(D+E) </t>
  </si>
  <si>
    <t>Assets</t>
  </si>
  <si>
    <t>Operating liabilities</t>
  </si>
  <si>
    <t>Issuance (repayment) of debt</t>
  </si>
  <si>
    <t>Proceeds fom issuing stock (dividend distribution)</t>
  </si>
  <si>
    <t>Earnings before interest expense</t>
  </si>
  <si>
    <t>Cash flow from operations (before interst, net of tax)</t>
  </si>
  <si>
    <t>Less: change in working capital</t>
  </si>
  <si>
    <t>Less: capital expenditures</t>
  </si>
  <si>
    <t>Free cash flow (to debt and equity)</t>
  </si>
  <si>
    <t>Data Inputs:</t>
  </si>
  <si>
    <t>Estimated value per share</t>
  </si>
  <si>
    <t>Exercise price of option</t>
  </si>
  <si>
    <t>Stock volatility</t>
  </si>
  <si>
    <t>Annual risk-free interest rate</t>
  </si>
  <si>
    <t>Option term (in years)</t>
  </si>
  <si>
    <t>Stock's dividend yield</t>
  </si>
  <si>
    <t>Black-Scholes Option Value:</t>
  </si>
  <si>
    <t># of outstanding options</t>
  </si>
  <si>
    <t>Tax</t>
  </si>
  <si>
    <t>Value of options (after tax)</t>
  </si>
  <si>
    <t>REVISION HISTORY</t>
  </si>
  <si>
    <t>Version 1.00</t>
  </si>
  <si>
    <t>Date</t>
  </si>
  <si>
    <t>Name</t>
  </si>
  <si>
    <t>Explanation of Change</t>
  </si>
  <si>
    <t>J. Royo</t>
  </si>
  <si>
    <t>Harvard Business School, Boston, MA</t>
  </si>
  <si>
    <t>HBS FORMAT</t>
  </si>
  <si>
    <t>DCF-Enterprise Approach</t>
  </si>
  <si>
    <t>Residual income-Enterprise approach</t>
  </si>
  <si>
    <t>Add: Amortization of content library</t>
  </si>
  <si>
    <t>Add: Depreciation of property, equipment and intangibles</t>
  </si>
  <si>
    <t>Total change in working capital</t>
  </si>
  <si>
    <t>Add: Deferred taxes</t>
  </si>
  <si>
    <t>Total capital expenditures</t>
  </si>
  <si>
    <t>Free cash flow from CFS approach</t>
  </si>
  <si>
    <t>Difference</t>
  </si>
  <si>
    <t>Standard Finance Template</t>
  </si>
  <si>
    <t>P.68</t>
  </si>
  <si>
    <t>P.69</t>
  </si>
  <si>
    <t>Value of options</t>
  </si>
  <si>
    <t>Value after options</t>
  </si>
  <si>
    <t>Journal entry</t>
  </si>
  <si>
    <t>31/12/2011</t>
  </si>
  <si>
    <t>Balance sheet</t>
  </si>
  <si>
    <t>Cash</t>
  </si>
  <si>
    <t>Income statement</t>
  </si>
  <si>
    <t>Earnings from affiliate</t>
  </si>
  <si>
    <t>Investment from affiliate</t>
  </si>
  <si>
    <t>Percent of ownership</t>
  </si>
  <si>
    <t>Affiliate investment</t>
  </si>
  <si>
    <t>Income from affiliate</t>
  </si>
  <si>
    <t>Dividend from affiliate</t>
  </si>
  <si>
    <t xml:space="preserve">Acquired 20 % of Outerwall </t>
  </si>
  <si>
    <t>Description</t>
  </si>
  <si>
    <t>Record affiliate's net income</t>
  </si>
  <si>
    <t>Record affiliate's dividend payout</t>
  </si>
  <si>
    <t>Terminal year</t>
  </si>
  <si>
    <t xml:space="preserve">Other non-current asset </t>
  </si>
  <si>
    <t>Interest income</t>
  </si>
  <si>
    <t>Interest expense, net of tax</t>
  </si>
  <si>
    <t>explanation of calculation</t>
  </si>
  <si>
    <t>CFO+CFI+X = change in cash</t>
  </si>
  <si>
    <t>x = -CFO-CFI+change in cash</t>
  </si>
  <si>
    <t>Free cash flow to equity from CFS approach</t>
  </si>
  <si>
    <t>minus change in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</si>
</sst>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&quot;$&quot;#,##0.00"/>
    <numFmt numFmtId="167" formatCode="General\ &quot; Years&quot;"/>
    <numFmt numFmtId="168" formatCode="_(* #,##0.0_);_(* \(#,##0.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u val="singleAccounting"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imes"/>
    </font>
    <font>
      <b/>
      <sz val="11"/>
      <color indexed="17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Geneva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40" fontId="21" fillId="0" borderId="0" applyFont="0" applyFill="0" applyBorder="0" applyAlignment="0" applyProtection="0"/>
  </cellStyleXfs>
  <cellXfs count="15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 applyFill="1"/>
    <xf numFmtId="0" fontId="4" fillId="0" borderId="0" xfId="0" applyFont="1"/>
    <xf numFmtId="0" fontId="5" fillId="2" borderId="0" xfId="0" applyFont="1" applyFill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1" applyNumberFormat="1" applyFont="1" applyBorder="1"/>
    <xf numFmtId="164" fontId="3" fillId="0" borderId="1" xfId="1" applyNumberFormat="1" applyFont="1" applyBorder="1"/>
    <xf numFmtId="164" fontId="3" fillId="0" borderId="0" xfId="1" applyNumberFormat="1" applyFont="1" applyFill="1"/>
    <xf numFmtId="164" fontId="7" fillId="0" borderId="0" xfId="1" applyNumberFormat="1" applyFont="1" applyBorder="1"/>
    <xf numFmtId="164" fontId="7" fillId="0" borderId="1" xfId="1" applyNumberFormat="1" applyFont="1" applyBorder="1"/>
    <xf numFmtId="0" fontId="6" fillId="0" borderId="0" xfId="0" applyFont="1"/>
    <xf numFmtId="164" fontId="6" fillId="0" borderId="0" xfId="1" applyNumberFormat="1" applyFont="1" applyBorder="1"/>
    <xf numFmtId="164" fontId="6" fillId="0" borderId="1" xfId="1" applyNumberFormat="1" applyFont="1" applyBorder="1"/>
    <xf numFmtId="164" fontId="6" fillId="0" borderId="0" xfId="1" applyNumberFormat="1" applyFont="1" applyFill="1" applyBorder="1"/>
    <xf numFmtId="164" fontId="3" fillId="0" borderId="0" xfId="0" applyNumberFormat="1" applyFont="1" applyBorder="1"/>
    <xf numFmtId="164" fontId="7" fillId="0" borderId="0" xfId="1" applyNumberFormat="1" applyFont="1" applyFill="1" applyBorder="1"/>
    <xf numFmtId="164" fontId="7" fillId="0" borderId="1" xfId="1" applyNumberFormat="1" applyFont="1" applyFill="1" applyBorder="1"/>
    <xf numFmtId="164" fontId="3" fillId="0" borderId="0" xfId="1" applyNumberFormat="1" applyFont="1" applyFill="1" applyBorder="1"/>
    <xf numFmtId="164" fontId="3" fillId="0" borderId="1" xfId="1" applyNumberFormat="1" applyFont="1" applyFill="1" applyBorder="1"/>
    <xf numFmtId="164" fontId="3" fillId="0" borderId="0" xfId="0" applyNumberFormat="1" applyFont="1" applyFill="1"/>
    <xf numFmtId="43" fontId="3" fillId="0" borderId="0" xfId="0" applyNumberFormat="1" applyFont="1" applyFill="1"/>
    <xf numFmtId="0" fontId="3" fillId="3" borderId="0" xfId="0" applyFont="1" applyFill="1"/>
    <xf numFmtId="0" fontId="6" fillId="0" borderId="1" xfId="0" applyFont="1" applyBorder="1" applyAlignment="1">
      <alignment horizontal="center"/>
    </xf>
    <xf numFmtId="164" fontId="3" fillId="0" borderId="0" xfId="0" applyNumberFormat="1" applyFont="1"/>
    <xf numFmtId="0" fontId="6" fillId="0" borderId="0" xfId="0" applyFont="1" applyAlignment="1">
      <alignment horizontal="left" indent="2"/>
    </xf>
    <xf numFmtId="164" fontId="6" fillId="0" borderId="1" xfId="1" applyNumberFormat="1" applyFont="1" applyFill="1" applyBorder="1"/>
    <xf numFmtId="43" fontId="3" fillId="0" borderId="0" xfId="1" applyFont="1" applyFill="1"/>
    <xf numFmtId="0" fontId="3" fillId="0" borderId="0" xfId="0" applyFont="1" applyFill="1" applyBorder="1"/>
    <xf numFmtId="0" fontId="3" fillId="0" borderId="0" xfId="0" applyFont="1" applyAlignment="1">
      <alignment horizontal="left" indent="2"/>
    </xf>
    <xf numFmtId="43" fontId="3" fillId="0" borderId="0" xfId="0" applyNumberFormat="1" applyFont="1"/>
    <xf numFmtId="0" fontId="3" fillId="0" borderId="0" xfId="0" applyFont="1" applyAlignment="1">
      <alignment horizontal="left" indent="4"/>
    </xf>
    <xf numFmtId="0" fontId="6" fillId="0" borderId="0" xfId="0" applyFont="1" applyAlignment="1">
      <alignment horizontal="left" indent="5"/>
    </xf>
    <xf numFmtId="43" fontId="3" fillId="0" borderId="0" xfId="1" applyFont="1"/>
    <xf numFmtId="0" fontId="6" fillId="0" borderId="0" xfId="0" applyFont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3" fillId="0" borderId="0" xfId="0" applyFont="1" applyAlignment="1">
      <alignment horizontal="left"/>
    </xf>
    <xf numFmtId="0" fontId="2" fillId="0" borderId="1" xfId="0" applyFont="1" applyBorder="1"/>
    <xf numFmtId="0" fontId="4" fillId="0" borderId="1" xfId="0" applyFont="1" applyBorder="1"/>
    <xf numFmtId="0" fontId="6" fillId="0" borderId="1" xfId="0" applyFont="1" applyBorder="1"/>
    <xf numFmtId="10" fontId="3" fillId="0" borderId="0" xfId="2" applyNumberFormat="1" applyFont="1"/>
    <xf numFmtId="10" fontId="3" fillId="0" borderId="0" xfId="2" applyNumberFormat="1" applyFont="1" applyFill="1"/>
    <xf numFmtId="0" fontId="8" fillId="0" borderId="0" xfId="0" applyFont="1"/>
    <xf numFmtId="0" fontId="3" fillId="0" borderId="1" xfId="0" applyFont="1" applyFill="1" applyBorder="1"/>
    <xf numFmtId="0" fontId="9" fillId="0" borderId="1" xfId="0" applyFont="1" applyFill="1" applyBorder="1"/>
    <xf numFmtId="0" fontId="9" fillId="0" borderId="0" xfId="0" applyFont="1" applyFill="1"/>
    <xf numFmtId="10" fontId="9" fillId="0" borderId="0" xfId="2" applyNumberFormat="1" applyFont="1" applyFill="1"/>
    <xf numFmtId="164" fontId="3" fillId="0" borderId="1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/>
    <xf numFmtId="10" fontId="3" fillId="0" borderId="0" xfId="0" applyNumberFormat="1" applyFont="1" applyFill="1"/>
    <xf numFmtId="9" fontId="3" fillId="0" borderId="0" xfId="0" applyNumberFormat="1" applyFont="1" applyFill="1"/>
    <xf numFmtId="0" fontId="10" fillId="0" borderId="0" xfId="0" applyFont="1"/>
    <xf numFmtId="165" fontId="3" fillId="0" borderId="0" xfId="0" applyNumberFormat="1" applyFont="1"/>
    <xf numFmtId="0" fontId="5" fillId="2" borderId="0" xfId="0" applyFont="1" applyFill="1" applyBorder="1"/>
    <xf numFmtId="0" fontId="6" fillId="2" borderId="0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center"/>
    </xf>
    <xf numFmtId="0" fontId="6" fillId="5" borderId="0" xfId="0" applyFont="1" applyFill="1"/>
    <xf numFmtId="0" fontId="3" fillId="5" borderId="0" xfId="0" applyFont="1" applyFill="1"/>
    <xf numFmtId="43" fontId="3" fillId="6" borderId="0" xfId="1" applyFont="1" applyFill="1"/>
    <xf numFmtId="43" fontId="3" fillId="7" borderId="0" xfId="1" applyFont="1" applyFill="1"/>
    <xf numFmtId="0" fontId="6" fillId="5" borderId="0" xfId="0" applyFont="1" applyFill="1" applyAlignment="1">
      <alignment horizontal="center"/>
    </xf>
    <xf numFmtId="43" fontId="6" fillId="0" borderId="0" xfId="1" applyFont="1"/>
    <xf numFmtId="44" fontId="3" fillId="0" borderId="0" xfId="0" applyNumberFormat="1" applyFont="1"/>
    <xf numFmtId="0" fontId="9" fillId="0" borderId="0" xfId="0" applyFont="1"/>
    <xf numFmtId="43" fontId="6" fillId="0" borderId="0" xfId="1" applyFont="1" applyFill="1"/>
    <xf numFmtId="43" fontId="3" fillId="8" borderId="0" xfId="1" applyFont="1" applyFill="1"/>
    <xf numFmtId="43" fontId="3" fillId="0" borderId="0" xfId="1" applyFont="1" applyFill="1" applyAlignment="1">
      <alignment horizontal="left"/>
    </xf>
    <xf numFmtId="10" fontId="11" fillId="0" borderId="0" xfId="2" applyNumberFormat="1" applyFont="1"/>
    <xf numFmtId="10" fontId="11" fillId="0" borderId="0" xfId="2" applyNumberFormat="1" applyFont="1" applyFill="1"/>
    <xf numFmtId="0" fontId="11" fillId="0" borderId="0" xfId="0" applyFont="1"/>
    <xf numFmtId="0" fontId="11" fillId="0" borderId="1" xfId="0" applyFont="1" applyBorder="1"/>
    <xf numFmtId="0" fontId="12" fillId="3" borderId="0" xfId="0" applyFont="1" applyFill="1"/>
    <xf numFmtId="0" fontId="4" fillId="0" borderId="0" xfId="0" applyFont="1" applyFill="1"/>
    <xf numFmtId="0" fontId="11" fillId="0" borderId="0" xfId="0" applyFont="1" applyFill="1"/>
    <xf numFmtId="0" fontId="9" fillId="0" borderId="1" xfId="0" applyFont="1" applyBorder="1"/>
    <xf numFmtId="10" fontId="9" fillId="0" borderId="0" xfId="2" applyNumberFormat="1" applyFont="1"/>
    <xf numFmtId="0" fontId="6" fillId="0" borderId="0" xfId="0" applyFont="1" applyFill="1" applyAlignment="1">
      <alignment horizontal="left" indent="2"/>
    </xf>
    <xf numFmtId="164" fontId="3" fillId="0" borderId="0" xfId="0" applyNumberFormat="1" applyFont="1" applyFill="1" applyBorder="1"/>
    <xf numFmtId="0" fontId="9" fillId="0" borderId="1" xfId="0" applyFont="1" applyBorder="1" applyAlignment="1">
      <alignment wrapText="1"/>
    </xf>
    <xf numFmtId="164" fontId="7" fillId="0" borderId="0" xfId="1" applyNumberFormat="1" applyFont="1" applyFill="1"/>
    <xf numFmtId="0" fontId="13" fillId="0" borderId="1" xfId="0" applyFont="1" applyBorder="1"/>
    <xf numFmtId="0" fontId="0" fillId="0" borderId="1" xfId="0" applyBorder="1" applyAlignment="1">
      <alignment horizontal="left" indent="3"/>
    </xf>
    <xf numFmtId="164" fontId="3" fillId="0" borderId="0" xfId="1" applyNumberFormat="1" applyFont="1" applyFill="1" applyBorder="1" applyAlignment="1">
      <alignment horizontal="left" indent="2"/>
    </xf>
    <xf numFmtId="9" fontId="3" fillId="0" borderId="0" xfId="2" applyFont="1" applyFill="1" applyBorder="1" applyAlignment="1">
      <alignment horizontal="center"/>
    </xf>
    <xf numFmtId="164" fontId="3" fillId="0" borderId="0" xfId="1" applyNumberFormat="1" applyFont="1"/>
    <xf numFmtId="164" fontId="9" fillId="0" borderId="0" xfId="1" applyNumberFormat="1" applyFont="1"/>
    <xf numFmtId="164" fontId="11" fillId="0" borderId="0" xfId="1" applyNumberFormat="1" applyFont="1"/>
    <xf numFmtId="0" fontId="14" fillId="0" borderId="0" xfId="0" applyFont="1"/>
    <xf numFmtId="0" fontId="15" fillId="0" borderId="1" xfId="0" applyFont="1" applyBorder="1" applyAlignment="1">
      <alignment horizontal="left" indent="3"/>
    </xf>
    <xf numFmtId="164" fontId="11" fillId="0" borderId="0" xfId="1" applyNumberFormat="1" applyFont="1" applyFill="1"/>
    <xf numFmtId="9" fontId="9" fillId="0" borderId="0" xfId="0" applyNumberFormat="1" applyFont="1" applyFill="1" applyAlignment="1">
      <alignment horizontal="left"/>
    </xf>
    <xf numFmtId="43" fontId="9" fillId="0" borderId="0" xfId="0" applyNumberFormat="1" applyFont="1"/>
    <xf numFmtId="164" fontId="6" fillId="0" borderId="0" xfId="0" applyNumberFormat="1" applyFont="1"/>
    <xf numFmtId="10" fontId="3" fillId="4" borderId="0" xfId="0" applyNumberFormat="1" applyFont="1" applyFill="1"/>
    <xf numFmtId="10" fontId="3" fillId="0" borderId="0" xfId="0" applyNumberFormat="1" applyFont="1" applyAlignment="1">
      <alignment horizontal="center"/>
    </xf>
    <xf numFmtId="164" fontId="9" fillId="0" borderId="0" xfId="1" applyNumberFormat="1" applyFont="1" applyFill="1"/>
    <xf numFmtId="10" fontId="3" fillId="0" borderId="0" xfId="0" applyNumberFormat="1" applyFont="1"/>
    <xf numFmtId="0" fontId="6" fillId="0" borderId="1" xfId="0" applyFont="1" applyFill="1" applyBorder="1" applyAlignment="1">
      <alignment horizontal="center" wrapText="1"/>
    </xf>
    <xf numFmtId="0" fontId="17" fillId="0" borderId="0" xfId="3" applyFont="1"/>
    <xf numFmtId="0" fontId="15" fillId="0" borderId="0" xfId="3" applyFont="1"/>
    <xf numFmtId="0" fontId="15" fillId="0" borderId="0" xfId="3" applyFont="1" applyAlignment="1" applyProtection="1">
      <alignment horizontal="left"/>
    </xf>
    <xf numFmtId="166" fontId="15" fillId="0" borderId="0" xfId="3" applyNumberFormat="1" applyFont="1"/>
    <xf numFmtId="10" fontId="15" fillId="0" borderId="0" xfId="3" applyNumberFormat="1" applyFont="1"/>
    <xf numFmtId="167" fontId="15" fillId="0" borderId="0" xfId="3" applyNumberFormat="1" applyFont="1"/>
    <xf numFmtId="0" fontId="19" fillId="0" borderId="0" xfId="3" applyFont="1"/>
    <xf numFmtId="0" fontId="20" fillId="0" borderId="0" xfId="3" applyFont="1"/>
    <xf numFmtId="38" fontId="1" fillId="0" borderId="0" xfId="4" applyNumberFormat="1" applyFont="1"/>
    <xf numFmtId="0" fontId="20" fillId="0" borderId="0" xfId="3" applyFont="1" applyAlignment="1">
      <alignment horizontal="right"/>
    </xf>
    <xf numFmtId="164" fontId="15" fillId="0" borderId="0" xfId="1" applyNumberFormat="1" applyFont="1"/>
    <xf numFmtId="0" fontId="15" fillId="0" borderId="0" xfId="3" applyFont="1" applyProtection="1"/>
    <xf numFmtId="0" fontId="18" fillId="0" borderId="0" xfId="3" applyFont="1" applyProtection="1"/>
    <xf numFmtId="0" fontId="15" fillId="0" borderId="4" xfId="3" applyFont="1" applyBorder="1" applyProtection="1"/>
    <xf numFmtId="14" fontId="15" fillId="0" borderId="0" xfId="3" applyNumberFormat="1" applyFont="1" applyAlignment="1">
      <alignment horizontal="left"/>
    </xf>
    <xf numFmtId="0" fontId="3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 indent="3"/>
    </xf>
    <xf numFmtId="168" fontId="3" fillId="0" borderId="0" xfId="0" applyNumberFormat="1" applyFont="1"/>
    <xf numFmtId="166" fontId="18" fillId="9" borderId="0" xfId="3" applyNumberFormat="1" applyFont="1" applyFill="1"/>
    <xf numFmtId="164" fontId="15" fillId="9" borderId="0" xfId="1" applyNumberFormat="1" applyFont="1" applyFill="1"/>
    <xf numFmtId="9" fontId="15" fillId="0" borderId="0" xfId="2" applyFont="1" applyFill="1" applyAlignment="1" applyProtection="1">
      <alignment horizontal="right"/>
    </xf>
    <xf numFmtId="0" fontId="15" fillId="0" borderId="0" xfId="3" applyFont="1" applyFill="1"/>
    <xf numFmtId="164" fontId="15" fillId="0" borderId="0" xfId="1" applyNumberFormat="1" applyFont="1" applyFill="1" applyAlignment="1" applyProtection="1">
      <alignment horizontal="left"/>
    </xf>
    <xf numFmtId="38" fontId="0" fillId="0" borderId="0" xfId="4" applyNumberFormat="1" applyFont="1"/>
    <xf numFmtId="10" fontId="15" fillId="0" borderId="0" xfId="3" applyNumberFormat="1" applyFont="1" applyFill="1"/>
    <xf numFmtId="167" fontId="15" fillId="0" borderId="0" xfId="3" applyNumberFormat="1" applyFont="1" applyFill="1"/>
    <xf numFmtId="166" fontId="15" fillId="0" borderId="0" xfId="3" applyNumberFormat="1" applyFont="1" applyFill="1"/>
    <xf numFmtId="2" fontId="3" fillId="0" borderId="0" xfId="1" applyNumberFormat="1" applyFont="1" applyFill="1"/>
    <xf numFmtId="15" fontId="23" fillId="0" borderId="0" xfId="0" applyNumberFormat="1" applyFont="1"/>
    <xf numFmtId="43" fontId="0" fillId="0" borderId="0" xfId="1" applyFont="1"/>
    <xf numFmtId="164" fontId="0" fillId="0" borderId="0" xfId="1" applyNumberFormat="1" applyFont="1"/>
    <xf numFmtId="164" fontId="0" fillId="0" borderId="5" xfId="1" applyNumberFormat="1" applyFont="1" applyBorder="1"/>
    <xf numFmtId="0" fontId="22" fillId="0" borderId="0" xfId="0" applyFont="1" applyAlignment="1">
      <alignment horizontal="center"/>
    </xf>
    <xf numFmtId="0" fontId="22" fillId="0" borderId="6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9" fontId="0" fillId="0" borderId="0" xfId="0" applyNumberFormat="1" applyFont="1" applyBorder="1"/>
    <xf numFmtId="3" fontId="0" fillId="0" borderId="0" xfId="0" applyNumberFormat="1" applyFont="1" applyBorder="1"/>
    <xf numFmtId="0" fontId="0" fillId="0" borderId="0" xfId="0" applyFont="1" applyBorder="1"/>
    <xf numFmtId="164" fontId="0" fillId="0" borderId="0" xfId="1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22" fillId="0" borderId="6" xfId="0" applyFont="1" applyBorder="1" applyAlignment="1">
      <alignment horizontal="center"/>
    </xf>
    <xf numFmtId="0" fontId="22" fillId="0" borderId="0" xfId="0" applyFont="1" applyAlignment="1">
      <alignment horizontal="center"/>
    </xf>
  </cellXfs>
  <cellStyles count="5">
    <cellStyle name="Comma" xfId="1" builtinId="3"/>
    <cellStyle name="Comma 2" xf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716280</xdr:colOff>
      <xdr:row>24</xdr:row>
      <xdr:rowOff>53340</xdr:rowOff>
    </xdr:from>
    <xdr:to>
      <xdr:col>1</xdr:col>
      <xdr:colOff>739140</xdr:colOff>
      <xdr:row>31</xdr:row>
      <xdr:rowOff>38100</xdr:rowOff>
    </xdr:to>
    <xdr:cxnSp macro="">
      <xdr:nvCxnSpPr>
        <xdr:cNvPr id="2" name="Straight Arrow Connector 1"/>
        <xdr:cNvCxnSpPr/>
      </xdr:nvCxnSpPr>
      <xdr:spPr>
        <a:xfrm>
          <a:off x="5570220" y="4396740"/>
          <a:ext cx="22860" cy="1257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L41"/>
  <sheetViews>
    <sheetView tabSelected="1" topLeftCell="A19" workbookViewId="0">
      <selection activeCell="D46" sqref="D46"/>
    </sheetView>
  </sheetViews>
  <sheetFormatPr defaultColWidth="9.140625" defaultRowHeight="14.25"/>
  <cols>
    <col min="1" max="1" width="42.85546875" style="1" customWidth="1"/>
    <col min="2" max="2" width="2.85546875" style="1" customWidth="1"/>
    <col min="3" max="3" width="5" style="2" customWidth="1"/>
    <col min="4" max="4" width="13.7109375" style="2" customWidth="1"/>
    <col min="5" max="5" width="15.7109375" style="3" bestFit="1" customWidth="1"/>
    <col min="6" max="6" width="18.7109375" style="4" bestFit="1" customWidth="1"/>
    <col min="7" max="8" width="15.7109375" style="1" bestFit="1" customWidth="1"/>
    <col min="9" max="9" width="15.7109375" style="1" customWidth="1"/>
    <col min="10" max="10" width="15.7109375" style="1" bestFit="1" customWidth="1"/>
    <col min="11" max="11" width="15.7109375" style="4" bestFit="1" customWidth="1"/>
    <col min="12" max="16384" width="9.140625" style="1"/>
  </cols>
  <sheetData>
    <row r="1" spans="1:11" s="4" customFormat="1" ht="23.25">
      <c r="A1" s="80" t="s">
        <v>94</v>
      </c>
      <c r="C1" s="33"/>
      <c r="D1" s="33"/>
      <c r="E1" s="48" t="s">
        <v>5</v>
      </c>
      <c r="F1" s="26"/>
    </row>
    <row r="2" spans="1:11" ht="18">
      <c r="A2" s="79" t="s">
        <v>6</v>
      </c>
      <c r="B2" s="27"/>
      <c r="C2" s="148" t="s">
        <v>2</v>
      </c>
      <c r="D2" s="148"/>
      <c r="E2" s="149"/>
      <c r="F2" s="150" t="s">
        <v>3</v>
      </c>
      <c r="G2" s="151"/>
      <c r="H2" s="151"/>
      <c r="I2" s="151"/>
      <c r="J2" s="151"/>
      <c r="K2" s="151"/>
    </row>
    <row r="3" spans="1:11" ht="15">
      <c r="A3" s="16" t="s">
        <v>129</v>
      </c>
      <c r="C3" s="7"/>
      <c r="D3" s="7">
        <v>2011</v>
      </c>
      <c r="E3" s="8">
        <v>2012</v>
      </c>
      <c r="F3" s="9">
        <v>2013</v>
      </c>
      <c r="G3" s="9">
        <v>2014</v>
      </c>
      <c r="H3" s="9">
        <v>2015</v>
      </c>
      <c r="I3" s="9">
        <v>2016</v>
      </c>
      <c r="J3" s="9">
        <v>2017</v>
      </c>
      <c r="K3" s="9">
        <v>2018</v>
      </c>
    </row>
    <row r="4" spans="1:11">
      <c r="A4" s="1" t="s">
        <v>125</v>
      </c>
      <c r="C4" s="11"/>
      <c r="D4" s="11">
        <v>508053</v>
      </c>
      <c r="E4" s="12">
        <v>290291</v>
      </c>
      <c r="F4" s="25">
        <f>Assumption!C19*'Pro Forma Balance Sheet'!E4</f>
        <v>290291</v>
      </c>
      <c r="G4" s="25">
        <f>Assumption!D19*'Pro Forma Balance Sheet'!F4</f>
        <v>290291</v>
      </c>
      <c r="H4" s="25">
        <f>Assumption!E19*'Pro Forma Balance Sheet'!G4</f>
        <v>290291</v>
      </c>
      <c r="I4" s="25">
        <f>Assumption!F19*'Pro Forma Balance Sheet'!H4</f>
        <v>290291</v>
      </c>
      <c r="J4" s="25">
        <f>Assumption!G19*'Pro Forma Balance Sheet'!I4</f>
        <v>290291</v>
      </c>
      <c r="K4" s="25">
        <f>Assumption!H19*'Pro Forma Balance Sheet'!J4</f>
        <v>290291</v>
      </c>
    </row>
    <row r="5" spans="1:11">
      <c r="A5" s="4" t="s">
        <v>41</v>
      </c>
      <c r="C5" s="11"/>
      <c r="D5" s="11">
        <v>289758</v>
      </c>
      <c r="E5" s="12">
        <v>457787</v>
      </c>
      <c r="F5" s="13">
        <f>E5*Assumption!C20</f>
        <v>457787</v>
      </c>
      <c r="G5" s="13">
        <f>F5*Assumption!D20</f>
        <v>457787</v>
      </c>
      <c r="H5" s="13">
        <f>G5*Assumption!E20</f>
        <v>457787</v>
      </c>
      <c r="I5" s="13">
        <f>H5*Assumption!F20</f>
        <v>457787</v>
      </c>
      <c r="J5" s="13">
        <f>I5*Assumption!G20</f>
        <v>457787</v>
      </c>
      <c r="K5" s="13">
        <f>J5*Assumption!H20</f>
        <v>457787</v>
      </c>
    </row>
    <row r="6" spans="1:11" s="4" customFormat="1">
      <c r="A6" s="4" t="s">
        <v>42</v>
      </c>
      <c r="C6" s="11"/>
      <c r="D6" s="23">
        <v>919709</v>
      </c>
      <c r="E6" s="24">
        <v>1368162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</row>
    <row r="7" spans="1:11">
      <c r="A7" s="4" t="s">
        <v>43</v>
      </c>
      <c r="B7" s="4"/>
      <c r="C7" s="11"/>
      <c r="D7" s="23">
        <v>56007</v>
      </c>
      <c r="E7" s="24">
        <v>59929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</row>
    <row r="8" spans="1:11">
      <c r="A8" s="4" t="s">
        <v>44</v>
      </c>
      <c r="C8" s="11"/>
      <c r="D8" s="11">
        <v>57330</v>
      </c>
      <c r="E8" s="24">
        <v>64622</v>
      </c>
      <c r="F8" s="25">
        <f>E8*Assumption!C21</f>
        <v>64622</v>
      </c>
      <c r="G8" s="25">
        <f>F8*Assumption!D21</f>
        <v>64622</v>
      </c>
      <c r="H8" s="25">
        <f>G8*Assumption!E21</f>
        <v>64622</v>
      </c>
      <c r="I8" s="25">
        <f>H8*Assumption!F21</f>
        <v>64622</v>
      </c>
      <c r="J8" s="25">
        <f>I8*Assumption!G21</f>
        <v>64622</v>
      </c>
      <c r="K8" s="25">
        <f>J8*Assumption!H21</f>
        <v>64622</v>
      </c>
    </row>
    <row r="9" spans="1:11" s="4" customFormat="1" ht="15">
      <c r="A9" s="84" t="s">
        <v>7</v>
      </c>
      <c r="C9" s="11"/>
      <c r="D9" s="19">
        <f t="shared" ref="D9:K9" si="0">SUM(D4:D8)</f>
        <v>1830857</v>
      </c>
      <c r="E9" s="31">
        <f t="shared" si="0"/>
        <v>2240791</v>
      </c>
      <c r="F9" s="19">
        <f t="shared" si="0"/>
        <v>812700</v>
      </c>
      <c r="G9" s="19">
        <f t="shared" si="0"/>
        <v>812700</v>
      </c>
      <c r="H9" s="19">
        <f t="shared" si="0"/>
        <v>812700</v>
      </c>
      <c r="I9" s="19">
        <f t="shared" si="0"/>
        <v>812700</v>
      </c>
      <c r="J9" s="19">
        <f t="shared" si="0"/>
        <v>812700</v>
      </c>
      <c r="K9" s="19">
        <f t="shared" si="0"/>
        <v>812700</v>
      </c>
    </row>
    <row r="10" spans="1:11">
      <c r="A10" s="4" t="s">
        <v>45</v>
      </c>
      <c r="C10" s="11"/>
      <c r="D10" s="11">
        <v>1046934</v>
      </c>
      <c r="E10" s="24">
        <v>1506008</v>
      </c>
      <c r="F10" s="25">
        <f>Assumption!C22*'Pro Forma Income Statement'!F6</f>
        <v>3031796.8799999994</v>
      </c>
      <c r="G10" s="25">
        <f>Assumption!D22*'Pro Forma Income Statement'!G6</f>
        <v>3248353.7999999993</v>
      </c>
      <c r="H10" s="25">
        <f>Assumption!E22*'Pro Forma Income Statement'!H6</f>
        <v>3519049.9499999997</v>
      </c>
      <c r="I10" s="25">
        <f>Assumption!F22*'Pro Forma Income Statement'!I6</f>
        <v>4222859.9399999995</v>
      </c>
      <c r="J10" s="25">
        <f>Assumption!G22*'Pro Forma Income Statement'!J6</f>
        <v>4645145.9339999994</v>
      </c>
      <c r="K10" s="25">
        <f>Assumption!H22*'Pro Forma Income Statement'!K6</f>
        <v>4645145.9339999994</v>
      </c>
    </row>
    <row r="11" spans="1:11">
      <c r="A11" s="4" t="s">
        <v>46</v>
      </c>
      <c r="C11" s="11"/>
      <c r="D11" s="11">
        <v>136353</v>
      </c>
      <c r="E11" s="24">
        <v>131681</v>
      </c>
      <c r="F11" s="26">
        <f>E11*Assumption!C23</f>
        <v>136948.24</v>
      </c>
      <c r="G11" s="26">
        <f>F11*Assumption!D23</f>
        <v>143795.652</v>
      </c>
      <c r="H11" s="26">
        <f>G11*Assumption!E23</f>
        <v>152423.39112000001</v>
      </c>
      <c r="I11" s="26">
        <f>H11*Assumption!F23</f>
        <v>158520.32676480003</v>
      </c>
      <c r="J11" s="26">
        <f>I11*Assumption!G23</f>
        <v>161690.73330009604</v>
      </c>
      <c r="K11" s="26">
        <f>J11*Assumption!H23</f>
        <v>161690.73330009604</v>
      </c>
    </row>
    <row r="12" spans="1:11">
      <c r="A12" s="4" t="s">
        <v>101</v>
      </c>
      <c r="C12" s="11"/>
      <c r="D12" s="11">
        <v>55052</v>
      </c>
      <c r="E12" s="24">
        <v>89410</v>
      </c>
      <c r="F12" s="13">
        <f>Assumption!C24*'Pro Forma Income Statement'!F6</f>
        <v>107291.99999999999</v>
      </c>
      <c r="G12" s="13">
        <f>Assumption!D24*'Pro Forma Income Statement'!G6</f>
        <v>134114.99999999997</v>
      </c>
      <c r="H12" s="13">
        <f>Assumption!E24*'Pro Forma Income Statement'!H6</f>
        <v>174349.5</v>
      </c>
      <c r="I12" s="13">
        <f>Assumption!F24*'Pro Forma Income Statement'!I6</f>
        <v>209219.4</v>
      </c>
      <c r="J12" s="13">
        <f>Assumption!G24*'Pro Forma Income Statement'!J6</f>
        <v>230141.34</v>
      </c>
      <c r="K12" s="13">
        <f>Assumption!H24*'Pro Forma Income Statement'!K6</f>
        <v>230141.34</v>
      </c>
    </row>
    <row r="13" spans="1:11" s="4" customFormat="1" ht="15">
      <c r="A13" s="84" t="s">
        <v>8</v>
      </c>
      <c r="C13" s="11"/>
      <c r="D13" s="19">
        <f t="shared" ref="D13:K13" si="1">SUM(D9:D12)</f>
        <v>3069196</v>
      </c>
      <c r="E13" s="31">
        <f>SUM(E9:E12)</f>
        <v>3967890</v>
      </c>
      <c r="F13" s="19">
        <f t="shared" si="1"/>
        <v>4088737.1199999992</v>
      </c>
      <c r="G13" s="19">
        <f t="shared" si="1"/>
        <v>4338964.4519999996</v>
      </c>
      <c r="H13" s="19">
        <f t="shared" si="1"/>
        <v>4658522.8411199991</v>
      </c>
      <c r="I13" s="19">
        <f t="shared" si="1"/>
        <v>5403299.6667647995</v>
      </c>
      <c r="J13" s="19">
        <f t="shared" si="1"/>
        <v>5849678.0073000956</v>
      </c>
      <c r="K13" s="19">
        <f t="shared" si="1"/>
        <v>5849678.0073000956</v>
      </c>
    </row>
    <row r="14" spans="1:11" s="4" customFormat="1" ht="15">
      <c r="A14" s="84"/>
      <c r="C14" s="11"/>
      <c r="D14" s="33"/>
      <c r="E14" s="52"/>
      <c r="G14" s="33"/>
      <c r="H14" s="33"/>
      <c r="I14" s="33"/>
      <c r="J14" s="33"/>
      <c r="K14" s="33"/>
    </row>
    <row r="15" spans="1:11" s="4" customFormat="1" ht="15">
      <c r="A15" s="55" t="s">
        <v>9</v>
      </c>
      <c r="C15" s="11" t="s">
        <v>5</v>
      </c>
      <c r="D15" s="85"/>
      <c r="E15" s="48"/>
      <c r="G15" s="33"/>
      <c r="H15" s="33" t="s">
        <v>5</v>
      </c>
      <c r="I15" s="33"/>
      <c r="J15" s="33"/>
      <c r="K15" s="33"/>
    </row>
    <row r="16" spans="1:11">
      <c r="A16" s="4" t="s">
        <v>47</v>
      </c>
      <c r="C16" s="11"/>
      <c r="D16" s="23">
        <v>935036</v>
      </c>
      <c r="E16" s="24">
        <v>1366847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</row>
    <row r="17" spans="1:12">
      <c r="A17" s="4" t="s">
        <v>10</v>
      </c>
      <c r="C17" s="11"/>
      <c r="D17" s="11">
        <v>86992</v>
      </c>
      <c r="E17" s="12">
        <v>86468</v>
      </c>
      <c r="F17" s="13">
        <f>-Assumption!C25*('Pro Forma Income Statement'!F9+'Pro Forma Income Statement'!F11)</f>
        <v>101193.22932913752</v>
      </c>
      <c r="G17" s="13">
        <f>-Assumption!D25*('Pro Forma Income Statement'!G9+'Pro Forma Income Statement'!G11)</f>
        <v>122716.03177525412</v>
      </c>
      <c r="H17" s="13">
        <f>-Assumption!E25*('Pro Forma Income Statement'!H9+'Pro Forma Income Statement'!H11)</f>
        <v>154482.45191718312</v>
      </c>
      <c r="I17" s="13">
        <f>-Assumption!F25*('Pro Forma Income Statement'!I9+'Pro Forma Income Statement'!I11)</f>
        <v>181912.38158570864</v>
      </c>
      <c r="J17" s="13">
        <f>-Assumption!G25*('Pro Forma Income Statement'!J9+'Pro Forma Income Statement'!J11)</f>
        <v>198335.67377967481</v>
      </c>
      <c r="K17" s="13">
        <f>-Assumption!H25*('Pro Forma Income Statement'!K9+'Pro Forma Income Statement'!K11)</f>
        <v>198335.67377967481</v>
      </c>
    </row>
    <row r="18" spans="1:12">
      <c r="A18" s="4" t="s">
        <v>48</v>
      </c>
      <c r="C18" s="11"/>
      <c r="D18" s="11">
        <v>54231</v>
      </c>
      <c r="E18" s="12">
        <v>53139</v>
      </c>
      <c r="F18" s="13">
        <f>-Assumption!C26*('Pro Forma Income Statement'!F9+'Pro Forma Income Statement'!F11)</f>
        <v>62188.405113117442</v>
      </c>
      <c r="G18" s="13">
        <f>-Assumption!D26*('Pro Forma Income Statement'!G9+'Pro Forma Income Statement'!G11)</f>
        <v>75415.265907679466</v>
      </c>
      <c r="H18" s="13">
        <f>-Assumption!E26*('Pro Forma Income Statement'!H9+'Pro Forma Income Statement'!H11)</f>
        <v>94937.352690326981</v>
      </c>
      <c r="I18" s="13">
        <f>-Assumption!F26*('Pro Forma Income Statement'!I9+'Pro Forma Income Statement'!I11)</f>
        <v>111794.44470882836</v>
      </c>
      <c r="J18" s="13">
        <f>-Assumption!G26*('Pro Forma Income Statement'!J9+'Pro Forma Income Statement'!J11)</f>
        <v>121887.39613473354</v>
      </c>
      <c r="K18" s="13">
        <f>-Assumption!H26*('Pro Forma Income Statement'!K9+'Pro Forma Income Statement'!K11)</f>
        <v>121887.39613473354</v>
      </c>
    </row>
    <row r="19" spans="1:12">
      <c r="A19" s="4" t="s">
        <v>49</v>
      </c>
      <c r="C19" s="11"/>
      <c r="D19" s="11">
        <v>148796</v>
      </c>
      <c r="E19" s="12">
        <v>169472</v>
      </c>
      <c r="F19" s="103">
        <f>Assumption!C30*('Pro Forma Income Statement'!F6)</f>
        <v>203366.39999999997</v>
      </c>
      <c r="G19" s="103">
        <f>Assumption!D30*('Pro Forma Income Statement'!G6)</f>
        <v>254207.99999999994</v>
      </c>
      <c r="H19" s="103">
        <f>Assumption!E30*('Pro Forma Income Statement'!H6)</f>
        <v>330470.39999999997</v>
      </c>
      <c r="I19" s="103">
        <f>Assumption!F30*('Pro Forma Income Statement'!I6)</f>
        <v>396564.47999999992</v>
      </c>
      <c r="J19" s="103">
        <f>Assumption!G30*('Pro Forma Income Statement'!J6)</f>
        <v>436220.9279999999</v>
      </c>
      <c r="K19" s="103">
        <f>J19</f>
        <v>436220.9279999999</v>
      </c>
      <c r="L19" s="81"/>
    </row>
    <row r="20" spans="1:12" s="4" customFormat="1" ht="15">
      <c r="A20" s="84" t="s">
        <v>11</v>
      </c>
      <c r="C20" s="11"/>
      <c r="D20" s="19">
        <f t="shared" ref="D20:K20" si="2">SUM(D16:D19)</f>
        <v>1225055</v>
      </c>
      <c r="E20" s="31">
        <f t="shared" si="2"/>
        <v>1675926</v>
      </c>
      <c r="F20" s="19">
        <f t="shared" si="2"/>
        <v>366748.03444225492</v>
      </c>
      <c r="G20" s="19">
        <f t="shared" si="2"/>
        <v>452339.29768293351</v>
      </c>
      <c r="H20" s="19">
        <f t="shared" si="2"/>
        <v>579890.20460751001</v>
      </c>
      <c r="I20" s="19">
        <f t="shared" si="2"/>
        <v>690271.30629453692</v>
      </c>
      <c r="J20" s="19">
        <f t="shared" si="2"/>
        <v>756443.99791440833</v>
      </c>
      <c r="K20" s="19">
        <f t="shared" si="2"/>
        <v>756443.99791440833</v>
      </c>
    </row>
    <row r="21" spans="1:12">
      <c r="A21" s="4" t="s">
        <v>50</v>
      </c>
      <c r="C21" s="11"/>
      <c r="D21" s="11">
        <v>739628</v>
      </c>
      <c r="E21" s="12">
        <v>1076622</v>
      </c>
      <c r="F21" s="13">
        <f>Assumption!C27*('Pro Forma Balance Sheet'!F10+F6)</f>
        <v>2425437.5039999997</v>
      </c>
      <c r="G21" s="13">
        <f>Assumption!D27*('Pro Forma Balance Sheet'!G10+G6)</f>
        <v>2598683.0399999996</v>
      </c>
      <c r="H21" s="13">
        <f>Assumption!E27*('Pro Forma Balance Sheet'!H10+H6)</f>
        <v>2815239.96</v>
      </c>
      <c r="I21" s="13">
        <f>Assumption!F27*('Pro Forma Balance Sheet'!I10+I6)</f>
        <v>3378287.9519999996</v>
      </c>
      <c r="J21" s="13">
        <f>Assumption!G27*('Pro Forma Balance Sheet'!J10+J6)</f>
        <v>3716116.7471999996</v>
      </c>
      <c r="K21" s="13">
        <f>Assumption!H27*('Pro Forma Balance Sheet'!K10+K6)</f>
        <v>3716116.7471999996</v>
      </c>
    </row>
    <row r="22" spans="1:12">
      <c r="A22" s="4" t="s">
        <v>12</v>
      </c>
      <c r="C22" s="11"/>
      <c r="D22" s="11">
        <v>200000</v>
      </c>
      <c r="E22" s="12">
        <v>200000</v>
      </c>
      <c r="F22" s="13">
        <f>F38</f>
        <v>428378.26403094846</v>
      </c>
      <c r="G22" s="13">
        <f t="shared" ref="G22:J22" si="3">G38</f>
        <v>425369.73068013892</v>
      </c>
      <c r="H22" s="13">
        <f t="shared" si="3"/>
        <v>416791.05788727058</v>
      </c>
      <c r="I22" s="13">
        <f t="shared" si="3"/>
        <v>441723.15009448561</v>
      </c>
      <c r="J22" s="13">
        <f t="shared" si="3"/>
        <v>456531.5202457601</v>
      </c>
      <c r="K22" s="13">
        <f>K38</f>
        <v>456531.5202457601</v>
      </c>
    </row>
    <row r="23" spans="1:12" s="4" customFormat="1">
      <c r="A23" s="4" t="s">
        <v>51</v>
      </c>
      <c r="C23" s="11"/>
      <c r="D23" s="23">
        <v>200000</v>
      </c>
      <c r="E23" s="24">
        <v>200000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</row>
    <row r="24" spans="1:12">
      <c r="A24" s="4" t="s">
        <v>52</v>
      </c>
      <c r="C24" s="11"/>
      <c r="D24" s="11">
        <v>61703</v>
      </c>
      <c r="E24" s="12">
        <v>70669</v>
      </c>
      <c r="F24" s="25">
        <f>E24*Assumption!C28</f>
        <v>70669</v>
      </c>
      <c r="G24" s="25">
        <f>F24*Assumption!D28</f>
        <v>70669</v>
      </c>
      <c r="H24" s="25">
        <f>G24*Assumption!E28</f>
        <v>70669</v>
      </c>
      <c r="I24" s="25">
        <f>H24*Assumption!F28</f>
        <v>70669</v>
      </c>
      <c r="J24" s="25">
        <f>I24*Assumption!G28</f>
        <v>70669</v>
      </c>
      <c r="K24" s="25">
        <f>J24*Assumption!H28</f>
        <v>70669</v>
      </c>
    </row>
    <row r="25" spans="1:12" s="55" customFormat="1" ht="15">
      <c r="A25" s="55" t="s">
        <v>13</v>
      </c>
      <c r="C25" s="11"/>
      <c r="D25" s="19">
        <f t="shared" ref="D25:K25" si="4">SUM(D20:D24)</f>
        <v>2426386</v>
      </c>
      <c r="E25" s="31">
        <f t="shared" si="4"/>
        <v>3223217</v>
      </c>
      <c r="F25" s="19">
        <f t="shared" si="4"/>
        <v>3291232.8024732028</v>
      </c>
      <c r="G25" s="19">
        <f t="shared" si="4"/>
        <v>3547061.0683630719</v>
      </c>
      <c r="H25" s="19">
        <f t="shared" si="4"/>
        <v>3882590.2224947806</v>
      </c>
      <c r="I25" s="19">
        <f t="shared" si="4"/>
        <v>4580951.4083890226</v>
      </c>
      <c r="J25" s="19">
        <f t="shared" si="4"/>
        <v>4999761.2653601682</v>
      </c>
      <c r="K25" s="19">
        <f t="shared" si="4"/>
        <v>4999761.2653601682</v>
      </c>
    </row>
    <row r="26" spans="1:12" s="4" customFormat="1">
      <c r="C26" s="11"/>
      <c r="D26" s="23"/>
      <c r="E26" s="24"/>
      <c r="F26" s="25"/>
      <c r="G26" s="25"/>
      <c r="H26" s="25"/>
      <c r="I26" s="25"/>
      <c r="J26" s="25"/>
      <c r="K26" s="25"/>
    </row>
    <row r="27" spans="1:12" s="4" customFormat="1" ht="15">
      <c r="A27" s="55" t="s">
        <v>14</v>
      </c>
      <c r="C27" s="11"/>
      <c r="D27" s="23"/>
      <c r="E27" s="24"/>
    </row>
    <row r="28" spans="1:12">
      <c r="A28" s="1" t="s">
        <v>15</v>
      </c>
      <c r="C28" s="11"/>
      <c r="D28" s="11">
        <v>55</v>
      </c>
      <c r="E28" s="12">
        <v>56</v>
      </c>
      <c r="F28" s="23">
        <f>E28</f>
        <v>56</v>
      </c>
      <c r="G28" s="23">
        <f t="shared" ref="G28:K28" si="5">F28</f>
        <v>56</v>
      </c>
      <c r="H28" s="23">
        <f t="shared" si="5"/>
        <v>56</v>
      </c>
      <c r="I28" s="23">
        <f t="shared" si="5"/>
        <v>56</v>
      </c>
      <c r="J28" s="23">
        <f t="shared" si="5"/>
        <v>56</v>
      </c>
      <c r="K28" s="23">
        <f t="shared" si="5"/>
        <v>56</v>
      </c>
    </row>
    <row r="29" spans="1:12">
      <c r="A29" s="1" t="s">
        <v>16</v>
      </c>
      <c r="C29" s="11"/>
      <c r="D29" s="11">
        <v>219119</v>
      </c>
      <c r="E29" s="12">
        <v>301616</v>
      </c>
      <c r="F29" s="23">
        <f>E29</f>
        <v>301616</v>
      </c>
      <c r="G29" s="23">
        <f t="shared" ref="G29:K29" si="6">F29</f>
        <v>301616</v>
      </c>
      <c r="H29" s="23">
        <f t="shared" si="6"/>
        <v>301616</v>
      </c>
      <c r="I29" s="23">
        <f t="shared" si="6"/>
        <v>301616</v>
      </c>
      <c r="J29" s="23">
        <f t="shared" si="6"/>
        <v>301616</v>
      </c>
      <c r="K29" s="23">
        <f t="shared" si="6"/>
        <v>301616</v>
      </c>
    </row>
    <row r="30" spans="1:12">
      <c r="A30" s="1" t="s">
        <v>18</v>
      </c>
      <c r="C30" s="11"/>
      <c r="D30" s="11">
        <v>706</v>
      </c>
      <c r="E30" s="12">
        <v>2919</v>
      </c>
      <c r="F30" s="25">
        <f>E30</f>
        <v>2919</v>
      </c>
      <c r="G30" s="25">
        <f>E30</f>
        <v>2919</v>
      </c>
      <c r="H30" s="25">
        <f>E30</f>
        <v>2919</v>
      </c>
      <c r="I30" s="25">
        <f>E30</f>
        <v>2919</v>
      </c>
      <c r="J30" s="25">
        <f>E30</f>
        <v>2919</v>
      </c>
      <c r="K30" s="25">
        <f>E30</f>
        <v>2919</v>
      </c>
    </row>
    <row r="31" spans="1:12" s="4" customFormat="1" ht="16.5">
      <c r="A31" s="4" t="s">
        <v>17</v>
      </c>
      <c r="C31" s="11"/>
      <c r="D31" s="21">
        <v>422930</v>
      </c>
      <c r="E31" s="22">
        <v>440082</v>
      </c>
      <c r="F31" s="21">
        <f>F32-SUM(F28,F29,F30)</f>
        <v>492913.31752679637</v>
      </c>
      <c r="G31" s="21">
        <f>G32-SUM(G28,G29,G30)</f>
        <v>487312.3836369277</v>
      </c>
      <c r="H31" s="21">
        <f>H32-SUM(H28,H29,H30)</f>
        <v>471341.61862521851</v>
      </c>
      <c r="I31" s="21">
        <f>I32-SUM(I28,I29,I30)</f>
        <v>517757.25837577693</v>
      </c>
      <c r="J31" s="21">
        <f>J32-SUM(J28,J29,J30)</f>
        <v>545325.74193992745</v>
      </c>
      <c r="K31" s="21">
        <f t="shared" ref="K31" si="7">J31</f>
        <v>545325.74193992745</v>
      </c>
    </row>
    <row r="32" spans="1:12" s="4" customFormat="1" ht="15">
      <c r="A32" s="55" t="s">
        <v>19</v>
      </c>
      <c r="C32" s="11"/>
      <c r="D32" s="19">
        <f>SUM(D28:D31)</f>
        <v>642810</v>
      </c>
      <c r="E32" s="31">
        <f>SUM(E28:E31)</f>
        <v>744673</v>
      </c>
      <c r="F32" s="19">
        <f>F33-F25</f>
        <v>797504.31752679637</v>
      </c>
      <c r="G32" s="19">
        <f t="shared" ref="G32:K32" si="8">G33-G25</f>
        <v>791903.3836369277</v>
      </c>
      <c r="H32" s="19">
        <f t="shared" si="8"/>
        <v>775932.61862521851</v>
      </c>
      <c r="I32" s="19">
        <f t="shared" si="8"/>
        <v>822348.25837577693</v>
      </c>
      <c r="J32" s="19">
        <f t="shared" si="8"/>
        <v>849916.74193992745</v>
      </c>
      <c r="K32" s="19">
        <f t="shared" si="8"/>
        <v>849916.74193992745</v>
      </c>
    </row>
    <row r="33" spans="1:11" s="4" customFormat="1" ht="15">
      <c r="A33" s="84" t="s">
        <v>20</v>
      </c>
      <c r="C33" s="11"/>
      <c r="D33" s="19">
        <f>SUM(D32,D25)</f>
        <v>3069196</v>
      </c>
      <c r="E33" s="31">
        <f>SUM(E32,E25)</f>
        <v>3967890</v>
      </c>
      <c r="F33" s="19">
        <f t="shared" ref="F33:K33" si="9">F13</f>
        <v>4088737.1199999992</v>
      </c>
      <c r="G33" s="19">
        <f t="shared" si="9"/>
        <v>4338964.4519999996</v>
      </c>
      <c r="H33" s="19">
        <f t="shared" si="9"/>
        <v>4658522.8411199991</v>
      </c>
      <c r="I33" s="19">
        <f t="shared" si="9"/>
        <v>5403299.6667647995</v>
      </c>
      <c r="J33" s="19">
        <f t="shared" si="9"/>
        <v>5849678.0073000956</v>
      </c>
      <c r="K33" s="19">
        <f t="shared" si="9"/>
        <v>5849678.0073000956</v>
      </c>
    </row>
    <row r="34" spans="1:11" s="4" customFormat="1" ht="15">
      <c r="A34" s="84"/>
      <c r="C34" s="33"/>
      <c r="D34" s="19"/>
      <c r="E34" s="31"/>
      <c r="F34" s="19"/>
      <c r="G34" s="19"/>
      <c r="H34" s="19"/>
      <c r="I34" s="19"/>
      <c r="J34" s="19"/>
      <c r="K34" s="19"/>
    </row>
    <row r="35" spans="1:11" s="4" customFormat="1">
      <c r="A35" s="40" t="s">
        <v>8</v>
      </c>
      <c r="C35" s="33"/>
      <c r="D35" s="23"/>
      <c r="E35" s="24"/>
      <c r="F35" s="23">
        <f t="shared" ref="F35:K35" si="10">F13</f>
        <v>4088737.1199999992</v>
      </c>
      <c r="G35" s="23">
        <f t="shared" si="10"/>
        <v>4338964.4519999996</v>
      </c>
      <c r="H35" s="23">
        <f t="shared" si="10"/>
        <v>4658522.8411199991</v>
      </c>
      <c r="I35" s="23">
        <f t="shared" si="10"/>
        <v>5403299.6667647995</v>
      </c>
      <c r="J35" s="23">
        <f t="shared" si="10"/>
        <v>5849678.0073000956</v>
      </c>
      <c r="K35" s="23">
        <f t="shared" si="10"/>
        <v>5849678.0073000956</v>
      </c>
    </row>
    <row r="36" spans="1:11">
      <c r="A36" s="34" t="s">
        <v>130</v>
      </c>
      <c r="D36" s="11"/>
      <c r="E36" s="12"/>
      <c r="F36" s="23">
        <f>SUM(F20,F21,F24)</f>
        <v>2862854.5384422545</v>
      </c>
      <c r="G36" s="23">
        <f t="shared" ref="G36:K36" si="11">SUM(G20,G21,G24)</f>
        <v>3121691.3376829331</v>
      </c>
      <c r="H36" s="23">
        <f t="shared" si="11"/>
        <v>3465799.16460751</v>
      </c>
      <c r="I36" s="23">
        <f t="shared" si="11"/>
        <v>4139228.2582945367</v>
      </c>
      <c r="J36" s="23">
        <f t="shared" si="11"/>
        <v>4543229.7451144084</v>
      </c>
      <c r="K36" s="23">
        <f t="shared" si="11"/>
        <v>4543229.7451144084</v>
      </c>
    </row>
    <row r="37" spans="1:11">
      <c r="A37" s="34" t="s">
        <v>21</v>
      </c>
      <c r="D37" s="11"/>
      <c r="E37" s="12"/>
      <c r="F37" s="23">
        <f>F35-F36</f>
        <v>1225882.5815577446</v>
      </c>
      <c r="G37" s="23">
        <f t="shared" ref="G37:J37" si="12">G35-G36</f>
        <v>1217273.1143170665</v>
      </c>
      <c r="H37" s="23">
        <f t="shared" si="12"/>
        <v>1192723.6765124891</v>
      </c>
      <c r="I37" s="23">
        <f t="shared" si="12"/>
        <v>1264071.4084702628</v>
      </c>
      <c r="J37" s="23">
        <f t="shared" si="12"/>
        <v>1306448.2621856872</v>
      </c>
      <c r="K37" s="23">
        <f>K35-K36</f>
        <v>1306448.2621856872</v>
      </c>
    </row>
    <row r="38" spans="1:11">
      <c r="A38" s="34" t="s">
        <v>22</v>
      </c>
      <c r="D38" s="11"/>
      <c r="E38" s="12"/>
      <c r="F38" s="23">
        <f>Assumption!C29*'Pro Forma Balance Sheet'!F37</f>
        <v>428378.26403094846</v>
      </c>
      <c r="G38" s="23">
        <f>Assumption!D29*'Pro Forma Balance Sheet'!G37</f>
        <v>425369.73068013892</v>
      </c>
      <c r="H38" s="23">
        <f>Assumption!E29*'Pro Forma Balance Sheet'!H37</f>
        <v>416791.05788727058</v>
      </c>
      <c r="I38" s="23">
        <f>Assumption!F29*'Pro Forma Balance Sheet'!I37</f>
        <v>441723.15009448561</v>
      </c>
      <c r="J38" s="23">
        <f>Assumption!G29*'Pro Forma Balance Sheet'!J37</f>
        <v>456531.5202457601</v>
      </c>
      <c r="K38" s="23">
        <f>Assumption!H29*'Pro Forma Balance Sheet'!K37</f>
        <v>456531.5202457601</v>
      </c>
    </row>
    <row r="40" spans="1:11" ht="15">
      <c r="A40" s="30" t="s">
        <v>23</v>
      </c>
      <c r="D40" s="17"/>
      <c r="E40" s="18"/>
      <c r="F40" s="19">
        <f>F31-(E31+'Pro Forma Income Statement'!F20)</f>
        <v>-144312.64161105407</v>
      </c>
      <c r="G40" s="19">
        <f>G31-(F31+'Pro Forma Income Statement'!G20)</f>
        <v>-432583.80970319221</v>
      </c>
      <c r="H40" s="19">
        <f>H31-(G31+'Pro Forma Income Statement'!H20)</f>
        <v>-801787.1566769355</v>
      </c>
      <c r="I40" s="19">
        <f>I31-(H31+'Pro Forma Income Statement'!I20)</f>
        <v>-971334.06448127842</v>
      </c>
      <c r="J40" s="19">
        <f>J31-(I31+'Pro Forma Income Statement'!J20)</f>
        <v>-1051563.9960898033</v>
      </c>
      <c r="K40" s="19">
        <f>K31-(J31+'Pro Forma Income Statement'!K20)</f>
        <v>-1018290.780348768</v>
      </c>
    </row>
    <row r="41" spans="1:11">
      <c r="G41" s="4"/>
      <c r="H41" s="4"/>
      <c r="I41" s="4"/>
      <c r="J41" s="4"/>
    </row>
  </sheetData>
  <mergeCells count="2">
    <mergeCell ref="C2:E2"/>
    <mergeCell ref="F2:K2"/>
  </mergeCells>
  <pageMargins left="1" right="1" top="1" bottom="1" header="0.5" footer="0.5"/>
  <pageSetup scale="7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33"/>
  <sheetViews>
    <sheetView workbookViewId="0">
      <selection activeCell="B27" sqref="B27"/>
    </sheetView>
  </sheetViews>
  <sheetFormatPr defaultColWidth="9.140625" defaultRowHeight="14.25"/>
  <cols>
    <col min="1" max="1" width="64.140625" style="1" customWidth="1"/>
    <col min="2" max="2" width="24.85546875" style="1" customWidth="1"/>
    <col min="3" max="3" width="19.140625" style="3" customWidth="1"/>
    <col min="4" max="4" width="14.5703125" style="1" bestFit="1" customWidth="1"/>
    <col min="5" max="9" width="15.28515625" style="1" bestFit="1" customWidth="1"/>
    <col min="10" max="16384" width="9.140625" style="1"/>
  </cols>
  <sheetData>
    <row r="1" spans="1:9" ht="15">
      <c r="C1" s="28" t="s">
        <v>2</v>
      </c>
      <c r="D1" s="150" t="s">
        <v>3</v>
      </c>
      <c r="E1" s="151"/>
      <c r="F1" s="151"/>
      <c r="G1" s="151"/>
      <c r="H1" s="151"/>
      <c r="I1" s="151"/>
    </row>
    <row r="2" spans="1:9" ht="20.25">
      <c r="A2" s="6" t="s">
        <v>24</v>
      </c>
      <c r="B2" s="1" t="s">
        <v>190</v>
      </c>
      <c r="C2" s="28">
        <v>2012</v>
      </c>
      <c r="D2" s="9">
        <v>2013</v>
      </c>
      <c r="E2" s="9">
        <v>2014</v>
      </c>
      <c r="F2" s="9">
        <v>2015</v>
      </c>
      <c r="G2" s="9">
        <v>2016</v>
      </c>
      <c r="H2" s="9">
        <v>2017</v>
      </c>
      <c r="I2" s="9">
        <v>2018</v>
      </c>
    </row>
    <row r="3" spans="1:9">
      <c r="A3" s="1" t="s">
        <v>40</v>
      </c>
      <c r="B3" s="1">
        <f>'Pro Forma Income Statement'!E20</f>
        <v>17152</v>
      </c>
      <c r="C3" s="52">
        <f>'Pro Forma Income Statement'!E20</f>
        <v>17152</v>
      </c>
      <c r="D3" s="92">
        <f>'Pro Forma Income Statement'!F20</f>
        <v>197143.95913785041</v>
      </c>
      <c r="E3" s="92">
        <f>'Pro Forma Income Statement'!G20</f>
        <v>426982.8758133236</v>
      </c>
      <c r="F3" s="92">
        <f>'Pro Forma Income Statement'!H20</f>
        <v>785816.39166522643</v>
      </c>
      <c r="G3" s="92">
        <f>'Pro Forma Income Statement'!I20</f>
        <v>1017749.7042318368</v>
      </c>
      <c r="H3" s="92">
        <f>'Pro Forma Income Statement'!J20</f>
        <v>1079132.4796539538</v>
      </c>
      <c r="I3" s="92">
        <f>'Pro Forma Income Statement'!K20</f>
        <v>1018290.780348768</v>
      </c>
    </row>
    <row r="4" spans="1:9">
      <c r="A4" s="1" t="s">
        <v>53</v>
      </c>
      <c r="C4" s="48"/>
    </row>
    <row r="5" spans="1:9">
      <c r="A5" s="34" t="s">
        <v>119</v>
      </c>
      <c r="B5" s="24">
        <v>1656614</v>
      </c>
      <c r="C5" s="24">
        <v>1656614</v>
      </c>
      <c r="D5" s="92">
        <f>'Pro Forma Income Statement'!F24</f>
        <v>1476491.7199999997</v>
      </c>
      <c r="E5" s="92">
        <f>'Pro Forma Income Statement'!G24</f>
        <v>1570037.6699999997</v>
      </c>
      <c r="F5" s="92">
        <f>'Pro Forma Income Statement'!H24</f>
        <v>1691850.9374999998</v>
      </c>
      <c r="G5" s="92">
        <f>'Pro Forma Income Statement'!I24</f>
        <v>1935477.4724999997</v>
      </c>
      <c r="H5" s="92">
        <f>'Pro Forma Income Statement'!J24</f>
        <v>2217001.4684999995</v>
      </c>
      <c r="I5" s="92">
        <f>'Pro Forma Income Statement'!K24</f>
        <v>2322572.9669999997</v>
      </c>
    </row>
    <row r="6" spans="1:9">
      <c r="A6" s="34" t="s">
        <v>114</v>
      </c>
      <c r="B6" s="24">
        <v>45469</v>
      </c>
      <c r="C6" s="24">
        <v>45469</v>
      </c>
      <c r="D6" s="29">
        <f>'Pro Forma Income Statement'!F29</f>
        <v>45666.970800000003</v>
      </c>
      <c r="E6" s="29">
        <f>'Pro Forma Income Statement'!G29</f>
        <v>47726.461640000001</v>
      </c>
      <c r="F6" s="29">
        <f>'Pro Forma Income Statement'!H29</f>
        <v>50357.237330400014</v>
      </c>
      <c r="G6" s="29">
        <f>'Pro Forma Income Statement'!I29</f>
        <v>52860.43204041601</v>
      </c>
      <c r="H6" s="29">
        <f>'Pro Forma Income Statement'!J29</f>
        <v>54435.880211032338</v>
      </c>
      <c r="I6" s="29">
        <f>'Pro Forma Income Statement'!K29</f>
        <v>54974.849322032656</v>
      </c>
    </row>
    <row r="7" spans="1:9">
      <c r="A7" s="34" t="s">
        <v>54</v>
      </c>
      <c r="B7" s="24">
        <v>-30071</v>
      </c>
      <c r="C7" s="24">
        <v>-30071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</row>
    <row r="8" spans="1:9">
      <c r="A8" s="34" t="s">
        <v>55</v>
      </c>
      <c r="C8" s="24"/>
    </row>
    <row r="9" spans="1:9">
      <c r="A9" s="36" t="s">
        <v>43</v>
      </c>
      <c r="B9" s="1">
        <f>-('Pro Forma Balance Sheet'!E7-'Pro Forma Balance Sheet'!D7)</f>
        <v>-3922</v>
      </c>
      <c r="C9" s="24">
        <f>-('Pro Forma Balance Sheet'!E7-'Pro Forma Balance Sheet'!D7)</f>
        <v>-3922</v>
      </c>
      <c r="D9" s="23">
        <f>-('Pro Forma Balance Sheet'!F7-'Pro Forma Balance Sheet'!E7)</f>
        <v>59929</v>
      </c>
      <c r="E9" s="23">
        <f>-('Pro Forma Balance Sheet'!G7-'Pro Forma Balance Sheet'!F7)</f>
        <v>0</v>
      </c>
      <c r="F9" s="23">
        <f>-('Pro Forma Balance Sheet'!H7-'Pro Forma Balance Sheet'!G7)</f>
        <v>0</v>
      </c>
      <c r="G9" s="23">
        <f>-('Pro Forma Balance Sheet'!I7-'Pro Forma Balance Sheet'!H7)</f>
        <v>0</v>
      </c>
      <c r="H9" s="23">
        <f>-('Pro Forma Balance Sheet'!J7-'Pro Forma Balance Sheet'!I7)</f>
        <v>0</v>
      </c>
      <c r="I9" s="23">
        <f>-('Pro Forma Balance Sheet'!K7-'Pro Forma Balance Sheet'!J7)</f>
        <v>0</v>
      </c>
    </row>
    <row r="10" spans="1:9">
      <c r="A10" s="36" t="s">
        <v>44</v>
      </c>
      <c r="B10" s="1">
        <f>-('Pro Forma Balance Sheet'!E8-'Pro Forma Balance Sheet'!D8)</f>
        <v>-7292</v>
      </c>
      <c r="C10" s="24">
        <f>-('Pro Forma Balance Sheet'!E8-'Pro Forma Balance Sheet'!D8)</f>
        <v>-7292</v>
      </c>
      <c r="D10" s="23">
        <f>-('Pro Forma Balance Sheet'!F8-'Pro Forma Balance Sheet'!E8)</f>
        <v>0</v>
      </c>
      <c r="E10" s="23">
        <f>-('Pro Forma Balance Sheet'!G8-'Pro Forma Balance Sheet'!F8)</f>
        <v>0</v>
      </c>
      <c r="F10" s="23">
        <f>-('Pro Forma Balance Sheet'!H8-'Pro Forma Balance Sheet'!G8)</f>
        <v>0</v>
      </c>
      <c r="G10" s="23">
        <f>-('Pro Forma Balance Sheet'!I8-'Pro Forma Balance Sheet'!H8)</f>
        <v>0</v>
      </c>
      <c r="H10" s="23">
        <f>-('Pro Forma Balance Sheet'!J8-'Pro Forma Balance Sheet'!I8)</f>
        <v>0</v>
      </c>
      <c r="I10" s="23">
        <f>-('Pro Forma Balance Sheet'!K8-'Pro Forma Balance Sheet'!J8)</f>
        <v>0</v>
      </c>
    </row>
    <row r="11" spans="1:9">
      <c r="A11" s="36" t="s">
        <v>115</v>
      </c>
      <c r="B11" s="29">
        <f>-('Pro Forma Balance Sheet'!E12-'Pro Forma Balance Sheet'!D12+B7)</f>
        <v>-4287</v>
      </c>
      <c r="C11" s="24">
        <v>-4287</v>
      </c>
      <c r="D11" s="92">
        <f>-('Pro Forma Balance Sheet'!F12-'Pro Forma Balance Sheet'!E12)</f>
        <v>-17881.999999999985</v>
      </c>
      <c r="E11" s="92">
        <f>-('Pro Forma Balance Sheet'!G12-'Pro Forma Balance Sheet'!F12)</f>
        <v>-26822.999999999985</v>
      </c>
      <c r="F11" s="92">
        <f>-('Pro Forma Balance Sheet'!H12-'Pro Forma Balance Sheet'!G12)</f>
        <v>-40234.500000000029</v>
      </c>
      <c r="G11" s="92">
        <f>-('Pro Forma Balance Sheet'!I12-'Pro Forma Balance Sheet'!H12)</f>
        <v>-34869.899999999994</v>
      </c>
      <c r="H11" s="92">
        <f>-('Pro Forma Balance Sheet'!J12-'Pro Forma Balance Sheet'!I12)</f>
        <v>-20921.940000000002</v>
      </c>
      <c r="I11" s="92">
        <f>-('Pro Forma Balance Sheet'!K12-'Pro Forma Balance Sheet'!J12)</f>
        <v>0</v>
      </c>
    </row>
    <row r="12" spans="1:9">
      <c r="A12" s="36" t="s">
        <v>116</v>
      </c>
      <c r="B12" s="1">
        <f>'Pro Forma Balance Sheet'!E16-'Pro Forma Balance Sheet'!D16+'Pro Forma Balance Sheet'!E21-'Pro Forma Balance Sheet'!D21</f>
        <v>768805</v>
      </c>
      <c r="C12" s="24">
        <f>'Pro Forma Balance Sheet'!E16+'Pro Forma Balance Sheet'!E21-'Pro Forma Balance Sheet'!D16-'Pro Forma Balance Sheet'!D21</f>
        <v>768805</v>
      </c>
      <c r="D12" s="23">
        <f>'Pro Forma Balance Sheet'!F16+'Pro Forma Balance Sheet'!F21-'Pro Forma Balance Sheet'!E16-'Pro Forma Balance Sheet'!E21</f>
        <v>-18031.496000000276</v>
      </c>
      <c r="E12" s="23">
        <f>'Pro Forma Balance Sheet'!G16+'Pro Forma Balance Sheet'!G21-'Pro Forma Balance Sheet'!F16-'Pro Forma Balance Sheet'!F21</f>
        <v>173245.53599999985</v>
      </c>
      <c r="F12" s="23">
        <f>'Pro Forma Balance Sheet'!H16+'Pro Forma Balance Sheet'!H21-'Pro Forma Balance Sheet'!G16-'Pro Forma Balance Sheet'!G21</f>
        <v>216556.92000000039</v>
      </c>
      <c r="G12" s="23">
        <f>'Pro Forma Balance Sheet'!I16+'Pro Forma Balance Sheet'!I21-'Pro Forma Balance Sheet'!H16-'Pro Forma Balance Sheet'!H21</f>
        <v>563047.99199999962</v>
      </c>
      <c r="H12" s="23">
        <f>'Pro Forma Balance Sheet'!J16+'Pro Forma Balance Sheet'!J21-'Pro Forma Balance Sheet'!I16-'Pro Forma Balance Sheet'!I21</f>
        <v>337828.79520000005</v>
      </c>
      <c r="I12" s="23">
        <f>'Pro Forma Balance Sheet'!K16+'Pro Forma Balance Sheet'!K21-'Pro Forma Balance Sheet'!J16-'Pro Forma Balance Sheet'!J21</f>
        <v>0</v>
      </c>
    </row>
    <row r="13" spans="1:9">
      <c r="A13" s="36" t="s">
        <v>10</v>
      </c>
      <c r="B13" s="1">
        <f>'Pro Forma Balance Sheet'!E17-'Pro Forma Balance Sheet'!D17</f>
        <v>-524</v>
      </c>
      <c r="C13" s="24">
        <f>'Pro Forma Balance Sheet'!E17-'Pro Forma Balance Sheet'!D17</f>
        <v>-524</v>
      </c>
      <c r="D13" s="92">
        <f>'Pro Forma Balance Sheet'!F17-'Pro Forma Balance Sheet'!E17</f>
        <v>14725.229329137524</v>
      </c>
      <c r="E13" s="92">
        <f>'Pro Forma Balance Sheet'!G17-'Pro Forma Balance Sheet'!F17</f>
        <v>21522.802446116591</v>
      </c>
      <c r="F13" s="92">
        <f>'Pro Forma Balance Sheet'!H17-'Pro Forma Balance Sheet'!G17</f>
        <v>31766.420141929004</v>
      </c>
      <c r="G13" s="92">
        <f>'Pro Forma Balance Sheet'!I17-'Pro Forma Balance Sheet'!H17</f>
        <v>27429.929668525525</v>
      </c>
      <c r="H13" s="92">
        <f>'Pro Forma Balance Sheet'!J17-'Pro Forma Balance Sheet'!I17</f>
        <v>16423.292193966161</v>
      </c>
      <c r="I13" s="92">
        <f>'Pro Forma Balance Sheet'!K17-'Pro Forma Balance Sheet'!J17</f>
        <v>0</v>
      </c>
    </row>
    <row r="14" spans="1:9">
      <c r="A14" s="36" t="s">
        <v>48</v>
      </c>
      <c r="B14" s="1">
        <f>'Pro Forma Balance Sheet'!E18-'Pro Forma Balance Sheet'!D18</f>
        <v>-1092</v>
      </c>
      <c r="C14" s="24">
        <f>'Pro Forma Balance Sheet'!E18-'Pro Forma Balance Sheet'!D18</f>
        <v>-1092</v>
      </c>
      <c r="D14" s="92">
        <f>'Pro Forma Balance Sheet'!F18-'Pro Forma Balance Sheet'!E18</f>
        <v>9049.4051131174419</v>
      </c>
      <c r="E14" s="92">
        <f>'Pro Forma Balance Sheet'!G18-'Pro Forma Balance Sheet'!F18</f>
        <v>13226.860794562024</v>
      </c>
      <c r="F14" s="92">
        <f>'Pro Forma Balance Sheet'!H18-'Pro Forma Balance Sheet'!G18</f>
        <v>19522.086782647515</v>
      </c>
      <c r="G14" s="92">
        <f>'Pro Forma Balance Sheet'!I18-'Pro Forma Balance Sheet'!H18</f>
        <v>16857.092018501382</v>
      </c>
      <c r="H14" s="92">
        <f>'Pro Forma Balance Sheet'!J18-'Pro Forma Balance Sheet'!I18</f>
        <v>10092.951425905179</v>
      </c>
      <c r="I14" s="92">
        <f>'Pro Forma Balance Sheet'!K18-'Pro Forma Balance Sheet'!J18</f>
        <v>0</v>
      </c>
    </row>
    <row r="15" spans="1:9">
      <c r="A15" s="36" t="s">
        <v>49</v>
      </c>
      <c r="B15" s="1">
        <f>'Pro Forma Balance Sheet'!E19-'Pro Forma Balance Sheet'!D19</f>
        <v>20676</v>
      </c>
      <c r="C15" s="24">
        <f>'Pro Forma Balance Sheet'!E19-'Pro Forma Balance Sheet'!D19</f>
        <v>20676</v>
      </c>
      <c r="D15" s="38">
        <f>'Pro Forma Balance Sheet'!F19-'Pro Forma Balance Sheet'!E19</f>
        <v>33894.399999999965</v>
      </c>
      <c r="E15" s="38">
        <f>'Pro Forma Balance Sheet'!G19-'Pro Forma Balance Sheet'!F19</f>
        <v>50841.599999999977</v>
      </c>
      <c r="F15" s="38">
        <f>'Pro Forma Balance Sheet'!H19-'Pro Forma Balance Sheet'!G19</f>
        <v>76262.400000000023</v>
      </c>
      <c r="G15" s="38">
        <f>'Pro Forma Balance Sheet'!I19-'Pro Forma Balance Sheet'!H19</f>
        <v>66094.079999999958</v>
      </c>
      <c r="H15" s="38">
        <f>'Pro Forma Balance Sheet'!J19-'Pro Forma Balance Sheet'!I19</f>
        <v>39656.447999999975</v>
      </c>
      <c r="I15" s="38">
        <f>'Pro Forma Balance Sheet'!K19-'Pro Forma Balance Sheet'!J19</f>
        <v>0</v>
      </c>
    </row>
    <row r="16" spans="1:9" ht="16.5">
      <c r="A16" s="36" t="s">
        <v>52</v>
      </c>
      <c r="B16" s="1">
        <f>'Pro Forma Balance Sheet'!E24-'Pro Forma Balance Sheet'!D24</f>
        <v>8966</v>
      </c>
      <c r="C16" s="22">
        <f>'Pro Forma Balance Sheet'!E24-'Pro Forma Balance Sheet'!D24</f>
        <v>8966</v>
      </c>
      <c r="D16" s="21">
        <f>'Pro Forma Balance Sheet'!F24-'Pro Forma Balance Sheet'!E24</f>
        <v>0</v>
      </c>
      <c r="E16" s="21">
        <f>'Pro Forma Balance Sheet'!G24-'Pro Forma Balance Sheet'!F24</f>
        <v>0</v>
      </c>
      <c r="F16" s="21">
        <f>'Pro Forma Balance Sheet'!H24-'Pro Forma Balance Sheet'!G24</f>
        <v>0</v>
      </c>
      <c r="G16" s="21">
        <f>'Pro Forma Balance Sheet'!I24-'Pro Forma Balance Sheet'!H24</f>
        <v>0</v>
      </c>
      <c r="H16" s="21">
        <f>'Pro Forma Balance Sheet'!J24-'Pro Forma Balance Sheet'!I24</f>
        <v>0</v>
      </c>
      <c r="I16" s="21">
        <f>'Pro Forma Balance Sheet'!K24-'Pro Forma Balance Sheet'!J24</f>
        <v>0</v>
      </c>
    </row>
    <row r="17" spans="1:9" ht="15">
      <c r="A17" s="37" t="s">
        <v>58</v>
      </c>
      <c r="B17" s="1">
        <f>SUM(B3:B16)</f>
        <v>2470494</v>
      </c>
      <c r="C17" s="18">
        <f t="shared" ref="C17:I17" si="0">SUM(C3:C16)</f>
        <v>2470494</v>
      </c>
      <c r="D17" s="100">
        <f t="shared" si="0"/>
        <v>1800987.188380105</v>
      </c>
      <c r="E17" s="100">
        <f t="shared" si="0"/>
        <v>2276760.8066940019</v>
      </c>
      <c r="F17" s="100">
        <f t="shared" si="0"/>
        <v>2831897.8934202027</v>
      </c>
      <c r="G17" s="100">
        <f t="shared" si="0"/>
        <v>3644646.8024592795</v>
      </c>
      <c r="H17" s="100">
        <f t="shared" si="0"/>
        <v>3733649.3751848568</v>
      </c>
      <c r="I17" s="100">
        <f t="shared" si="0"/>
        <v>3395838.5966708004</v>
      </c>
    </row>
    <row r="18" spans="1:9" ht="15">
      <c r="A18" s="16" t="s">
        <v>25</v>
      </c>
      <c r="C18" s="12"/>
    </row>
    <row r="19" spans="1:9">
      <c r="A19" s="1" t="s">
        <v>117</v>
      </c>
      <c r="B19" s="29">
        <f>-('Pro Forma Balance Sheet'!E10-'Pro Forma Balance Sheet'!D10+'Pro Forma Balance Sheet'!E6-'Pro Forma Balance Sheet'!D6+'Pro Forma Cash Flow'!B5)</f>
        <v>-2564141</v>
      </c>
      <c r="C19" s="12">
        <v>-2564141</v>
      </c>
      <c r="D19" s="92">
        <f>-('Pro Forma Balance Sheet'!F10+'Pro Forma Balance Sheet'!F6+'Pro Forma Income Statement'!F24-'Pro Forma Balance Sheet'!E6-'Pro Forma Balance Sheet'!E10)</f>
        <v>-1634118.5999999996</v>
      </c>
      <c r="E19" s="92">
        <f>-('Pro Forma Balance Sheet'!G10+'Pro Forma Balance Sheet'!G6+'Pro Forma Income Statement'!G24-'Pro Forma Balance Sheet'!F6-'Pro Forma Balance Sheet'!F10)</f>
        <v>-1786594.5899999994</v>
      </c>
      <c r="F19" s="92">
        <f>-('Pro Forma Balance Sheet'!H10+'Pro Forma Balance Sheet'!H6+'Pro Forma Income Statement'!H24-'Pro Forma Balance Sheet'!G6-'Pro Forma Balance Sheet'!G10)</f>
        <v>-1962547.0874999999</v>
      </c>
      <c r="G19" s="92">
        <f>-('Pro Forma Balance Sheet'!I10+'Pro Forma Balance Sheet'!I6+'Pro Forma Income Statement'!I24-'Pro Forma Balance Sheet'!H6-'Pro Forma Balance Sheet'!H10)</f>
        <v>-2639287.4624999999</v>
      </c>
      <c r="H19" s="92">
        <f>-('Pro Forma Balance Sheet'!J10+'Pro Forma Balance Sheet'!J6+'Pro Forma Income Statement'!J24-'Pro Forma Balance Sheet'!I6-'Pro Forma Balance Sheet'!I10)</f>
        <v>-2639287.4624999994</v>
      </c>
      <c r="I19" s="92">
        <f>-('Pro Forma Balance Sheet'!K10+'Pro Forma Balance Sheet'!K6+'Pro Forma Income Statement'!K24-'Pro Forma Balance Sheet'!J6-'Pro Forma Balance Sheet'!J10)</f>
        <v>-2322572.9669999992</v>
      </c>
    </row>
    <row r="20" spans="1:9">
      <c r="A20" s="1" t="s">
        <v>56</v>
      </c>
      <c r="B20" s="29">
        <f>-('Pro Forma Balance Sheet'!E11-'Pro Forma Balance Sheet'!D11+B6)</f>
        <v>-40797</v>
      </c>
      <c r="C20" s="12">
        <v>-40797</v>
      </c>
      <c r="D20" s="29">
        <f>-('Pro Forma Balance Sheet'!F11+'Pro Forma Income Statement'!F29-'Pro Forma Balance Sheet'!E11)</f>
        <v>-50934.210800000001</v>
      </c>
      <c r="E20" s="29">
        <f>-('Pro Forma Balance Sheet'!G11+'Pro Forma Income Statement'!G29-'Pro Forma Balance Sheet'!F11)</f>
        <v>-54573.873640000005</v>
      </c>
      <c r="F20" s="29">
        <f>-('Pro Forma Balance Sheet'!H11+'Pro Forma Income Statement'!H29-'Pro Forma Balance Sheet'!G11)</f>
        <v>-58984.97645040002</v>
      </c>
      <c r="G20" s="29">
        <f>-('Pro Forma Balance Sheet'!I11+'Pro Forma Income Statement'!I29-'Pro Forma Balance Sheet'!H11)</f>
        <v>-58957.367685216042</v>
      </c>
      <c r="H20" s="29">
        <f>-('Pro Forma Balance Sheet'!J11+'Pro Forma Income Statement'!J29-'Pro Forma Balance Sheet'!I11)</f>
        <v>-57606.286746328347</v>
      </c>
      <c r="I20" s="29">
        <f>-('Pro Forma Balance Sheet'!K11+'Pro Forma Income Statement'!K29-'Pro Forma Balance Sheet'!J11)</f>
        <v>-54974.849322032649</v>
      </c>
    </row>
    <row r="21" spans="1:9" ht="16.5">
      <c r="A21" s="1" t="s">
        <v>118</v>
      </c>
      <c r="B21" s="1">
        <f>-('Pro Forma Balance Sheet'!E5-'Pro Forma Balance Sheet'!D5)</f>
        <v>-168029</v>
      </c>
      <c r="C21" s="22">
        <f>-('Pro Forma Balance Sheet'!E5-'Pro Forma Balance Sheet'!D5)</f>
        <v>-168029</v>
      </c>
      <c r="D21" s="21">
        <f>-('Pro Forma Balance Sheet'!F5-'Pro Forma Balance Sheet'!E5)</f>
        <v>0</v>
      </c>
      <c r="E21" s="21">
        <f>-('Pro Forma Balance Sheet'!G5-'Pro Forma Balance Sheet'!F5)</f>
        <v>0</v>
      </c>
      <c r="F21" s="21">
        <f>-('Pro Forma Balance Sheet'!H5-'Pro Forma Balance Sheet'!G5)</f>
        <v>0</v>
      </c>
      <c r="G21" s="21">
        <f>-('Pro Forma Balance Sheet'!I5-'Pro Forma Balance Sheet'!H5)</f>
        <v>0</v>
      </c>
      <c r="H21" s="21">
        <f>-('Pro Forma Balance Sheet'!J5-'Pro Forma Balance Sheet'!I5)</f>
        <v>0</v>
      </c>
      <c r="I21" s="21">
        <f>-('Pro Forma Balance Sheet'!K5-'Pro Forma Balance Sheet'!J5)</f>
        <v>0</v>
      </c>
    </row>
    <row r="22" spans="1:9" ht="15">
      <c r="A22" s="39" t="s">
        <v>57</v>
      </c>
      <c r="B22" s="29">
        <f>SUM(B19:B21)</f>
        <v>-2772967</v>
      </c>
      <c r="C22" s="18">
        <f t="shared" ref="C22:I22" si="1">SUM(C19:C21)</f>
        <v>-2772967</v>
      </c>
      <c r="D22" s="17">
        <f t="shared" si="1"/>
        <v>-1685052.8107999996</v>
      </c>
      <c r="E22" s="17">
        <f t="shared" si="1"/>
        <v>-1841168.4636399993</v>
      </c>
      <c r="F22" s="17">
        <f t="shared" si="1"/>
        <v>-2021532.0639503999</v>
      </c>
      <c r="G22" s="17">
        <f t="shared" si="1"/>
        <v>-2698244.8301852159</v>
      </c>
      <c r="H22" s="17">
        <f t="shared" si="1"/>
        <v>-2696893.7492463277</v>
      </c>
      <c r="I22" s="17">
        <f t="shared" si="1"/>
        <v>-2377547.8163220319</v>
      </c>
    </row>
    <row r="23" spans="1:9" ht="15">
      <c r="A23" s="16" t="s">
        <v>26</v>
      </c>
      <c r="C23" s="12"/>
    </row>
    <row r="24" spans="1:9">
      <c r="A24" s="1" t="s">
        <v>131</v>
      </c>
      <c r="C24" s="12">
        <f>'Pro Forma Balance Sheet'!E23+'Pro Forma Balance Sheet'!E22-'Pro Forma Balance Sheet'!D23-'Pro Forma Balance Sheet'!D22</f>
        <v>0</v>
      </c>
      <c r="D24" s="11">
        <f>'Pro Forma Balance Sheet'!F23+'Pro Forma Balance Sheet'!F22-'Pro Forma Balance Sheet'!E23-'Pro Forma Balance Sheet'!E22</f>
        <v>28378.264030948456</v>
      </c>
      <c r="E24" s="11">
        <f>'Pro Forma Balance Sheet'!G23+'Pro Forma Balance Sheet'!G22-'Pro Forma Balance Sheet'!F23-'Pro Forma Balance Sheet'!F22</f>
        <v>-3008.5333508095355</v>
      </c>
      <c r="F24" s="11">
        <f>'Pro Forma Balance Sheet'!H23+'Pro Forma Balance Sheet'!H22-'Pro Forma Balance Sheet'!G23-'Pro Forma Balance Sheet'!G22</f>
        <v>-8578.6727928683395</v>
      </c>
      <c r="G24" s="11">
        <f>'Pro Forma Balance Sheet'!I23+'Pro Forma Balance Sheet'!I22-'Pro Forma Balance Sheet'!H23-'Pro Forma Balance Sheet'!H22</f>
        <v>24932.092207215028</v>
      </c>
      <c r="H24" s="11">
        <f>'Pro Forma Balance Sheet'!J23+'Pro Forma Balance Sheet'!J22-'Pro Forma Balance Sheet'!I23-'Pro Forma Balance Sheet'!I22</f>
        <v>14808.370151274488</v>
      </c>
      <c r="I24" s="11">
        <f>'Pro Forma Balance Sheet'!K23+'Pro Forma Balance Sheet'!K22-'Pro Forma Balance Sheet'!J23-'Pro Forma Balance Sheet'!J22</f>
        <v>0</v>
      </c>
    </row>
    <row r="25" spans="1:9" ht="16.5">
      <c r="A25" s="1" t="s">
        <v>132</v>
      </c>
      <c r="B25" s="29">
        <f>-B17-B22+B27</f>
        <v>84711</v>
      </c>
      <c r="C25" s="15">
        <v>84711</v>
      </c>
      <c r="D25" s="21">
        <f>'Pro Forma Balance Sheet'!F40</f>
        <v>-144312.64161105407</v>
      </c>
      <c r="E25" s="21">
        <f>'Pro Forma Balance Sheet'!G40</f>
        <v>-432583.80970319221</v>
      </c>
      <c r="F25" s="21">
        <f>'Pro Forma Balance Sheet'!H40</f>
        <v>-801787.1566769355</v>
      </c>
      <c r="G25" s="21">
        <f>'Pro Forma Balance Sheet'!I40</f>
        <v>-971334.06448127842</v>
      </c>
      <c r="H25" s="21">
        <f>'Pro Forma Balance Sheet'!J40</f>
        <v>-1051563.9960898033</v>
      </c>
      <c r="I25" s="21">
        <f>'Pro Forma Balance Sheet'!K40</f>
        <v>-1018290.780348768</v>
      </c>
    </row>
    <row r="26" spans="1:9" ht="15">
      <c r="A26" s="39" t="s">
        <v>59</v>
      </c>
      <c r="C26" s="18">
        <f>SUM(C24:C25)</f>
        <v>84711</v>
      </c>
      <c r="D26" s="100">
        <f>SUM(D24:D25)</f>
        <v>-115934.37758010562</v>
      </c>
      <c r="E26" s="100">
        <f>SUM(E24:E25)</f>
        <v>-435592.34305400174</v>
      </c>
      <c r="F26" s="100">
        <f t="shared" ref="F26:I26" si="2">SUM(F24:F25)</f>
        <v>-810365.82946980384</v>
      </c>
      <c r="G26" s="100">
        <f t="shared" si="2"/>
        <v>-946401.97227406339</v>
      </c>
      <c r="H26" s="100">
        <f t="shared" si="2"/>
        <v>-1036755.6259385288</v>
      </c>
      <c r="I26" s="100">
        <f t="shared" si="2"/>
        <v>-1018290.780348768</v>
      </c>
    </row>
    <row r="27" spans="1:9" ht="15">
      <c r="A27" s="16" t="s">
        <v>27</v>
      </c>
      <c r="B27" s="1">
        <f>'Pro Forma Balance Sheet'!E4-'Pro Forma Balance Sheet'!D4</f>
        <v>-217762</v>
      </c>
      <c r="C27" s="18">
        <f t="shared" ref="C27:I27" si="3">SUM(C26,C22,C17)</f>
        <v>-217762</v>
      </c>
      <c r="D27" s="17">
        <f t="shared" si="3"/>
        <v>0</v>
      </c>
      <c r="E27" s="17">
        <f t="shared" si="3"/>
        <v>0</v>
      </c>
      <c r="F27" s="17">
        <f t="shared" si="3"/>
        <v>0</v>
      </c>
      <c r="G27" s="17">
        <f t="shared" si="3"/>
        <v>0</v>
      </c>
      <c r="H27" s="17">
        <f t="shared" si="3"/>
        <v>0</v>
      </c>
      <c r="I27" s="17">
        <f t="shared" si="3"/>
        <v>0</v>
      </c>
    </row>
    <row r="28" spans="1:9" ht="16.5">
      <c r="C28" s="15"/>
    </row>
    <row r="29" spans="1:9" ht="15">
      <c r="A29" s="16"/>
      <c r="C29" s="18"/>
    </row>
    <row r="32" spans="1:9">
      <c r="B32" s="1" t="s">
        <v>191</v>
      </c>
    </row>
    <row r="33" spans="2:2">
      <c r="B33" s="1" t="s">
        <v>192</v>
      </c>
    </row>
  </sheetData>
  <mergeCells count="1">
    <mergeCell ref="D1:I1"/>
  </mergeCells>
  <pageMargins left="0.7" right="0.7" top="0.75" bottom="0.75" header="0.3" footer="0.3"/>
  <pageSetup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32"/>
  <sheetViews>
    <sheetView workbookViewId="0">
      <selection activeCell="K17" sqref="K17"/>
    </sheetView>
  </sheetViews>
  <sheetFormatPr defaultColWidth="9.140625" defaultRowHeight="14.25"/>
  <cols>
    <col min="1" max="1" width="51.28515625" style="1" bestFit="1" customWidth="1"/>
    <col min="2" max="2" width="9.28515625" style="1" bestFit="1" customWidth="1"/>
    <col min="3" max="4" width="12.42578125" style="1" bestFit="1" customWidth="1"/>
    <col min="5" max="5" width="13.42578125" style="3" bestFit="1" customWidth="1"/>
    <col min="6" max="11" width="14.5703125" style="1" bestFit="1" customWidth="1"/>
    <col min="12" max="16384" width="9.140625" style="1"/>
  </cols>
  <sheetData>
    <row r="1" spans="1:11" ht="23.25">
      <c r="A1" s="5" t="s">
        <v>0</v>
      </c>
      <c r="C1" s="2"/>
      <c r="D1" s="2"/>
      <c r="F1" s="4"/>
      <c r="K1" s="4"/>
    </row>
    <row r="2" spans="1:11" ht="4.5" customHeight="1">
      <c r="C2" s="2"/>
      <c r="D2" s="2"/>
      <c r="F2" s="4"/>
      <c r="K2" s="4"/>
    </row>
    <row r="3" spans="1:11" ht="20.25">
      <c r="A3" s="6" t="s">
        <v>1</v>
      </c>
      <c r="C3" s="2"/>
      <c r="D3" s="2"/>
      <c r="F3" s="4"/>
      <c r="K3" s="4"/>
    </row>
    <row r="4" spans="1:11" s="4" customFormat="1" ht="15">
      <c r="C4" s="151" t="s">
        <v>2</v>
      </c>
      <c r="D4" s="151"/>
      <c r="E4" s="152"/>
      <c r="F4" s="150" t="s">
        <v>3</v>
      </c>
      <c r="G4" s="151"/>
      <c r="H4" s="151"/>
      <c r="I4" s="151"/>
      <c r="J4" s="151"/>
      <c r="K4" s="151"/>
    </row>
    <row r="5" spans="1:11" s="4" customFormat="1" ht="15">
      <c r="A5" s="4" t="s">
        <v>28</v>
      </c>
      <c r="C5" s="53">
        <v>2010</v>
      </c>
      <c r="D5" s="53">
        <v>2011</v>
      </c>
      <c r="E5" s="54">
        <v>2012</v>
      </c>
      <c r="F5" s="9">
        <v>2013</v>
      </c>
      <c r="G5" s="9">
        <v>2014</v>
      </c>
      <c r="H5" s="9">
        <v>2015</v>
      </c>
      <c r="I5" s="9">
        <v>2016</v>
      </c>
      <c r="J5" s="9">
        <v>2017</v>
      </c>
      <c r="K5" s="9">
        <v>2018</v>
      </c>
    </row>
    <row r="6" spans="1:11" s="4" customFormat="1">
      <c r="A6" s="4" t="s">
        <v>29</v>
      </c>
      <c r="C6" s="23">
        <v>2162625</v>
      </c>
      <c r="D6" s="23">
        <v>3204577</v>
      </c>
      <c r="E6" s="24">
        <v>3609282</v>
      </c>
      <c r="F6" s="23">
        <f>E6*Assumption!C5</f>
        <v>4331138.3999999994</v>
      </c>
      <c r="G6" s="23">
        <f>F6*Assumption!D5</f>
        <v>5413922.9999999991</v>
      </c>
      <c r="H6" s="23">
        <f>G6*Assumption!E5</f>
        <v>7038099.8999999994</v>
      </c>
      <c r="I6" s="23">
        <f>H6*Assumption!F5</f>
        <v>8445719.879999999</v>
      </c>
      <c r="J6" s="23">
        <f>I6*Assumption!G5</f>
        <v>9290291.8679999989</v>
      </c>
      <c r="K6" s="23">
        <f>J6*Assumption!H5</f>
        <v>9290291.8679999989</v>
      </c>
    </row>
    <row r="7" spans="1:11" s="4" customFormat="1" ht="15">
      <c r="A7" s="55"/>
      <c r="C7" s="33"/>
      <c r="D7" s="19"/>
      <c r="E7" s="31"/>
      <c r="F7" s="19"/>
      <c r="G7" s="19"/>
      <c r="H7" s="19"/>
      <c r="I7" s="19"/>
      <c r="J7" s="19"/>
      <c r="K7" s="19"/>
    </row>
    <row r="8" spans="1:11" s="4" customFormat="1">
      <c r="A8" s="4" t="s">
        <v>30</v>
      </c>
      <c r="C8" s="85">
        <v>-1357355</v>
      </c>
      <c r="D8" s="23">
        <v>-2039901</v>
      </c>
      <c r="E8" s="24">
        <v>-2625866</v>
      </c>
      <c r="F8" s="13">
        <f>-F26</f>
        <v>-2903028.9199999995</v>
      </c>
      <c r="G8" s="13">
        <f t="shared" ref="G8:K8" si="0">-G26</f>
        <v>-3353209.1699999995</v>
      </c>
      <c r="H8" s="13">
        <f t="shared" si="0"/>
        <v>-4009973.8874999993</v>
      </c>
      <c r="I8" s="13">
        <f t="shared" si="0"/>
        <v>-4717225.0124999993</v>
      </c>
      <c r="J8" s="13">
        <f t="shared" si="0"/>
        <v>-5276923.7624999993</v>
      </c>
      <c r="K8" s="13">
        <f t="shared" si="0"/>
        <v>-5382495.2609999999</v>
      </c>
    </row>
    <row r="9" spans="1:11">
      <c r="A9" s="34" t="s">
        <v>31</v>
      </c>
      <c r="C9" s="20">
        <v>-293839</v>
      </c>
      <c r="D9" s="11">
        <v>-402638</v>
      </c>
      <c r="E9" s="12">
        <v>-484729</v>
      </c>
      <c r="F9" s="13">
        <f>-Assumption!C11*'Pro Forma Income Statement'!F6</f>
        <v>-581674.79999999993</v>
      </c>
      <c r="G9" s="13">
        <f>-Assumption!D11*'Pro Forma Income Statement'!G6</f>
        <v>-727093.49999999988</v>
      </c>
      <c r="H9" s="13">
        <f>-Assumption!E11*'Pro Forma Income Statement'!H6</f>
        <v>-945221.54999999993</v>
      </c>
      <c r="I9" s="13">
        <f>-Assumption!F11*'Pro Forma Income Statement'!I6</f>
        <v>-1134265.8599999999</v>
      </c>
      <c r="J9" s="13">
        <f>-Assumption!G11*'Pro Forma Income Statement'!J6</f>
        <v>-1247692.4459999998</v>
      </c>
      <c r="K9" s="13">
        <f>-Assumption!H11*'Pro Forma Income Statement'!K6</f>
        <v>-1247692.4459999998</v>
      </c>
    </row>
    <row r="10" spans="1:11">
      <c r="A10" s="34" t="s">
        <v>32</v>
      </c>
      <c r="C10" s="20">
        <v>-163329</v>
      </c>
      <c r="D10" s="11">
        <v>-259033</v>
      </c>
      <c r="E10" s="12">
        <v>-329008</v>
      </c>
      <c r="F10" s="13">
        <f>-F31</f>
        <v>-348846.65879999998</v>
      </c>
      <c r="G10" s="13">
        <f t="shared" ref="G10:K10" si="1">-G31</f>
        <v>-426701.07163999998</v>
      </c>
      <c r="H10" s="13">
        <f t="shared" si="1"/>
        <v>-543024.23033040005</v>
      </c>
      <c r="I10" s="13">
        <f t="shared" si="1"/>
        <v>-644060.82364041603</v>
      </c>
      <c r="J10" s="13">
        <f t="shared" si="1"/>
        <v>-704756.31097103236</v>
      </c>
      <c r="K10" s="13">
        <f t="shared" si="1"/>
        <v>-705295.28008203267</v>
      </c>
    </row>
    <row r="11" spans="1:11" s="4" customFormat="1" ht="16.5">
      <c r="A11" s="40" t="s">
        <v>33</v>
      </c>
      <c r="C11" s="21">
        <v>-64461</v>
      </c>
      <c r="D11" s="21">
        <v>-126937</v>
      </c>
      <c r="E11" s="22">
        <v>-119687</v>
      </c>
      <c r="F11" s="21">
        <f>E11*Assumption!C10</f>
        <v>-125671.35</v>
      </c>
      <c r="G11" s="21">
        <f>F11*Assumption!D10</f>
        <v>-130698.20400000001</v>
      </c>
      <c r="H11" s="21">
        <f>G11*Assumption!E10</f>
        <v>-134619.15012000001</v>
      </c>
      <c r="I11" s="21">
        <f>H11*Assumption!F10</f>
        <v>-137311.5331224</v>
      </c>
      <c r="J11" s="21">
        <f>I11*Assumption!G10</f>
        <v>-138684.64845362399</v>
      </c>
      <c r="K11" s="21">
        <f>J11*Assumption!H10</f>
        <v>-138684.64845362399</v>
      </c>
    </row>
    <row r="12" spans="1:11" ht="15">
      <c r="A12" s="16" t="s">
        <v>34</v>
      </c>
      <c r="C12" s="17">
        <f t="shared" ref="C12:K12" si="2">C6+SUM(C8:C11)</f>
        <v>283641</v>
      </c>
      <c r="D12" s="17">
        <f t="shared" si="2"/>
        <v>376068</v>
      </c>
      <c r="E12" s="18">
        <f t="shared" si="2"/>
        <v>49992</v>
      </c>
      <c r="F12" s="17">
        <f t="shared" si="2"/>
        <v>371916.67120000022</v>
      </c>
      <c r="G12" s="17">
        <f t="shared" si="2"/>
        <v>776221.05435999949</v>
      </c>
      <c r="H12" s="17">
        <f t="shared" si="2"/>
        <v>1405261.0820495998</v>
      </c>
      <c r="I12" s="17">
        <f t="shared" si="2"/>
        <v>1812856.6507371841</v>
      </c>
      <c r="J12" s="17">
        <f t="shared" si="2"/>
        <v>1922234.7000753442</v>
      </c>
      <c r="K12" s="17">
        <f t="shared" si="2"/>
        <v>1816124.2324643424</v>
      </c>
    </row>
    <row r="13" spans="1:11" s="4" customFormat="1">
      <c r="C13" s="33"/>
      <c r="D13" s="23"/>
      <c r="E13" s="24"/>
      <c r="F13" s="13"/>
      <c r="G13" s="23"/>
      <c r="H13" s="23"/>
      <c r="I13" s="23"/>
      <c r="J13" s="23"/>
      <c r="K13" s="23"/>
    </row>
    <row r="14" spans="1:11" s="4" customFormat="1">
      <c r="A14" s="4" t="s">
        <v>35</v>
      </c>
      <c r="C14" s="33"/>
      <c r="D14" s="23"/>
      <c r="E14" s="24"/>
      <c r="F14" s="13"/>
      <c r="G14" s="23"/>
      <c r="H14" s="23"/>
      <c r="I14" s="23"/>
      <c r="J14" s="23"/>
      <c r="K14" s="23"/>
    </row>
    <row r="15" spans="1:11" s="4" customFormat="1">
      <c r="A15" s="4" t="s">
        <v>36</v>
      </c>
      <c r="C15" s="23">
        <v>-19629</v>
      </c>
      <c r="D15" s="23">
        <v>-20025</v>
      </c>
      <c r="E15" s="24">
        <v>-19986</v>
      </c>
      <c r="F15" s="23">
        <f>-Assumption!C16*('Pro Forma Balance Sheet'!F22+'Pro Forma Balance Sheet'!F23+'Pro Forma Balance Sheet'!E22+'Pro Forma Balance Sheet'!E23)/2</f>
        <v>-35206.076221315314</v>
      </c>
      <c r="G15" s="23">
        <f>-Assumption!D16*('Pro Forma Balance Sheet'!G22+'Pro Forma Balance Sheet'!G23+'Pro Forma Balance Sheet'!F22+'Pro Forma Balance Sheet'!F23)/2</f>
        <v>-36284.289775221216</v>
      </c>
      <c r="H15" s="23">
        <f>-Assumption!E16*('Pro Forma Balance Sheet'!H22+'Pro Forma Balance Sheet'!H23+'Pro Forma Balance Sheet'!G22+'Pro Forma Balance Sheet'!G23)/2</f>
        <v>-35791.833514114907</v>
      </c>
      <c r="I15" s="23">
        <f>-Assumption!F16*('Pro Forma Balance Sheet'!I22+'Pro Forma Balance Sheet'!I23+'Pro Forma Balance Sheet'!H22+'Pro Forma Balance Sheet'!H23)/2</f>
        <v>-36486.853839224641</v>
      </c>
      <c r="J15" s="23">
        <f>-Assumption!G16*('Pro Forma Balance Sheet'!J22+'Pro Forma Balance Sheet'!J23+'Pro Forma Balance Sheet'!I22+'Pro Forma Balance Sheet'!I23)/2</f>
        <v>-38175.823489460447</v>
      </c>
      <c r="K15" s="23">
        <f>-Assumption!H16*('Pro Forma Balance Sheet'!K22+'Pro Forma Balance Sheet'!K23+'Pro Forma Balance Sheet'!J22+'Pro Forma Balance Sheet'!J23)/2</f>
        <v>-38805.179220889608</v>
      </c>
    </row>
    <row r="16" spans="1:11">
      <c r="A16" s="1" t="s">
        <v>37</v>
      </c>
      <c r="C16" s="11">
        <v>3684</v>
      </c>
      <c r="D16" s="11">
        <v>3479</v>
      </c>
      <c r="E16" s="12">
        <v>474</v>
      </c>
      <c r="F16" s="97">
        <v>9156</v>
      </c>
      <c r="G16" s="97">
        <v>9156</v>
      </c>
      <c r="H16" s="97">
        <v>9156</v>
      </c>
      <c r="I16" s="97">
        <v>9156</v>
      </c>
      <c r="J16" s="97">
        <v>9156</v>
      </c>
      <c r="K16" s="97">
        <v>9156</v>
      </c>
    </row>
    <row r="17" spans="1:11" ht="15">
      <c r="A17" s="16" t="s">
        <v>38</v>
      </c>
      <c r="C17" s="17">
        <f t="shared" ref="C17:K17" si="3">C12+SUM(C15:C16)</f>
        <v>267696</v>
      </c>
      <c r="D17" s="17">
        <f t="shared" si="3"/>
        <v>359522</v>
      </c>
      <c r="E17" s="18">
        <f t="shared" si="3"/>
        <v>30480</v>
      </c>
      <c r="F17" s="17">
        <f t="shared" si="3"/>
        <v>345866.59497868491</v>
      </c>
      <c r="G17" s="17">
        <f t="shared" si="3"/>
        <v>749092.76458477823</v>
      </c>
      <c r="H17" s="17">
        <f t="shared" si="3"/>
        <v>1378625.248535485</v>
      </c>
      <c r="I17" s="17">
        <f t="shared" si="3"/>
        <v>1785525.7968979594</v>
      </c>
      <c r="J17" s="17">
        <f t="shared" si="3"/>
        <v>1893214.8765858838</v>
      </c>
      <c r="K17" s="17">
        <f t="shared" si="3"/>
        <v>1786475.0532434527</v>
      </c>
    </row>
    <row r="18" spans="1:11" s="4" customFormat="1" ht="15">
      <c r="A18" s="55"/>
      <c r="C18" s="19"/>
      <c r="D18" s="19"/>
      <c r="E18" s="31"/>
      <c r="F18" s="19"/>
      <c r="G18" s="19"/>
      <c r="H18" s="19"/>
      <c r="I18" s="19"/>
      <c r="J18" s="19"/>
      <c r="K18" s="19"/>
    </row>
    <row r="19" spans="1:11" ht="16.5">
      <c r="A19" s="41" t="s">
        <v>39</v>
      </c>
      <c r="C19" s="14">
        <v>106843</v>
      </c>
      <c r="D19" s="14">
        <v>133396</v>
      </c>
      <c r="E19" s="15">
        <v>13328</v>
      </c>
      <c r="F19" s="87">
        <f>Assumption!C17*'Pro Forma Income Statement'!F17</f>
        <v>148722.6358408345</v>
      </c>
      <c r="G19" s="87">
        <f>Assumption!D17*'Pro Forma Income Statement'!G17</f>
        <v>322109.88877145463</v>
      </c>
      <c r="H19" s="87">
        <f>Assumption!E17*'Pro Forma Income Statement'!H17</f>
        <v>592808.85687025858</v>
      </c>
      <c r="I19" s="87">
        <f>Assumption!F17*'Pro Forma Income Statement'!I17</f>
        <v>767776.0926661226</v>
      </c>
      <c r="J19" s="87">
        <f>Assumption!G17*'Pro Forma Income Statement'!J17</f>
        <v>814082.39693192998</v>
      </c>
      <c r="K19" s="87">
        <f>Assumption!H17*'Pro Forma Income Statement'!K17</f>
        <v>768184.27289468469</v>
      </c>
    </row>
    <row r="20" spans="1:11" s="4" customFormat="1" ht="15">
      <c r="A20" s="55" t="s">
        <v>40</v>
      </c>
      <c r="C20" s="19">
        <f>C17-C19</f>
        <v>160853</v>
      </c>
      <c r="D20" s="19">
        <f>D17-D19</f>
        <v>226126</v>
      </c>
      <c r="E20" s="31">
        <f>E17-E19</f>
        <v>17152</v>
      </c>
      <c r="F20" s="19">
        <f t="shared" ref="F20:K20" si="4">F17-F19</f>
        <v>197143.95913785041</v>
      </c>
      <c r="G20" s="19">
        <f t="shared" si="4"/>
        <v>426982.8758133236</v>
      </c>
      <c r="H20" s="19">
        <f t="shared" si="4"/>
        <v>785816.39166522643</v>
      </c>
      <c r="I20" s="19">
        <f t="shared" si="4"/>
        <v>1017749.7042318368</v>
      </c>
      <c r="J20" s="19">
        <f t="shared" si="4"/>
        <v>1079132.4796539538</v>
      </c>
      <c r="K20" s="19">
        <f t="shared" si="4"/>
        <v>1018290.780348768</v>
      </c>
    </row>
    <row r="21" spans="1:11">
      <c r="G21" s="2"/>
      <c r="H21" s="2"/>
      <c r="I21" s="2"/>
      <c r="J21" s="2"/>
      <c r="K21" s="2"/>
    </row>
    <row r="22" spans="1:11">
      <c r="A22" s="95" t="s">
        <v>106</v>
      </c>
    </row>
    <row r="23" spans="1:11">
      <c r="A23" s="23" t="s">
        <v>95</v>
      </c>
      <c r="B23" s="23"/>
      <c r="C23" s="23"/>
      <c r="D23" s="23"/>
      <c r="E23" s="24"/>
    </row>
    <row r="24" spans="1:11">
      <c r="A24" s="90" t="s">
        <v>119</v>
      </c>
      <c r="B24" s="91">
        <v>0.5</v>
      </c>
      <c r="C24" s="23"/>
      <c r="D24" s="23"/>
      <c r="E24" s="24">
        <f>B24*('Pro Forma Balance Sheet'!E6+'Pro Forma Balance Sheet'!E10)</f>
        <v>1437085</v>
      </c>
      <c r="F24" s="93">
        <f>Assumption!C7*('Pro Forma Balance Sheet'!F10+'Pro Forma Balance Sheet'!F6+'Pro Forma Balance Sheet'!E6+'Pro Forma Balance Sheet'!E10)/2</f>
        <v>1476491.7199999997</v>
      </c>
      <c r="G24" s="93">
        <f>Assumption!D7*('Pro Forma Balance Sheet'!G10+'Pro Forma Balance Sheet'!G6+'Pro Forma Balance Sheet'!F6+'Pro Forma Balance Sheet'!F10)/2</f>
        <v>1570037.6699999997</v>
      </c>
      <c r="H24" s="93">
        <f>Assumption!E7*('Pro Forma Balance Sheet'!H10+'Pro Forma Balance Sheet'!H6+'Pro Forma Balance Sheet'!G6+'Pro Forma Balance Sheet'!G10)/2</f>
        <v>1691850.9374999998</v>
      </c>
      <c r="I24" s="93">
        <f>Assumption!F7*('Pro Forma Balance Sheet'!I10+'Pro Forma Balance Sheet'!I6+'Pro Forma Balance Sheet'!H6+'Pro Forma Balance Sheet'!H10)/2</f>
        <v>1935477.4724999997</v>
      </c>
      <c r="J24" s="94">
        <f>Assumption!G7*('Pro Forma Balance Sheet'!J10+'Pro Forma Balance Sheet'!J6+'Pro Forma Balance Sheet'!I6+'Pro Forma Balance Sheet'!I10)/2</f>
        <v>2217001.4684999995</v>
      </c>
      <c r="K24" s="94">
        <f>Assumption!H7*('Pro Forma Balance Sheet'!K10+'Pro Forma Balance Sheet'!K6+'Pro Forma Balance Sheet'!J6+'Pro Forma Balance Sheet'!J10)/2</f>
        <v>2322572.9669999997</v>
      </c>
    </row>
    <row r="25" spans="1:11">
      <c r="A25" s="90" t="s">
        <v>123</v>
      </c>
      <c r="B25" s="23"/>
      <c r="C25" s="23"/>
      <c r="D25" s="23"/>
      <c r="E25" s="24">
        <f>-E8-E24</f>
        <v>1188781</v>
      </c>
      <c r="F25" s="92">
        <f>Assumption!C8*'Pro Forma Income Statement'!F6</f>
        <v>1426537.1999999997</v>
      </c>
      <c r="G25" s="92">
        <f>Assumption!D8*'Pro Forma Income Statement'!G6</f>
        <v>1783171.4999999998</v>
      </c>
      <c r="H25" s="92">
        <f>Assumption!E8*'Pro Forma Income Statement'!H6</f>
        <v>2318122.9499999997</v>
      </c>
      <c r="I25" s="92">
        <f>Assumption!F8*'Pro Forma Income Statement'!I6</f>
        <v>2781747.5399999996</v>
      </c>
      <c r="J25" s="92">
        <f>Assumption!G8*'Pro Forma Income Statement'!J6</f>
        <v>3059922.2939999998</v>
      </c>
      <c r="K25" s="92">
        <f>Assumption!H8*'Pro Forma Income Statement'!K6</f>
        <v>3059922.2939999998</v>
      </c>
    </row>
    <row r="26" spans="1:11">
      <c r="A26" s="23" t="s">
        <v>107</v>
      </c>
      <c r="B26" s="23"/>
      <c r="C26" s="23"/>
      <c r="D26" s="23"/>
      <c r="E26" s="24">
        <f>SUM(E24:E25)</f>
        <v>2625866</v>
      </c>
      <c r="F26" s="20">
        <f t="shared" ref="F26:K26" si="5">SUM(F24:F25)</f>
        <v>2903028.9199999995</v>
      </c>
      <c r="G26" s="20">
        <f t="shared" si="5"/>
        <v>3353209.1699999995</v>
      </c>
      <c r="H26" s="20">
        <f t="shared" si="5"/>
        <v>4009973.8874999993</v>
      </c>
      <c r="I26" s="20">
        <f t="shared" si="5"/>
        <v>4717225.0124999993</v>
      </c>
      <c r="J26" s="20">
        <f t="shared" si="5"/>
        <v>5276923.7624999993</v>
      </c>
      <c r="K26" s="20">
        <f t="shared" si="5"/>
        <v>5382495.2609999999</v>
      </c>
    </row>
    <row r="27" spans="1:11">
      <c r="A27" s="23"/>
      <c r="B27" s="23"/>
      <c r="C27" s="23"/>
      <c r="D27" s="23"/>
      <c r="E27" s="24"/>
    </row>
    <row r="28" spans="1:11">
      <c r="A28" s="23" t="s">
        <v>108</v>
      </c>
      <c r="B28" s="23"/>
      <c r="C28" s="23"/>
      <c r="D28" s="23"/>
      <c r="E28" s="24"/>
    </row>
    <row r="29" spans="1:11">
      <c r="A29" s="90" t="s">
        <v>96</v>
      </c>
      <c r="B29" s="23"/>
      <c r="C29" s="23"/>
      <c r="D29" s="23"/>
      <c r="E29" s="24"/>
      <c r="F29" s="35">
        <f>Assumption!C13*('Pro Forma Balance Sheet'!E11+'Pro Forma Balance Sheet'!F11)/2</f>
        <v>45666.970800000003</v>
      </c>
      <c r="G29" s="35">
        <f>Assumption!D13*('Pro Forma Balance Sheet'!F11+'Pro Forma Balance Sheet'!G11)/2</f>
        <v>47726.461640000001</v>
      </c>
      <c r="H29" s="35">
        <f>Assumption!E13*('Pro Forma Balance Sheet'!G11+'Pro Forma Balance Sheet'!H11)/2</f>
        <v>50357.237330400014</v>
      </c>
      <c r="I29" s="35">
        <f>Assumption!F13*('Pro Forma Balance Sheet'!H11+'Pro Forma Balance Sheet'!I11)/2</f>
        <v>52860.43204041601</v>
      </c>
      <c r="J29" s="99">
        <f>Assumption!G13*('Pro Forma Balance Sheet'!I11+'Pro Forma Balance Sheet'!J11)/2</f>
        <v>54435.880211032338</v>
      </c>
      <c r="K29" s="99">
        <f>Assumption!H13*('Pro Forma Balance Sheet'!J11+'Pro Forma Balance Sheet'!K11)/2</f>
        <v>54974.849322032656</v>
      </c>
    </row>
    <row r="30" spans="1:11">
      <c r="A30" s="90" t="s">
        <v>97</v>
      </c>
      <c r="B30" s="23"/>
      <c r="C30" s="23"/>
      <c r="D30" s="23"/>
      <c r="E30" s="24"/>
      <c r="F30" s="92">
        <f>Assumption!C14*'Pro Forma Income Statement'!F6</f>
        <v>303179.68799999997</v>
      </c>
      <c r="G30" s="92">
        <f>Assumption!D14*'Pro Forma Income Statement'!G6</f>
        <v>378974.61</v>
      </c>
      <c r="H30" s="92">
        <f>Assumption!E14*'Pro Forma Income Statement'!H6</f>
        <v>492666.99300000002</v>
      </c>
      <c r="I30" s="92">
        <f>Assumption!F14*'Pro Forma Income Statement'!I6</f>
        <v>591200.39159999997</v>
      </c>
      <c r="J30" s="92">
        <f>Assumption!G14*'Pro Forma Income Statement'!J6</f>
        <v>650320.43076000002</v>
      </c>
      <c r="K30" s="92">
        <f>Assumption!H14*'Pro Forma Income Statement'!K6</f>
        <v>650320.43076000002</v>
      </c>
    </row>
    <row r="31" spans="1:11">
      <c r="A31" s="23" t="s">
        <v>112</v>
      </c>
      <c r="F31" s="35">
        <f>SUM(F29:F30)</f>
        <v>348846.65879999998</v>
      </c>
      <c r="G31" s="35">
        <f t="shared" ref="G31:K31" si="6">SUM(G29:G30)</f>
        <v>426701.07163999998</v>
      </c>
      <c r="H31" s="35">
        <f t="shared" si="6"/>
        <v>543024.23033040005</v>
      </c>
      <c r="I31" s="35">
        <f t="shared" si="6"/>
        <v>644060.82364041603</v>
      </c>
      <c r="J31" s="35">
        <f t="shared" si="6"/>
        <v>704756.31097103236</v>
      </c>
      <c r="K31" s="35">
        <f t="shared" si="6"/>
        <v>705295.28008203267</v>
      </c>
    </row>
    <row r="32" spans="1:11">
      <c r="A32" s="34"/>
    </row>
  </sheetData>
  <mergeCells count="2">
    <mergeCell ref="C4:E4"/>
    <mergeCell ref="F4:K4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31"/>
  <sheetViews>
    <sheetView topLeftCell="A9" zoomScaleNormal="100" zoomScaleSheetLayoutView="100" workbookViewId="0">
      <selection activeCell="C30" sqref="C30"/>
    </sheetView>
  </sheetViews>
  <sheetFormatPr defaultColWidth="9.140625" defaultRowHeight="14.25"/>
  <cols>
    <col min="1" max="1" width="55.42578125" style="3" bestFit="1" customWidth="1"/>
    <col min="2" max="2" width="2.5703125" style="1" customWidth="1"/>
    <col min="3" max="7" width="9.140625" style="1"/>
    <col min="8" max="8" width="9.140625" style="4"/>
    <col min="9" max="9" width="27.42578125" style="1" bestFit="1" customWidth="1"/>
    <col min="10" max="11" width="9.140625" style="1"/>
    <col min="12" max="12" width="10.85546875" style="1" customWidth="1"/>
    <col min="13" max="16384" width="9.140625" style="1"/>
  </cols>
  <sheetData>
    <row r="1" spans="1:12" ht="15">
      <c r="A1" s="42"/>
    </row>
    <row r="2" spans="1:12" ht="23.25">
      <c r="A2" s="43" t="s">
        <v>60</v>
      </c>
    </row>
    <row r="4" spans="1:12" ht="15">
      <c r="A4" s="44"/>
      <c r="C4" s="10">
        <v>2013</v>
      </c>
      <c r="D4" s="10">
        <v>2014</v>
      </c>
      <c r="E4" s="10">
        <v>2015</v>
      </c>
      <c r="F4" s="10">
        <v>2016</v>
      </c>
      <c r="G4" s="10">
        <v>2017</v>
      </c>
      <c r="H4" s="9">
        <v>2018</v>
      </c>
    </row>
    <row r="5" spans="1:12">
      <c r="A5" s="3" t="s">
        <v>29</v>
      </c>
      <c r="C5" s="45">
        <v>1.2</v>
      </c>
      <c r="D5" s="45">
        <v>1.25</v>
      </c>
      <c r="E5" s="45">
        <v>1.3</v>
      </c>
      <c r="F5" s="45">
        <v>1.2</v>
      </c>
      <c r="G5" s="45">
        <v>1.1000000000000001</v>
      </c>
      <c r="H5" s="46">
        <v>1</v>
      </c>
      <c r="I5" s="47"/>
    </row>
    <row r="6" spans="1:12" ht="15">
      <c r="A6" s="88" t="s">
        <v>95</v>
      </c>
      <c r="C6" s="45"/>
      <c r="D6" s="45"/>
      <c r="E6" s="45"/>
      <c r="F6" s="45"/>
      <c r="G6" s="45"/>
      <c r="H6" s="46"/>
    </row>
    <row r="7" spans="1:12" s="77" customFormat="1" ht="15">
      <c r="A7" s="89" t="s">
        <v>119</v>
      </c>
      <c r="C7" s="83">
        <v>0.5</v>
      </c>
      <c r="D7" s="83">
        <f>C7</f>
        <v>0.5</v>
      </c>
      <c r="E7" s="83">
        <f t="shared" ref="E7:H7" si="0">D7</f>
        <v>0.5</v>
      </c>
      <c r="F7" s="83">
        <f t="shared" si="0"/>
        <v>0.5</v>
      </c>
      <c r="G7" s="83">
        <f t="shared" si="0"/>
        <v>0.5</v>
      </c>
      <c r="H7" s="83">
        <f t="shared" si="0"/>
        <v>0.5</v>
      </c>
      <c r="I7" s="71" t="s">
        <v>105</v>
      </c>
    </row>
    <row r="8" spans="1:12" s="77" customFormat="1" ht="15">
      <c r="A8" s="89" t="s">
        <v>123</v>
      </c>
      <c r="C8" s="83">
        <f>'Pro Forma Income Statement'!E25/'Pro Forma Income Statement'!E6</f>
        <v>0.32936772466102676</v>
      </c>
      <c r="D8" s="83">
        <f>C8</f>
        <v>0.32936772466102676</v>
      </c>
      <c r="E8" s="83">
        <f t="shared" ref="E8:H8" si="1">D8</f>
        <v>0.32936772466102676</v>
      </c>
      <c r="F8" s="83">
        <f t="shared" si="1"/>
        <v>0.32936772466102676</v>
      </c>
      <c r="G8" s="83">
        <f t="shared" si="1"/>
        <v>0.32936772466102676</v>
      </c>
      <c r="H8" s="83">
        <f t="shared" si="1"/>
        <v>0.32936772466102676</v>
      </c>
      <c r="I8" s="71" t="s">
        <v>99</v>
      </c>
    </row>
    <row r="9" spans="1:12">
      <c r="C9" s="45"/>
      <c r="D9" s="45"/>
      <c r="E9" s="45"/>
      <c r="F9" s="45"/>
      <c r="G9" s="45"/>
      <c r="H9" s="46" t="s">
        <v>5</v>
      </c>
    </row>
    <row r="10" spans="1:12">
      <c r="A10" s="3" t="s">
        <v>4</v>
      </c>
      <c r="C10" s="45">
        <v>1.05</v>
      </c>
      <c r="D10" s="45">
        <v>1.04</v>
      </c>
      <c r="E10" s="45">
        <v>1.03</v>
      </c>
      <c r="F10" s="45">
        <v>1.02</v>
      </c>
      <c r="G10" s="45">
        <v>1.01</v>
      </c>
      <c r="H10" s="46">
        <v>1</v>
      </c>
    </row>
    <row r="11" spans="1:12">
      <c r="A11" s="82" t="s">
        <v>98</v>
      </c>
      <c r="B11" s="77"/>
      <c r="C11" s="83">
        <f>(-'Pro Forma Income Statement'!E9/'Pro Forma Income Statement'!E6)</f>
        <v>0.13430067254373584</v>
      </c>
      <c r="D11" s="83">
        <f>C11</f>
        <v>0.13430067254373584</v>
      </c>
      <c r="E11" s="83">
        <f>D11</f>
        <v>0.13430067254373584</v>
      </c>
      <c r="F11" s="83">
        <f>E11</f>
        <v>0.13430067254373584</v>
      </c>
      <c r="G11" s="83">
        <f>F11</f>
        <v>0.13430067254373584</v>
      </c>
      <c r="H11" s="83">
        <f>G11</f>
        <v>0.13430067254373584</v>
      </c>
      <c r="I11" s="71" t="s">
        <v>99</v>
      </c>
      <c r="J11" s="77"/>
      <c r="K11" s="77"/>
      <c r="L11" s="77"/>
    </row>
    <row r="12" spans="1:12" ht="15">
      <c r="A12" s="88" t="s">
        <v>108</v>
      </c>
      <c r="B12" s="77"/>
      <c r="C12" s="75"/>
      <c r="D12" s="75"/>
      <c r="E12" s="75"/>
      <c r="F12" s="75"/>
      <c r="G12" s="75"/>
      <c r="H12" s="76"/>
      <c r="I12" s="77"/>
      <c r="J12" s="77"/>
      <c r="K12" s="77"/>
      <c r="L12" s="77"/>
    </row>
    <row r="13" spans="1:12" s="71" customFormat="1" ht="15">
      <c r="A13" s="96" t="s">
        <v>109</v>
      </c>
      <c r="C13" s="83">
        <v>0.34</v>
      </c>
      <c r="D13" s="83">
        <f>C13</f>
        <v>0.34</v>
      </c>
      <c r="E13" s="83">
        <f t="shared" ref="E13:H13" si="2">D13</f>
        <v>0.34</v>
      </c>
      <c r="F13" s="83">
        <f t="shared" si="2"/>
        <v>0.34</v>
      </c>
      <c r="G13" s="83">
        <f t="shared" si="2"/>
        <v>0.34</v>
      </c>
      <c r="H13" s="83">
        <f t="shared" si="2"/>
        <v>0.34</v>
      </c>
      <c r="I13" s="71" t="s">
        <v>111</v>
      </c>
    </row>
    <row r="14" spans="1:12" s="71" customFormat="1" ht="15">
      <c r="A14" s="96" t="s">
        <v>97</v>
      </c>
      <c r="C14" s="83">
        <v>7.0000000000000007E-2</v>
      </c>
      <c r="D14" s="83">
        <v>7.0000000000000007E-2</v>
      </c>
      <c r="E14" s="83">
        <v>7.0000000000000007E-2</v>
      </c>
      <c r="F14" s="83">
        <f t="shared" ref="F14:H14" si="3">E14</f>
        <v>7.0000000000000007E-2</v>
      </c>
      <c r="G14" s="83">
        <f t="shared" si="3"/>
        <v>7.0000000000000007E-2</v>
      </c>
      <c r="H14" s="83">
        <f t="shared" si="3"/>
        <v>7.0000000000000007E-2</v>
      </c>
      <c r="I14" s="71" t="s">
        <v>110</v>
      </c>
    </row>
    <row r="15" spans="1:12" ht="15">
      <c r="A15" s="89"/>
      <c r="B15" s="77"/>
      <c r="C15" s="75"/>
      <c r="D15" s="75"/>
      <c r="E15" s="75"/>
      <c r="F15" s="75"/>
      <c r="G15" s="75"/>
      <c r="H15" s="76"/>
      <c r="I15" s="77"/>
      <c r="J15" s="77"/>
      <c r="K15" s="77"/>
      <c r="L15" s="77"/>
    </row>
    <row r="16" spans="1:12" s="50" customFormat="1">
      <c r="A16" s="49" t="s">
        <v>36</v>
      </c>
      <c r="C16" s="51">
        <v>8.5000000000000006E-2</v>
      </c>
      <c r="D16" s="51">
        <f>C16</f>
        <v>8.5000000000000006E-2</v>
      </c>
      <c r="E16" s="51">
        <f t="shared" ref="E16:H16" si="4">D16</f>
        <v>8.5000000000000006E-2</v>
      </c>
      <c r="F16" s="51">
        <f t="shared" si="4"/>
        <v>8.5000000000000006E-2</v>
      </c>
      <c r="G16" s="51">
        <f t="shared" si="4"/>
        <v>8.5000000000000006E-2</v>
      </c>
      <c r="H16" s="51">
        <f t="shared" si="4"/>
        <v>8.5000000000000006E-2</v>
      </c>
      <c r="I16" s="98"/>
    </row>
    <row r="17" spans="1:12" s="71" customFormat="1">
      <c r="A17" s="82" t="s">
        <v>124</v>
      </c>
      <c r="C17" s="83">
        <v>0.43</v>
      </c>
      <c r="D17" s="83">
        <f>C17</f>
        <v>0.43</v>
      </c>
      <c r="E17" s="83">
        <f t="shared" ref="E17:H17" si="5">D17</f>
        <v>0.43</v>
      </c>
      <c r="F17" s="83">
        <f t="shared" si="5"/>
        <v>0.43</v>
      </c>
      <c r="G17" s="83">
        <f t="shared" si="5"/>
        <v>0.43</v>
      </c>
      <c r="H17" s="51">
        <f t="shared" si="5"/>
        <v>0.43</v>
      </c>
    </row>
    <row r="18" spans="1:12">
      <c r="A18" s="78"/>
      <c r="B18" s="77"/>
      <c r="C18" s="75"/>
      <c r="D18" s="75"/>
      <c r="E18" s="75"/>
      <c r="F18" s="75"/>
      <c r="G18" s="75"/>
      <c r="H18" s="76"/>
      <c r="I18" s="77"/>
      <c r="J18" s="77"/>
      <c r="K18" s="77"/>
      <c r="L18" s="77"/>
    </row>
    <row r="19" spans="1:12">
      <c r="A19" s="82" t="s">
        <v>125</v>
      </c>
      <c r="B19" s="71"/>
      <c r="C19" s="83">
        <v>1</v>
      </c>
      <c r="D19" s="83">
        <v>1</v>
      </c>
      <c r="E19" s="83">
        <v>1</v>
      </c>
      <c r="F19" s="83">
        <v>1</v>
      </c>
      <c r="G19" s="83">
        <v>1</v>
      </c>
      <c r="H19" s="51">
        <v>1</v>
      </c>
      <c r="I19" s="71" t="s">
        <v>126</v>
      </c>
      <c r="J19" s="77"/>
      <c r="K19" s="77"/>
      <c r="L19" s="77"/>
    </row>
    <row r="20" spans="1:12">
      <c r="A20" s="82" t="s">
        <v>41</v>
      </c>
      <c r="B20" s="71"/>
      <c r="C20" s="83">
        <v>1</v>
      </c>
      <c r="D20" s="83">
        <v>1</v>
      </c>
      <c r="E20" s="83">
        <v>1</v>
      </c>
      <c r="F20" s="83">
        <v>1</v>
      </c>
      <c r="G20" s="83">
        <v>1</v>
      </c>
      <c r="H20" s="51">
        <v>1</v>
      </c>
      <c r="I20" s="71" t="s">
        <v>126</v>
      </c>
      <c r="J20" s="77"/>
      <c r="K20" s="77"/>
      <c r="L20" s="77"/>
    </row>
    <row r="21" spans="1:12">
      <c r="A21" s="82" t="s">
        <v>44</v>
      </c>
      <c r="B21" s="71"/>
      <c r="C21" s="83">
        <v>1</v>
      </c>
      <c r="D21" s="83">
        <v>1</v>
      </c>
      <c r="E21" s="83">
        <v>1</v>
      </c>
      <c r="F21" s="83">
        <v>1</v>
      </c>
      <c r="G21" s="83">
        <v>1</v>
      </c>
      <c r="H21" s="51">
        <v>1</v>
      </c>
      <c r="I21" s="71"/>
      <c r="J21" s="77"/>
      <c r="K21" s="77"/>
      <c r="L21" s="77"/>
    </row>
    <row r="22" spans="1:12" s="71" customFormat="1">
      <c r="A22" s="82" t="s">
        <v>104</v>
      </c>
      <c r="C22" s="83">
        <v>0.7</v>
      </c>
      <c r="D22" s="83">
        <v>0.6</v>
      </c>
      <c r="E22" s="83">
        <v>0.5</v>
      </c>
      <c r="F22" s="83">
        <v>0.5</v>
      </c>
      <c r="G22" s="83">
        <v>0.5</v>
      </c>
      <c r="H22" s="83">
        <v>0.5</v>
      </c>
      <c r="I22" s="71" t="s">
        <v>110</v>
      </c>
    </row>
    <row r="23" spans="1:12" s="71" customFormat="1">
      <c r="A23" s="82" t="s">
        <v>113</v>
      </c>
      <c r="C23" s="83">
        <f t="shared" ref="C23:H23" si="6">1+(1/5*(C5-1))</f>
        <v>1.04</v>
      </c>
      <c r="D23" s="83">
        <f t="shared" si="6"/>
        <v>1.05</v>
      </c>
      <c r="E23" s="83">
        <f t="shared" si="6"/>
        <v>1.06</v>
      </c>
      <c r="F23" s="83">
        <f t="shared" si="6"/>
        <v>1.04</v>
      </c>
      <c r="G23" s="83">
        <f t="shared" si="6"/>
        <v>1.02</v>
      </c>
      <c r="H23" s="83">
        <f t="shared" si="6"/>
        <v>1</v>
      </c>
    </row>
    <row r="24" spans="1:12">
      <c r="A24" s="82" t="s">
        <v>101</v>
      </c>
      <c r="B24" s="77"/>
      <c r="C24" s="83">
        <f>'Pro Forma Balance Sheet'!E12/'Pro Forma Income Statement'!E6</f>
        <v>2.4772240018928974E-2</v>
      </c>
      <c r="D24" s="83">
        <f>C24</f>
        <v>2.4772240018928974E-2</v>
      </c>
      <c r="E24" s="83">
        <f t="shared" ref="E24:H24" si="7">D24</f>
        <v>2.4772240018928974E-2</v>
      </c>
      <c r="F24" s="83">
        <f t="shared" si="7"/>
        <v>2.4772240018928974E-2</v>
      </c>
      <c r="G24" s="83">
        <f t="shared" si="7"/>
        <v>2.4772240018928974E-2</v>
      </c>
      <c r="H24" s="83">
        <f t="shared" si="7"/>
        <v>2.4772240018928974E-2</v>
      </c>
      <c r="I24" s="71" t="s">
        <v>99</v>
      </c>
      <c r="J24" s="77"/>
      <c r="K24" s="77"/>
      <c r="L24" s="77"/>
    </row>
    <row r="25" spans="1:12">
      <c r="A25" s="82" t="s">
        <v>10</v>
      </c>
      <c r="B25" s="71"/>
      <c r="C25" s="83">
        <f>-'Pro Forma Balance Sheet'!E17/('Pro Forma Income Statement'!E9+'Pro Forma Income Statement'!E11)</f>
        <v>0.14306040872511647</v>
      </c>
      <c r="D25" s="83">
        <f>C25</f>
        <v>0.14306040872511647</v>
      </c>
      <c r="E25" s="83">
        <f t="shared" ref="E25:H25" si="8">D25</f>
        <v>0.14306040872511647</v>
      </c>
      <c r="F25" s="83">
        <f t="shared" si="8"/>
        <v>0.14306040872511647</v>
      </c>
      <c r="G25" s="83">
        <f t="shared" si="8"/>
        <v>0.14306040872511647</v>
      </c>
      <c r="H25" s="83">
        <f t="shared" si="8"/>
        <v>0.14306040872511647</v>
      </c>
      <c r="I25" s="71" t="s">
        <v>100</v>
      </c>
      <c r="J25" s="71"/>
      <c r="K25" s="71"/>
      <c r="L25" s="77"/>
    </row>
    <row r="26" spans="1:12">
      <c r="A26" s="82" t="s">
        <v>48</v>
      </c>
      <c r="B26" s="71"/>
      <c r="C26" s="51">
        <f>-'Pro Forma Balance Sheet'!E18/('Pro Forma Income Statement'!E9+'Pro Forma Income Statement'!E11)</f>
        <v>8.7917924078780171E-2</v>
      </c>
      <c r="D26" s="51">
        <f>C26</f>
        <v>8.7917924078780171E-2</v>
      </c>
      <c r="E26" s="51">
        <f t="shared" ref="E26:H26" si="9">D26</f>
        <v>8.7917924078780171E-2</v>
      </c>
      <c r="F26" s="51">
        <f t="shared" si="9"/>
        <v>8.7917924078780171E-2</v>
      </c>
      <c r="G26" s="51">
        <f t="shared" si="9"/>
        <v>8.7917924078780171E-2</v>
      </c>
      <c r="H26" s="51">
        <f t="shared" si="9"/>
        <v>8.7917924078780171E-2</v>
      </c>
      <c r="I26" s="71" t="s">
        <v>100</v>
      </c>
      <c r="J26" s="71"/>
      <c r="K26" s="71"/>
      <c r="L26" s="77"/>
    </row>
    <row r="27" spans="1:12" ht="28.5">
      <c r="A27" s="86" t="s">
        <v>102</v>
      </c>
      <c r="B27" s="77"/>
      <c r="C27" s="83">
        <v>0.8</v>
      </c>
      <c r="D27" s="83">
        <v>0.8</v>
      </c>
      <c r="E27" s="83">
        <v>0.8</v>
      </c>
      <c r="F27" s="83">
        <v>0.8</v>
      </c>
      <c r="G27" s="83">
        <v>0.8</v>
      </c>
      <c r="H27" s="83">
        <v>0.8</v>
      </c>
      <c r="I27" s="50" t="s">
        <v>103</v>
      </c>
      <c r="J27" s="77"/>
      <c r="K27" s="77"/>
      <c r="L27" s="77"/>
    </row>
    <row r="28" spans="1:12">
      <c r="A28" s="82" t="s">
        <v>52</v>
      </c>
      <c r="B28" s="71"/>
      <c r="C28" s="83">
        <v>1</v>
      </c>
      <c r="D28" s="83">
        <v>1</v>
      </c>
      <c r="E28" s="83">
        <v>1</v>
      </c>
      <c r="F28" s="83">
        <v>1</v>
      </c>
      <c r="G28" s="83">
        <v>1</v>
      </c>
      <c r="H28" s="51">
        <v>1</v>
      </c>
      <c r="I28" s="71" t="s">
        <v>127</v>
      </c>
      <c r="J28" s="71"/>
      <c r="K28" s="77"/>
      <c r="L28" s="77"/>
    </row>
    <row r="29" spans="1:12" s="71" customFormat="1">
      <c r="A29" s="82" t="s">
        <v>61</v>
      </c>
      <c r="C29" s="83">
        <f>('Pro Forma Balance Sheet'!E22+'Pro Forma Balance Sheet'!E23)/('Pro Forma Balance Sheet'!E22+'Pro Forma Balance Sheet'!E23+'Pro Forma Balance Sheet'!E32)</f>
        <v>0.34944477593164164</v>
      </c>
      <c r="D29" s="83">
        <f>C29</f>
        <v>0.34944477593164164</v>
      </c>
      <c r="E29" s="83">
        <f t="shared" ref="E29:H29" si="10">D29</f>
        <v>0.34944477593164164</v>
      </c>
      <c r="F29" s="83">
        <f t="shared" si="10"/>
        <v>0.34944477593164164</v>
      </c>
      <c r="G29" s="83">
        <f t="shared" si="10"/>
        <v>0.34944477593164164</v>
      </c>
      <c r="H29" s="83">
        <f t="shared" si="10"/>
        <v>0.34944477593164164</v>
      </c>
      <c r="I29" s="71" t="s">
        <v>128</v>
      </c>
    </row>
    <row r="30" spans="1:12">
      <c r="A30" s="3" t="s">
        <v>49</v>
      </c>
      <c r="C30" s="45">
        <f>('Pro Forma Balance Sheet'!E19)/('Pro Forma Income Statement'!E6)</f>
        <v>4.6954491225678678E-2</v>
      </c>
      <c r="D30" s="104">
        <f>C30</f>
        <v>4.6954491225678678E-2</v>
      </c>
      <c r="E30" s="104">
        <f>D30</f>
        <v>4.6954491225678678E-2</v>
      </c>
      <c r="F30" s="104">
        <f>E30</f>
        <v>4.6954491225678678E-2</v>
      </c>
      <c r="G30" s="104">
        <f>F30</f>
        <v>4.6954491225678678E-2</v>
      </c>
      <c r="H30" s="56">
        <f>G30</f>
        <v>4.6954491225678678E-2</v>
      </c>
    </row>
    <row r="31" spans="1:12">
      <c r="C31" s="104"/>
    </row>
  </sheetData>
  <pageMargins left="0.7" right="0.7" top="0.75" bottom="0.75" header="0.3" footer="0.3"/>
  <pageSetup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59"/>
  <sheetViews>
    <sheetView topLeftCell="A28" zoomScaleNormal="100" workbookViewId="0">
      <selection activeCell="E38" sqref="E38:I38"/>
    </sheetView>
  </sheetViews>
  <sheetFormatPr defaultColWidth="9.140625" defaultRowHeight="14.25"/>
  <cols>
    <col min="1" max="1" width="27.28515625" style="1" bestFit="1" customWidth="1"/>
    <col min="2" max="2" width="3.5703125" style="1" customWidth="1"/>
    <col min="3" max="3" width="18.7109375" style="1" bestFit="1" customWidth="1"/>
    <col min="4" max="4" width="15.7109375" style="1" bestFit="1" customWidth="1"/>
    <col min="5" max="5" width="16.85546875" style="1" bestFit="1" customWidth="1"/>
    <col min="6" max="7" width="17.28515625" style="1" bestFit="1" customWidth="1"/>
    <col min="8" max="8" width="18.7109375" style="1" bestFit="1" customWidth="1"/>
    <col min="9" max="9" width="16.85546875" style="1" bestFit="1" customWidth="1"/>
    <col min="10" max="10" width="11.5703125" style="1" bestFit="1" customWidth="1"/>
    <col min="11" max="11" width="9.140625" style="1"/>
    <col min="12" max="12" width="10.140625" style="1" bestFit="1" customWidth="1"/>
    <col min="13" max="16384" width="9.140625" style="1"/>
  </cols>
  <sheetData>
    <row r="1" spans="1:10" ht="23.25">
      <c r="A1" s="5" t="s">
        <v>62</v>
      </c>
      <c r="D1" s="10" t="s">
        <v>63</v>
      </c>
      <c r="E1" s="10" t="s">
        <v>64</v>
      </c>
    </row>
    <row r="2" spans="1:10" ht="15">
      <c r="A2" s="1" t="s">
        <v>65</v>
      </c>
      <c r="C2" s="101">
        <v>6.6799999999999998E-2</v>
      </c>
      <c r="D2" s="26">
        <f>C16</f>
        <v>13719468.880102411</v>
      </c>
      <c r="E2" s="57">
        <f>Assumption!C17</f>
        <v>0.43</v>
      </c>
      <c r="F2" s="58"/>
      <c r="G2" s="59"/>
    </row>
    <row r="3" spans="1:10">
      <c r="A3" s="1" t="s">
        <v>66</v>
      </c>
      <c r="C3" s="56">
        <f>Assumption!C16</f>
        <v>8.5000000000000006E-2</v>
      </c>
      <c r="D3" s="32">
        <f>'Pro Forma Balance Sheet'!E23+'Pro Forma Balance Sheet'!E22</f>
        <v>400000</v>
      </c>
      <c r="E3" s="4"/>
    </row>
    <row r="4" spans="1:10">
      <c r="A4" s="1" t="s">
        <v>67</v>
      </c>
      <c r="C4" s="56">
        <f>(C2*D2/D4)+(C3*D3/D4*(1-E2))</f>
        <v>6.6280150417673017E-2</v>
      </c>
      <c r="D4" s="26">
        <f>D2+D3</f>
        <v>14119468.880102411</v>
      </c>
      <c r="E4" s="4"/>
    </row>
    <row r="5" spans="1:10">
      <c r="A5" s="1" t="s">
        <v>68</v>
      </c>
      <c r="C5" s="13">
        <v>55587167</v>
      </c>
      <c r="D5" s="4"/>
      <c r="E5" s="4"/>
    </row>
    <row r="6" spans="1:10">
      <c r="E6" s="4"/>
    </row>
    <row r="7" spans="1:10" ht="20.25">
      <c r="A7" s="60" t="s">
        <v>69</v>
      </c>
      <c r="B7" s="61"/>
      <c r="C7" s="61"/>
      <c r="D7" s="61"/>
      <c r="E7" s="61"/>
      <c r="F7" s="61"/>
      <c r="G7" s="61"/>
      <c r="H7" s="61"/>
      <c r="I7" s="61"/>
    </row>
    <row r="8" spans="1:10" ht="15.75" thickBot="1">
      <c r="A8" s="62"/>
      <c r="B8" s="62"/>
      <c r="C8" s="62"/>
      <c r="D8" s="63">
        <v>2013</v>
      </c>
      <c r="E8" s="63">
        <v>2014</v>
      </c>
      <c r="F8" s="63">
        <v>2015</v>
      </c>
      <c r="G8" s="63">
        <v>2016</v>
      </c>
      <c r="H8" s="63">
        <v>2017</v>
      </c>
      <c r="I8" s="63" t="s">
        <v>186</v>
      </c>
    </row>
    <row r="9" spans="1:10" ht="15">
      <c r="A9" s="64" t="s">
        <v>71</v>
      </c>
      <c r="B9" s="65"/>
      <c r="C9" s="65"/>
      <c r="D9" s="65"/>
      <c r="E9" s="65"/>
      <c r="F9" s="65"/>
      <c r="G9" s="65"/>
      <c r="H9" s="65"/>
      <c r="I9" s="65"/>
    </row>
    <row r="10" spans="1:10" ht="15">
      <c r="A10" s="1" t="s">
        <v>72</v>
      </c>
      <c r="D10" s="38">
        <f>-'Pro Forma Cash Flow'!D25</f>
        <v>144312.64161105407</v>
      </c>
      <c r="E10" s="38">
        <f>-'Pro Forma Cash Flow'!E25</f>
        <v>432583.80970319221</v>
      </c>
      <c r="F10" s="38">
        <f>-'Pro Forma Cash Flow'!F25</f>
        <v>801787.1566769355</v>
      </c>
      <c r="G10" s="38">
        <f>-'Pro Forma Cash Flow'!G25</f>
        <v>971334.06448127842</v>
      </c>
      <c r="H10" s="38">
        <f>-'Pro Forma Cash Flow'!H25</f>
        <v>1051563.9960898033</v>
      </c>
      <c r="I10" s="38">
        <f>-'Pro Forma Cash Flow'!I25</f>
        <v>1018290.780348768</v>
      </c>
      <c r="J10" s="58"/>
    </row>
    <row r="11" spans="1:10">
      <c r="A11" s="1" t="s">
        <v>73</v>
      </c>
      <c r="D11" s="38"/>
      <c r="E11" s="38"/>
      <c r="F11" s="38"/>
      <c r="G11" s="38"/>
      <c r="H11" s="66">
        <f>I10/C2</f>
        <v>15243873.957316887</v>
      </c>
      <c r="I11" s="32"/>
    </row>
    <row r="12" spans="1:10">
      <c r="A12" s="1" t="s">
        <v>74</v>
      </c>
      <c r="D12" s="38">
        <f>SUM(D10:D11)</f>
        <v>144312.64161105407</v>
      </c>
      <c r="E12" s="38">
        <f t="shared" ref="E12:H12" si="0">SUM(E10:E11)</f>
        <v>432583.80970319221</v>
      </c>
      <c r="F12" s="38">
        <f t="shared" si="0"/>
        <v>801787.1566769355</v>
      </c>
      <c r="G12" s="38">
        <f t="shared" si="0"/>
        <v>971334.06448127842</v>
      </c>
      <c r="H12" s="38">
        <f t="shared" si="0"/>
        <v>16295437.95340669</v>
      </c>
      <c r="I12" s="32"/>
    </row>
    <row r="13" spans="1:10">
      <c r="A13" s="1" t="s">
        <v>75</v>
      </c>
      <c r="C13" s="102">
        <f>C2</f>
        <v>6.6799999999999998E-2</v>
      </c>
      <c r="D13" s="38">
        <f>1/(1+$C$2)^1</f>
        <v>0.9373828271466067</v>
      </c>
      <c r="E13" s="38">
        <f>1/(1+$C$2)^2</f>
        <v>0.87868656462936512</v>
      </c>
      <c r="F13" s="38">
        <f>1/(1+$C$2)^3</f>
        <v>0.82366569612801377</v>
      </c>
      <c r="G13" s="38">
        <f>1/(1+$C$2)^4</f>
        <v>0.77209007886015535</v>
      </c>
      <c r="H13" s="38">
        <f>1/(1+$C$2)^5</f>
        <v>0.72374398093377901</v>
      </c>
      <c r="I13" s="38"/>
    </row>
    <row r="14" spans="1:10">
      <c r="J14" s="38"/>
    </row>
    <row r="15" spans="1:10" ht="8.25" customHeight="1"/>
    <row r="16" spans="1:10" ht="15">
      <c r="A16" s="16" t="s">
        <v>76</v>
      </c>
      <c r="B16" s="16"/>
      <c r="C16" s="66">
        <f>SUMPRODUCT(D13:H13,D12:H12)</f>
        <v>13719468.880102411</v>
      </c>
      <c r="H16" s="38"/>
      <c r="J16" s="35"/>
    </row>
    <row r="17" spans="1:12">
      <c r="A17" s="1" t="s">
        <v>77</v>
      </c>
      <c r="C17" s="67">
        <f>C16/C5*1000</f>
        <v>246.8100034690095</v>
      </c>
      <c r="G17" s="35"/>
    </row>
    <row r="19" spans="1:12" ht="15">
      <c r="A19" s="64" t="s">
        <v>78</v>
      </c>
      <c r="B19" s="65"/>
      <c r="C19" s="65"/>
      <c r="D19" s="68">
        <v>2013</v>
      </c>
      <c r="E19" s="68">
        <v>2014</v>
      </c>
      <c r="F19" s="68">
        <v>2015</v>
      </c>
      <c r="G19" s="68">
        <v>2016</v>
      </c>
      <c r="H19" s="68">
        <v>2017</v>
      </c>
      <c r="I19" s="68" t="s">
        <v>186</v>
      </c>
    </row>
    <row r="20" spans="1:12">
      <c r="A20" s="1" t="s">
        <v>40</v>
      </c>
      <c r="D20" s="38">
        <f>'Pro Forma Income Statement'!F20</f>
        <v>197143.95913785041</v>
      </c>
      <c r="E20" s="38">
        <f>'Pro Forma Income Statement'!G20</f>
        <v>426982.8758133236</v>
      </c>
      <c r="F20" s="38">
        <f>'Pro Forma Income Statement'!H20</f>
        <v>785816.39166522643</v>
      </c>
      <c r="G20" s="38">
        <f>'Pro Forma Income Statement'!I20</f>
        <v>1017749.7042318368</v>
      </c>
      <c r="H20" s="38">
        <f>'Pro Forma Income Statement'!J20</f>
        <v>1079132.4796539538</v>
      </c>
      <c r="I20" s="38">
        <f>'Pro Forma Income Statement'!K20</f>
        <v>1018290.780348768</v>
      </c>
      <c r="L20" s="35"/>
    </row>
    <row r="21" spans="1:12">
      <c r="A21" s="1" t="s">
        <v>121</v>
      </c>
      <c r="D21" s="38">
        <f>'Pro Forma Balance Sheet'!E32</f>
        <v>744673</v>
      </c>
      <c r="E21" s="38">
        <f>'Pro Forma Balance Sheet'!F32</f>
        <v>797504.31752679637</v>
      </c>
      <c r="F21" s="38">
        <f>'Pro Forma Balance Sheet'!G32</f>
        <v>791903.3836369277</v>
      </c>
      <c r="G21" s="38">
        <f>'Pro Forma Balance Sheet'!H32</f>
        <v>775932.61862521851</v>
      </c>
      <c r="H21" s="38">
        <f>'Pro Forma Balance Sheet'!I32</f>
        <v>822348.25837577693</v>
      </c>
      <c r="I21" s="38">
        <f>'Pro Forma Balance Sheet'!J32</f>
        <v>849916.74193992745</v>
      </c>
      <c r="J21" s="1" t="s">
        <v>5</v>
      </c>
    </row>
    <row r="22" spans="1:12">
      <c r="A22" s="1" t="s">
        <v>79</v>
      </c>
      <c r="D22" s="38">
        <f>D21*$C$2</f>
        <v>49744.1564</v>
      </c>
      <c r="E22" s="38">
        <f t="shared" ref="E22:I22" si="1">E21*$C$2</f>
        <v>53273.288410789995</v>
      </c>
      <c r="F22" s="38">
        <f t="shared" si="1"/>
        <v>52899.146026946772</v>
      </c>
      <c r="G22" s="38">
        <f t="shared" si="1"/>
        <v>51832.298924164592</v>
      </c>
      <c r="H22" s="38">
        <f t="shared" si="1"/>
        <v>54932.863659501898</v>
      </c>
      <c r="I22" s="38">
        <f t="shared" si="1"/>
        <v>56774.438361587156</v>
      </c>
      <c r="L22" s="35"/>
    </row>
    <row r="23" spans="1:12">
      <c r="A23" s="1" t="s">
        <v>80</v>
      </c>
      <c r="D23" s="38">
        <f>D20-D22</f>
        <v>147399.8027378504</v>
      </c>
      <c r="E23" s="38">
        <f t="shared" ref="E23:H23" si="2">E20-E22</f>
        <v>373709.58740253362</v>
      </c>
      <c r="F23" s="38">
        <f t="shared" si="2"/>
        <v>732917.24563827971</v>
      </c>
      <c r="G23" s="38">
        <f t="shared" si="2"/>
        <v>965917.40530767222</v>
      </c>
      <c r="H23" s="38">
        <f t="shared" si="2"/>
        <v>1024199.6159944519</v>
      </c>
      <c r="I23" s="38">
        <f>I20-I22</f>
        <v>961516.34198718087</v>
      </c>
    </row>
    <row r="24" spans="1:12">
      <c r="A24" s="1" t="s">
        <v>73</v>
      </c>
      <c r="D24" s="38"/>
      <c r="E24" s="38"/>
      <c r="F24" s="38"/>
      <c r="G24" s="38"/>
      <c r="H24" s="66">
        <f>I23/C2</f>
        <v>14393957.21537696</v>
      </c>
      <c r="I24" s="38"/>
    </row>
    <row r="25" spans="1:12" ht="15">
      <c r="A25" s="16" t="s">
        <v>81</v>
      </c>
      <c r="B25" s="16"/>
      <c r="C25" s="16"/>
      <c r="D25" s="69">
        <f>SUM(D23:D24)</f>
        <v>147399.8027378504</v>
      </c>
      <c r="E25" s="69">
        <f t="shared" ref="E25:G25" si="3">SUM(E23:E24)</f>
        <v>373709.58740253362</v>
      </c>
      <c r="F25" s="69">
        <f t="shared" si="3"/>
        <v>732917.24563827971</v>
      </c>
      <c r="G25" s="69">
        <f t="shared" si="3"/>
        <v>965917.40530767222</v>
      </c>
      <c r="H25" s="69">
        <f>SUM(H23:H24)</f>
        <v>15418156.831371412</v>
      </c>
      <c r="I25" s="69"/>
    </row>
    <row r="26" spans="1:12">
      <c r="A26" s="1" t="s">
        <v>75</v>
      </c>
      <c r="C26" s="102">
        <f>C13</f>
        <v>6.6799999999999998E-2</v>
      </c>
      <c r="D26" s="38">
        <f>1/(1+$C$2)^1</f>
        <v>0.9373828271466067</v>
      </c>
      <c r="E26" s="38">
        <f>1/(1+$C$2)^2</f>
        <v>0.87868656462936512</v>
      </c>
      <c r="F26" s="38">
        <f>1/(1+$C$2)^3</f>
        <v>0.82366569612801377</v>
      </c>
      <c r="G26" s="38">
        <f>1/(1+$C$2)^4</f>
        <v>0.77209007886015535</v>
      </c>
      <c r="H26" s="38">
        <f>1/(1+$C$2)^5</f>
        <v>0.72374398093377901</v>
      </c>
      <c r="I26" s="38"/>
    </row>
    <row r="27" spans="1:12" ht="8.25" customHeight="1"/>
    <row r="28" spans="1:12">
      <c r="A28" s="1" t="s">
        <v>82</v>
      </c>
      <c r="C28" s="66">
        <f>SUMPRODUCT(D25:H25,D26:H26)</f>
        <v>12974795.880102411</v>
      </c>
    </row>
    <row r="29" spans="1:12">
      <c r="A29" s="1" t="s">
        <v>83</v>
      </c>
      <c r="C29" s="38">
        <f>'Pro Forma Balance Sheet'!E32</f>
        <v>744673</v>
      </c>
    </row>
    <row r="30" spans="1:12" ht="15">
      <c r="A30" s="16" t="s">
        <v>76</v>
      </c>
      <c r="B30" s="16"/>
      <c r="C30" s="66">
        <f>C29+C28</f>
        <v>13719468.880102411</v>
      </c>
      <c r="D30" s="70"/>
    </row>
    <row r="31" spans="1:12">
      <c r="A31" s="1" t="s">
        <v>77</v>
      </c>
      <c r="C31" s="67">
        <f>C30/C5*1000</f>
        <v>246.8100034690095</v>
      </c>
    </row>
    <row r="32" spans="1:12">
      <c r="G32" s="1" t="s">
        <v>5</v>
      </c>
    </row>
    <row r="34" spans="1:9" ht="15">
      <c r="A34" s="64" t="s">
        <v>157</v>
      </c>
      <c r="B34" s="65"/>
      <c r="C34" s="65"/>
      <c r="D34" s="68">
        <v>2013</v>
      </c>
      <c r="E34" s="68">
        <v>2014</v>
      </c>
      <c r="F34" s="68">
        <v>2015</v>
      </c>
      <c r="G34" s="68">
        <v>2016</v>
      </c>
      <c r="H34" s="68">
        <v>2017</v>
      </c>
      <c r="I34" s="68" t="s">
        <v>70</v>
      </c>
    </row>
    <row r="35" spans="1:9">
      <c r="A35" s="1" t="s">
        <v>85</v>
      </c>
      <c r="C35" s="4"/>
      <c r="D35" s="32">
        <f>'Pro Forma Cash Flow'!D17</f>
        <v>1800987.188380105</v>
      </c>
      <c r="E35" s="32">
        <f>'Pro Forma Cash Flow'!E17</f>
        <v>2276760.8066940019</v>
      </c>
      <c r="F35" s="32">
        <f>'Pro Forma Cash Flow'!F17</f>
        <v>2831897.8934202027</v>
      </c>
      <c r="G35" s="32">
        <f>'Pro Forma Cash Flow'!G17</f>
        <v>3644646.8024592795</v>
      </c>
      <c r="H35" s="32">
        <f>'Pro Forma Cash Flow'!H17</f>
        <v>3733649.3751848568</v>
      </c>
      <c r="I35" s="32">
        <f>'Pro Forma Cash Flow'!I17</f>
        <v>3395838.5966708004</v>
      </c>
    </row>
    <row r="36" spans="1:9">
      <c r="A36" s="1" t="s">
        <v>86</v>
      </c>
      <c r="C36" s="4"/>
      <c r="D36" s="32">
        <f>'Pro Forma Cash Flow'!D22</f>
        <v>-1685052.8107999996</v>
      </c>
      <c r="E36" s="32">
        <f>'Pro Forma Cash Flow'!E22</f>
        <v>-1841168.4636399993</v>
      </c>
      <c r="F36" s="32">
        <f>'Pro Forma Cash Flow'!F22</f>
        <v>-2021532.0639503999</v>
      </c>
      <c r="G36" s="32">
        <f>'Pro Forma Cash Flow'!G22</f>
        <v>-2698244.8301852159</v>
      </c>
      <c r="H36" s="32">
        <f>'Pro Forma Cash Flow'!H22</f>
        <v>-2696893.7492463277</v>
      </c>
      <c r="I36" s="32">
        <f>'Pro Forma Cash Flow'!I22</f>
        <v>-2377547.8163220319</v>
      </c>
    </row>
    <row r="37" spans="1:9">
      <c r="A37" s="71" t="s">
        <v>92</v>
      </c>
      <c r="C37" s="4"/>
      <c r="D37" s="32">
        <f>-'Pro Forma Income Statement'!F15*(1-'Valuation '!$E$2)</f>
        <v>20067.46344614973</v>
      </c>
      <c r="E37" s="32">
        <f>-'Pro Forma Income Statement'!G15*(1-'Valuation '!$E$2)</f>
        <v>20682.045171876096</v>
      </c>
      <c r="F37" s="32">
        <f>-'Pro Forma Income Statement'!H15*(1-'Valuation '!$E$2)</f>
        <v>20401.3451030455</v>
      </c>
      <c r="G37" s="32">
        <f>-'Pro Forma Income Statement'!I15*(1-'Valuation '!$E$2)</f>
        <v>20797.506688358048</v>
      </c>
      <c r="H37" s="32">
        <f>-'Pro Forma Income Statement'!J15*(1-'Valuation '!$E$2)</f>
        <v>21760.219388992457</v>
      </c>
      <c r="I37" s="32">
        <f>-'Pro Forma Income Statement'!K15*(1-'Valuation '!$E$2)</f>
        <v>22118.952155907078</v>
      </c>
    </row>
    <row r="38" spans="1:9">
      <c r="A38" s="71" t="s">
        <v>194</v>
      </c>
      <c r="C38" s="4"/>
      <c r="D38" s="32">
        <f>-('Pro Forma Balance Sheet'!F4-'Pro Forma Balance Sheet'!E4)</f>
        <v>0</v>
      </c>
      <c r="E38" s="32">
        <f>-('Pro Forma Balance Sheet'!G4-'Pro Forma Balance Sheet'!F4)</f>
        <v>0</v>
      </c>
      <c r="F38" s="32">
        <f>-('Pro Forma Balance Sheet'!H4-'Pro Forma Balance Sheet'!G4)</f>
        <v>0</v>
      </c>
      <c r="G38" s="32">
        <f>-('Pro Forma Balance Sheet'!I4-'Pro Forma Balance Sheet'!H4)</f>
        <v>0</v>
      </c>
      <c r="H38" s="32">
        <f>-('Pro Forma Balance Sheet'!J4-'Pro Forma Balance Sheet'!I4)</f>
        <v>0</v>
      </c>
      <c r="I38" s="32">
        <f>-('Pro Forma Balance Sheet'!K4-'Pro Forma Balance Sheet'!J4)</f>
        <v>0</v>
      </c>
    </row>
    <row r="39" spans="1:9">
      <c r="A39" s="1" t="s">
        <v>87</v>
      </c>
      <c r="C39" s="4"/>
      <c r="D39" s="32">
        <f>SUM(D35:D38)</f>
        <v>136001.84102625505</v>
      </c>
      <c r="E39" s="32">
        <f t="shared" ref="E39:I39" si="4">SUM(E35:E38)</f>
        <v>456274.38822587871</v>
      </c>
      <c r="F39" s="32">
        <f t="shared" si="4"/>
        <v>830767.17457284825</v>
      </c>
      <c r="G39" s="32">
        <f t="shared" si="4"/>
        <v>967199.47896242165</v>
      </c>
      <c r="H39" s="32">
        <f t="shared" si="4"/>
        <v>1058515.8453275217</v>
      </c>
      <c r="I39" s="32">
        <f t="shared" si="4"/>
        <v>1040409.7325046755</v>
      </c>
    </row>
    <row r="40" spans="1:9">
      <c r="A40" s="1" t="s">
        <v>88</v>
      </c>
      <c r="C40" s="4"/>
      <c r="D40" s="32"/>
      <c r="E40" s="32"/>
      <c r="F40" s="32"/>
      <c r="G40" s="32"/>
      <c r="H40" s="32">
        <f>I39/C4</f>
        <v>15697154.064201692</v>
      </c>
      <c r="I40" s="32"/>
    </row>
    <row r="41" spans="1:9">
      <c r="A41" s="1" t="s">
        <v>75</v>
      </c>
      <c r="D41" s="38">
        <f>1/(1+$C$4)^1</f>
        <v>0.93783983468911947</v>
      </c>
      <c r="E41" s="38">
        <f>1/(1+$C$4)^2</f>
        <v>0.87954355552971497</v>
      </c>
      <c r="F41" s="38">
        <f>1/(1+$C$4)^3</f>
        <v>0.82487098271986825</v>
      </c>
      <c r="G41" s="38">
        <f>1/(1+$C$4)^4</f>
        <v>0.7735968660738527</v>
      </c>
      <c r="H41" s="38">
        <f>1/(1+$C$4)^5</f>
        <v>0.72550995699472298</v>
      </c>
      <c r="I41" s="38"/>
    </row>
    <row r="42" spans="1:9" ht="15">
      <c r="A42" s="1" t="s">
        <v>89</v>
      </c>
      <c r="B42" s="1" t="s">
        <v>5</v>
      </c>
      <c r="C42" s="72">
        <f>SUM(D42:H42)</f>
        <v>14118764.718798034</v>
      </c>
      <c r="D42" s="32">
        <f>D41*(D39+D40)</f>
        <v>127547.94410547893</v>
      </c>
      <c r="E42" s="32">
        <f t="shared" ref="E42:G42" si="5">E41*(E39+E40)</f>
        <v>401313.1977173349</v>
      </c>
      <c r="F42" s="32">
        <f t="shared" si="5"/>
        <v>685275.73570131371</v>
      </c>
      <c r="G42" s="32">
        <f t="shared" si="5"/>
        <v>748222.48579359264</v>
      </c>
      <c r="H42" s="32">
        <f>H41*(H39+H40)</f>
        <v>12156405.355480313</v>
      </c>
      <c r="I42" s="32"/>
    </row>
    <row r="43" spans="1:9">
      <c r="A43" s="1" t="s">
        <v>90</v>
      </c>
      <c r="C43" s="32">
        <f>'Pro Forma Balance Sheet'!E23+'Pro Forma Balance Sheet'!E22</f>
        <v>400000</v>
      </c>
      <c r="D43" s="4"/>
      <c r="E43" s="4"/>
      <c r="F43" s="4"/>
      <c r="G43" s="4"/>
      <c r="H43" s="4"/>
      <c r="I43" s="4"/>
    </row>
    <row r="44" spans="1:9" ht="15">
      <c r="A44" s="16" t="s">
        <v>76</v>
      </c>
      <c r="B44" s="16"/>
      <c r="C44" s="66">
        <f>C42-C43</f>
        <v>13718764.718798034</v>
      </c>
      <c r="D44" s="4" t="s">
        <v>5</v>
      </c>
      <c r="E44" s="4" t="s">
        <v>5</v>
      </c>
      <c r="F44" s="4"/>
      <c r="G44" s="4"/>
      <c r="H44" s="32"/>
      <c r="I44" s="4"/>
    </row>
    <row r="45" spans="1:9">
      <c r="A45" s="1" t="s">
        <v>77</v>
      </c>
      <c r="C45" s="73">
        <f>C44/C5*1000</f>
        <v>246.79733577352548</v>
      </c>
      <c r="D45" s="4"/>
      <c r="E45" s="4"/>
      <c r="F45" s="4"/>
      <c r="G45" s="26"/>
      <c r="H45" s="4"/>
      <c r="I45" s="4"/>
    </row>
    <row r="47" spans="1:9" ht="15">
      <c r="A47" s="64" t="s">
        <v>158</v>
      </c>
      <c r="B47" s="65"/>
      <c r="C47" s="65"/>
      <c r="D47" s="68">
        <v>2013</v>
      </c>
      <c r="E47" s="68">
        <v>2014</v>
      </c>
      <c r="F47" s="68">
        <v>2015</v>
      </c>
      <c r="G47" s="68">
        <v>2016</v>
      </c>
      <c r="H47" s="68">
        <v>2017</v>
      </c>
      <c r="I47" s="68" t="s">
        <v>70</v>
      </c>
    </row>
    <row r="48" spans="1:9">
      <c r="A48" s="1" t="s">
        <v>40</v>
      </c>
      <c r="C48" s="32"/>
      <c r="D48" s="32">
        <f>'Pro Forma Income Statement'!F20</f>
        <v>197143.95913785041</v>
      </c>
      <c r="E48" s="32">
        <f>'Pro Forma Income Statement'!G20</f>
        <v>426982.8758133236</v>
      </c>
      <c r="F48" s="32">
        <f>'Pro Forma Income Statement'!H20</f>
        <v>785816.39166522643</v>
      </c>
      <c r="G48" s="32">
        <f>'Pro Forma Income Statement'!I20</f>
        <v>1017749.7042318368</v>
      </c>
      <c r="H48" s="32">
        <f>'Pro Forma Income Statement'!J20</f>
        <v>1079132.4796539538</v>
      </c>
      <c r="I48" s="32">
        <f>'Pro Forma Income Statement'!K20</f>
        <v>1018290.780348768</v>
      </c>
    </row>
    <row r="49" spans="1:9">
      <c r="A49" s="71" t="s">
        <v>92</v>
      </c>
      <c r="C49" s="32"/>
      <c r="D49" s="32">
        <f t="shared" ref="D49:I49" si="6">D37</f>
        <v>20067.46344614973</v>
      </c>
      <c r="E49" s="32">
        <f t="shared" si="6"/>
        <v>20682.045171876096</v>
      </c>
      <c r="F49" s="32">
        <f t="shared" si="6"/>
        <v>20401.3451030455</v>
      </c>
      <c r="G49" s="32">
        <f t="shared" si="6"/>
        <v>20797.506688358048</v>
      </c>
      <c r="H49" s="32">
        <f t="shared" si="6"/>
        <v>21760.219388992457</v>
      </c>
      <c r="I49" s="32">
        <f t="shared" si="6"/>
        <v>22118.952155907078</v>
      </c>
    </row>
    <row r="50" spans="1:9">
      <c r="A50" s="1" t="s">
        <v>120</v>
      </c>
      <c r="C50" s="32"/>
      <c r="D50" s="32">
        <f>'Pro Forma Balance Sheet'!E32+'Pro Forma Balance Sheet'!E23+'Pro Forma Balance Sheet'!E22</f>
        <v>1144673</v>
      </c>
      <c r="E50" s="32">
        <f>'Pro Forma Balance Sheet'!F32+'Pro Forma Balance Sheet'!F23+'Pro Forma Balance Sheet'!F22</f>
        <v>1225882.5815577449</v>
      </c>
      <c r="F50" s="32">
        <f>'Pro Forma Balance Sheet'!G32+'Pro Forma Balance Sheet'!G23+'Pro Forma Balance Sheet'!G22</f>
        <v>1217273.1143170665</v>
      </c>
      <c r="G50" s="32">
        <f>'Pro Forma Balance Sheet'!H32+'Pro Forma Balance Sheet'!H23+'Pro Forma Balance Sheet'!H22</f>
        <v>1192723.6765124891</v>
      </c>
      <c r="H50" s="32">
        <f>'Pro Forma Balance Sheet'!I32+'Pro Forma Balance Sheet'!I23+'Pro Forma Balance Sheet'!I22</f>
        <v>1264071.4084702625</v>
      </c>
      <c r="I50" s="32">
        <f>'Pro Forma Balance Sheet'!J32+'Pro Forma Balance Sheet'!J23+'Pro Forma Balance Sheet'!J22</f>
        <v>1306448.2621856877</v>
      </c>
    </row>
    <row r="51" spans="1:9">
      <c r="A51" s="1" t="s">
        <v>79</v>
      </c>
      <c r="C51" s="32"/>
      <c r="D51" s="32">
        <f>$C$4*D50</f>
        <v>75869.098619049022</v>
      </c>
      <c r="E51" s="32">
        <f t="shared" ref="E51:I51" si="7">$C$4*E50</f>
        <v>81251.681900052645</v>
      </c>
      <c r="F51" s="32">
        <f t="shared" si="7"/>
        <v>80681.045116324443</v>
      </c>
      <c r="G51" s="32">
        <f t="shared" si="7"/>
        <v>79053.904685967747</v>
      </c>
      <c r="H51" s="32">
        <f t="shared" si="7"/>
        <v>83782.843092088791</v>
      </c>
      <c r="I51" s="32">
        <f t="shared" si="7"/>
        <v>86591.587330574897</v>
      </c>
    </row>
    <row r="52" spans="1:9">
      <c r="A52" s="1" t="s">
        <v>80</v>
      </c>
      <c r="C52" s="32"/>
      <c r="D52" s="32">
        <f>D48+D49-D51</f>
        <v>141342.32396495109</v>
      </c>
      <c r="E52" s="32">
        <f t="shared" ref="E52:I52" si="8">E48+E49-E51</f>
        <v>366413.23908514704</v>
      </c>
      <c r="F52" s="32">
        <f t="shared" si="8"/>
        <v>725536.69165194745</v>
      </c>
      <c r="G52" s="32">
        <f t="shared" si="8"/>
        <v>959493.30623422714</v>
      </c>
      <c r="H52" s="32">
        <f t="shared" si="8"/>
        <v>1017109.8559508575</v>
      </c>
      <c r="I52" s="32">
        <f t="shared" si="8"/>
        <v>953818.14517410018</v>
      </c>
    </row>
    <row r="53" spans="1:9">
      <c r="A53" s="1" t="s">
        <v>88</v>
      </c>
      <c r="C53" s="32"/>
      <c r="D53" s="32"/>
      <c r="E53" s="32"/>
      <c r="F53" s="32"/>
      <c r="G53" s="32"/>
      <c r="H53" s="32">
        <f>I52/C4</f>
        <v>14390705.802015997</v>
      </c>
      <c r="I53" s="32"/>
    </row>
    <row r="54" spans="1:9" ht="15">
      <c r="A54" s="16" t="s">
        <v>75</v>
      </c>
      <c r="B54" s="16"/>
      <c r="C54" s="72"/>
      <c r="D54" s="32">
        <f>1/(1+$C$4)^1</f>
        <v>0.93783983468911947</v>
      </c>
      <c r="E54" s="32">
        <f>1/(1+$C$4)^2</f>
        <v>0.87954355552971497</v>
      </c>
      <c r="F54" s="32">
        <f>1/(1+$C$4)^3</f>
        <v>0.82487098271986825</v>
      </c>
      <c r="G54" s="74">
        <f>1/(1+$C$4)^4</f>
        <v>0.7735968660738527</v>
      </c>
      <c r="H54" s="32">
        <f>1/(1+$C$4)^5</f>
        <v>0.72550995699472298</v>
      </c>
      <c r="I54" s="72"/>
    </row>
    <row r="55" spans="1:9" ht="15">
      <c r="A55" s="1" t="s">
        <v>93</v>
      </c>
      <c r="C55" s="72">
        <f>SUM(D55:H55)</f>
        <v>12974091.71879803</v>
      </c>
      <c r="D55" s="32">
        <f>D54*(D52+D53)</f>
        <v>132556.4617418657</v>
      </c>
      <c r="E55" s="32">
        <f t="shared" ref="E55:H55" si="9">E54*(E52+E53)</f>
        <v>322276.40309810976</v>
      </c>
      <c r="F55" s="32">
        <f t="shared" si="9"/>
        <v>598474.16384226386</v>
      </c>
      <c r="G55" s="32">
        <f t="shared" si="9"/>
        <v>742261.01472163759</v>
      </c>
      <c r="H55" s="32">
        <f t="shared" si="9"/>
        <v>11178523.675394153</v>
      </c>
      <c r="I55" s="32"/>
    </row>
    <row r="56" spans="1:9">
      <c r="A56" s="1" t="s">
        <v>122</v>
      </c>
      <c r="C56" s="38">
        <f>'Pro Forma Balance Sheet'!E32</f>
        <v>744673</v>
      </c>
      <c r="D56" s="32"/>
      <c r="E56" s="32"/>
      <c r="F56" s="32"/>
      <c r="G56" s="32"/>
      <c r="H56" s="32"/>
      <c r="I56" s="32"/>
    </row>
    <row r="57" spans="1:9" ht="15">
      <c r="A57" s="16" t="s">
        <v>76</v>
      </c>
      <c r="B57" s="16"/>
      <c r="C57" s="66">
        <f>C55+C56</f>
        <v>13718764.71879803</v>
      </c>
      <c r="D57" s="32"/>
      <c r="E57" s="32"/>
      <c r="F57" s="32"/>
      <c r="G57" s="32"/>
      <c r="H57" s="32"/>
      <c r="I57" s="32"/>
    </row>
    <row r="58" spans="1:9">
      <c r="A58" s="1" t="s">
        <v>77</v>
      </c>
      <c r="C58" s="73">
        <f>C57/C5*1000</f>
        <v>246.79733577352539</v>
      </c>
      <c r="D58" s="38"/>
      <c r="E58" s="38"/>
      <c r="F58" s="38"/>
      <c r="G58" s="38"/>
      <c r="H58" s="38"/>
      <c r="I58" s="38"/>
    </row>
    <row r="59" spans="1:9">
      <c r="D59" s="1" t="s">
        <v>5</v>
      </c>
    </row>
  </sheetData>
  <pageMargins left="0.7" right="0.7" top="0.75" bottom="0.75" header="0.3" footer="0.3"/>
  <pageSetup scale="80" orientation="landscape" r:id="rId1"/>
  <headerFooter>
    <oddHeader>&amp;L&amp;"Arial,Bold"Appendix C</oddHeader>
  </headerFooter>
  <rowBreaks count="1" manualBreakCount="1">
    <brk id="3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51"/>
  <sheetViews>
    <sheetView topLeftCell="A34" workbookViewId="0">
      <selection activeCell="D38" sqref="D38"/>
    </sheetView>
  </sheetViews>
  <sheetFormatPr defaultColWidth="9.140625" defaultRowHeight="14.25"/>
  <cols>
    <col min="1" max="1" width="51.28515625" style="1" bestFit="1" customWidth="1"/>
    <col min="2" max="2" width="9.28515625" style="1" bestFit="1" customWidth="1"/>
    <col min="3" max="3" width="0.140625" style="3" customWidth="1"/>
    <col min="4" max="9" width="14.5703125" style="1" bestFit="1" customWidth="1"/>
    <col min="10" max="16384" width="9.140625" style="1"/>
  </cols>
  <sheetData>
    <row r="1" spans="1:9" ht="23.25">
      <c r="A1" s="5" t="s">
        <v>166</v>
      </c>
      <c r="D1" s="4"/>
      <c r="I1" s="4"/>
    </row>
    <row r="2" spans="1:9" ht="4.5" customHeight="1">
      <c r="D2" s="4"/>
      <c r="I2" s="4"/>
    </row>
    <row r="3" spans="1:9" s="4" customFormat="1" ht="15" customHeight="1">
      <c r="C3" s="105" t="s">
        <v>2</v>
      </c>
      <c r="D3" s="150" t="s">
        <v>3</v>
      </c>
      <c r="E3" s="151"/>
      <c r="F3" s="151"/>
      <c r="G3" s="151"/>
      <c r="H3" s="151"/>
      <c r="I3" s="151"/>
    </row>
    <row r="4" spans="1:9" s="4" customFormat="1" ht="15">
      <c r="A4" s="4" t="s">
        <v>28</v>
      </c>
      <c r="C4" s="54">
        <v>2012</v>
      </c>
      <c r="D4" s="9">
        <v>2013</v>
      </c>
      <c r="E4" s="9">
        <v>2014</v>
      </c>
      <c r="F4" s="9">
        <v>2015</v>
      </c>
      <c r="G4" s="9">
        <v>2016</v>
      </c>
      <c r="H4" s="9">
        <v>2017</v>
      </c>
      <c r="I4" s="9">
        <v>2018</v>
      </c>
    </row>
    <row r="5" spans="1:9" s="4" customFormat="1">
      <c r="A5" s="4" t="s">
        <v>29</v>
      </c>
      <c r="C5" s="24">
        <v>3609282</v>
      </c>
      <c r="D5" s="23">
        <f>C5*Assumption!C5</f>
        <v>4331138.3999999994</v>
      </c>
      <c r="E5" s="23">
        <f>D5*Assumption!D5</f>
        <v>5413922.9999999991</v>
      </c>
      <c r="F5" s="23">
        <f>E5*Assumption!E5</f>
        <v>7038099.8999999994</v>
      </c>
      <c r="G5" s="23">
        <f>F5*Assumption!F5</f>
        <v>8445719.879999999</v>
      </c>
      <c r="H5" s="23">
        <f>G5*Assumption!G5</f>
        <v>9290291.8679999989</v>
      </c>
      <c r="I5" s="23">
        <f>H5*Assumption!H5</f>
        <v>9290291.8679999989</v>
      </c>
    </row>
    <row r="6" spans="1:9" s="4" customFormat="1">
      <c r="A6" s="4" t="s">
        <v>188</v>
      </c>
      <c r="C6" s="24"/>
      <c r="D6" s="23">
        <v>9156</v>
      </c>
      <c r="E6" s="23">
        <v>9156</v>
      </c>
      <c r="F6" s="23">
        <v>9156</v>
      </c>
      <c r="G6" s="23">
        <v>9156</v>
      </c>
      <c r="H6" s="23">
        <v>9156</v>
      </c>
      <c r="I6" s="23">
        <v>9156</v>
      </c>
    </row>
    <row r="7" spans="1:9" s="4" customFormat="1">
      <c r="A7" s="4" t="s">
        <v>30</v>
      </c>
      <c r="C7" s="24">
        <v>-2625866</v>
      </c>
      <c r="D7" s="13">
        <f>-'Pro Forma Income Statement'!F26</f>
        <v>-2903028.9199999995</v>
      </c>
      <c r="E7" s="13">
        <f>-'Pro Forma Income Statement'!G26</f>
        <v>-3353209.1699999995</v>
      </c>
      <c r="F7" s="13">
        <f>-'Pro Forma Income Statement'!H26</f>
        <v>-4009973.8874999993</v>
      </c>
      <c r="G7" s="13">
        <f>-'Pro Forma Income Statement'!I26</f>
        <v>-4717225.0124999993</v>
      </c>
      <c r="H7" s="13">
        <f>-'Pro Forma Income Statement'!J26</f>
        <v>-5276923.7624999993</v>
      </c>
      <c r="I7" s="13">
        <f>-'Pro Forma Income Statement'!K26</f>
        <v>-5382495.2609999999</v>
      </c>
    </row>
    <row r="8" spans="1:9">
      <c r="A8" s="34" t="s">
        <v>31</v>
      </c>
      <c r="C8" s="12">
        <v>-484729</v>
      </c>
      <c r="D8" s="13">
        <f>-Assumption!C11*'Standard Finance Template'!D5</f>
        <v>-581674.79999999993</v>
      </c>
      <c r="E8" s="13">
        <f>-Assumption!D11*'Standard Finance Template'!E5</f>
        <v>-727093.49999999988</v>
      </c>
      <c r="F8" s="13">
        <f>-Assumption!E11*'Standard Finance Template'!F5</f>
        <v>-945221.54999999993</v>
      </c>
      <c r="G8" s="13">
        <f>-Assumption!F11*'Standard Finance Template'!G5</f>
        <v>-1134265.8599999999</v>
      </c>
      <c r="H8" s="13">
        <f>-Assumption!G11*'Standard Finance Template'!H5</f>
        <v>-1247692.4459999998</v>
      </c>
      <c r="I8" s="13">
        <f>-Assumption!H11*'Standard Finance Template'!I5</f>
        <v>-1247692.4459999998</v>
      </c>
    </row>
    <row r="9" spans="1:9">
      <c r="A9" s="34" t="s">
        <v>32</v>
      </c>
      <c r="C9" s="12">
        <v>-329008</v>
      </c>
      <c r="D9" s="13">
        <f>-'Pro Forma Income Statement'!F31</f>
        <v>-348846.65879999998</v>
      </c>
      <c r="E9" s="13">
        <f>-'Pro Forma Income Statement'!G31</f>
        <v>-426701.07163999998</v>
      </c>
      <c r="F9" s="13">
        <f>-'Pro Forma Income Statement'!H31</f>
        <v>-543024.23033040005</v>
      </c>
      <c r="G9" s="13">
        <f>-'Pro Forma Income Statement'!I31</f>
        <v>-644060.82364041603</v>
      </c>
      <c r="H9" s="13">
        <f>-'Pro Forma Income Statement'!J31</f>
        <v>-704756.31097103236</v>
      </c>
      <c r="I9" s="13">
        <f>-'Pro Forma Income Statement'!K31</f>
        <v>-705295.28008203267</v>
      </c>
    </row>
    <row r="10" spans="1:9" s="4" customFormat="1" ht="16.5">
      <c r="A10" s="40" t="s">
        <v>33</v>
      </c>
      <c r="C10" s="22">
        <v>-119687</v>
      </c>
      <c r="D10" s="21">
        <f>C10*Assumption!C10</f>
        <v>-125671.35</v>
      </c>
      <c r="E10" s="21">
        <f>D10*Assumption!D10</f>
        <v>-130698.20400000001</v>
      </c>
      <c r="F10" s="21">
        <f>E10*Assumption!E10</f>
        <v>-134619.15012000001</v>
      </c>
      <c r="G10" s="21">
        <f>F10*Assumption!F10</f>
        <v>-137311.5331224</v>
      </c>
      <c r="H10" s="21">
        <f>G10*Assumption!G10</f>
        <v>-138684.64845362399</v>
      </c>
      <c r="I10" s="21">
        <f>H10*Assumption!H10</f>
        <v>-138684.64845362399</v>
      </c>
    </row>
    <row r="11" spans="1:9" ht="15">
      <c r="A11" s="16" t="s">
        <v>34</v>
      </c>
      <c r="C11" s="18">
        <f t="shared" ref="C11" si="0">C5+SUM(C7:C10)</f>
        <v>49992</v>
      </c>
      <c r="D11" s="17">
        <f t="shared" ref="D11:I11" si="1">D5+D6+SUM(D7:D10)</f>
        <v>381072.67120000022</v>
      </c>
      <c r="E11" s="17">
        <f t="shared" si="1"/>
        <v>785377.05435999949</v>
      </c>
      <c r="F11" s="17">
        <f t="shared" si="1"/>
        <v>1414417.0820495998</v>
      </c>
      <c r="G11" s="17">
        <f t="shared" si="1"/>
        <v>1822012.6507371841</v>
      </c>
      <c r="H11" s="17">
        <f t="shared" si="1"/>
        <v>1931390.7000753442</v>
      </c>
      <c r="I11" s="17">
        <f t="shared" si="1"/>
        <v>1825280.2324643424</v>
      </c>
    </row>
    <row r="12" spans="1:9" s="4" customFormat="1">
      <c r="C12" s="24"/>
      <c r="D12" s="13"/>
      <c r="E12" s="23"/>
      <c r="F12" s="23"/>
      <c r="G12" s="23"/>
      <c r="H12" s="23"/>
      <c r="I12" s="23"/>
    </row>
    <row r="13" spans="1:9" ht="16.5">
      <c r="A13" s="41" t="s">
        <v>39</v>
      </c>
      <c r="C13" s="15">
        <v>13328</v>
      </c>
      <c r="D13" s="87">
        <f>Assumption!C17*'Standard Finance Template'!D11</f>
        <v>163861.24861600008</v>
      </c>
      <c r="E13" s="87">
        <f>Assumption!D17*'Standard Finance Template'!E11</f>
        <v>337712.1333747998</v>
      </c>
      <c r="F13" s="87">
        <f>Assumption!E17*'Standard Finance Template'!F11</f>
        <v>608199.34528132796</v>
      </c>
      <c r="G13" s="87">
        <f>Assumption!F17*'Standard Finance Template'!G11</f>
        <v>783465.43981698912</v>
      </c>
      <c r="H13" s="87">
        <f>Assumption!G17*'Standard Finance Template'!H11</f>
        <v>830498.00103239797</v>
      </c>
      <c r="I13" s="87">
        <f>Assumption!H17*'Standard Finance Template'!I11</f>
        <v>784870.49995966721</v>
      </c>
    </row>
    <row r="14" spans="1:9" s="4" customFormat="1">
      <c r="C14" s="24"/>
      <c r="D14" s="13"/>
      <c r="E14" s="23"/>
      <c r="F14" s="23"/>
      <c r="G14" s="23"/>
      <c r="H14" s="23"/>
      <c r="I14" s="23"/>
    </row>
    <row r="15" spans="1:9" s="4" customFormat="1">
      <c r="A15" s="4" t="s">
        <v>133</v>
      </c>
      <c r="C15" s="24">
        <f t="shared" ref="C15:I15" si="2">C11-C13</f>
        <v>36664</v>
      </c>
      <c r="D15" s="85">
        <f t="shared" si="2"/>
        <v>217211.42258400013</v>
      </c>
      <c r="E15" s="85">
        <f t="shared" si="2"/>
        <v>447664.92098519969</v>
      </c>
      <c r="F15" s="85">
        <f t="shared" si="2"/>
        <v>806217.73676827189</v>
      </c>
      <c r="G15" s="85">
        <f t="shared" si="2"/>
        <v>1038547.210920195</v>
      </c>
      <c r="H15" s="85">
        <f t="shared" si="2"/>
        <v>1100892.6990429461</v>
      </c>
      <c r="I15" s="85">
        <f t="shared" si="2"/>
        <v>1040409.7325046752</v>
      </c>
    </row>
    <row r="16" spans="1:9" s="4" customFormat="1">
      <c r="A16" s="41" t="s">
        <v>159</v>
      </c>
      <c r="C16" s="24">
        <v>1656614</v>
      </c>
      <c r="D16" s="85">
        <f>'Pro Forma Income Statement'!F24</f>
        <v>1476491.7199999997</v>
      </c>
      <c r="E16" s="85">
        <f>'Pro Forma Income Statement'!G24</f>
        <v>1570037.6699999997</v>
      </c>
      <c r="F16" s="85">
        <f>'Pro Forma Income Statement'!H24</f>
        <v>1691850.9374999998</v>
      </c>
      <c r="G16" s="85">
        <f>'Pro Forma Income Statement'!I24</f>
        <v>1935477.4724999997</v>
      </c>
      <c r="H16" s="85">
        <f>'Pro Forma Income Statement'!J24</f>
        <v>2217001.4684999995</v>
      </c>
      <c r="I16" s="85">
        <f>'Pro Forma Income Statement'!K24</f>
        <v>2322572.9669999997</v>
      </c>
    </row>
    <row r="17" spans="1:9" s="4" customFormat="1">
      <c r="A17" s="41" t="s">
        <v>160</v>
      </c>
      <c r="C17" s="24">
        <v>45469</v>
      </c>
      <c r="D17" s="85">
        <f>'Pro Forma Income Statement'!F29</f>
        <v>45666.970800000003</v>
      </c>
      <c r="E17" s="85">
        <f>'Pro Forma Income Statement'!G29</f>
        <v>47726.461640000001</v>
      </c>
      <c r="F17" s="85">
        <f>'Pro Forma Income Statement'!H29</f>
        <v>50357.237330400014</v>
      </c>
      <c r="G17" s="85">
        <f>'Pro Forma Income Statement'!I29</f>
        <v>52860.43204041601</v>
      </c>
      <c r="H17" s="85">
        <f>'Pro Forma Income Statement'!J29</f>
        <v>54435.880211032338</v>
      </c>
      <c r="I17" s="85">
        <f>'Pro Forma Income Statement'!K29</f>
        <v>54974.849322032656</v>
      </c>
    </row>
    <row r="18" spans="1:9" s="4" customFormat="1">
      <c r="A18" s="41" t="s">
        <v>162</v>
      </c>
      <c r="B18" s="1"/>
      <c r="C18" s="24">
        <v>-30071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</row>
    <row r="19" spans="1:9" s="4" customFormat="1">
      <c r="A19" s="34"/>
      <c r="B19" s="1"/>
      <c r="C19" s="24"/>
      <c r="D19" s="85"/>
      <c r="E19" s="85"/>
      <c r="F19" s="85"/>
      <c r="G19" s="85"/>
      <c r="H19" s="85"/>
      <c r="I19" s="85"/>
    </row>
    <row r="20" spans="1:9" s="4" customFormat="1" ht="15">
      <c r="A20" s="55" t="s">
        <v>134</v>
      </c>
      <c r="C20" s="24">
        <f>SUM(C15:C18)</f>
        <v>1708676</v>
      </c>
      <c r="D20" s="23">
        <f t="shared" ref="D20:I20" si="3">SUM(D15:D17)</f>
        <v>1739370.1133839998</v>
      </c>
      <c r="E20" s="23">
        <f t="shared" si="3"/>
        <v>2065429.0526251995</v>
      </c>
      <c r="F20" s="23">
        <f t="shared" si="3"/>
        <v>2548425.9115986717</v>
      </c>
      <c r="G20" s="23">
        <f t="shared" si="3"/>
        <v>3026885.1154606109</v>
      </c>
      <c r="H20" s="23">
        <f t="shared" si="3"/>
        <v>3372330.0477539781</v>
      </c>
      <c r="I20" s="23">
        <f t="shared" si="3"/>
        <v>3417957.5488267075</v>
      </c>
    </row>
    <row r="21" spans="1:9" s="4" customFormat="1">
      <c r="A21" s="122" t="s">
        <v>135</v>
      </c>
      <c r="C21" s="24"/>
      <c r="D21" s="13"/>
      <c r="E21" s="23"/>
      <c r="F21" s="23"/>
      <c r="G21" s="23"/>
      <c r="H21" s="23"/>
      <c r="I21" s="23"/>
    </row>
    <row r="22" spans="1:9" s="4" customFormat="1">
      <c r="A22" s="36" t="s">
        <v>43</v>
      </c>
      <c r="B22" s="1"/>
      <c r="C22" s="24">
        <f>-('Pro Forma Balance Sheet'!E7-'Pro Forma Balance Sheet'!D7)</f>
        <v>-3922</v>
      </c>
      <c r="D22" s="23">
        <f>-('Pro Forma Balance Sheet'!F7-'Pro Forma Balance Sheet'!E7)</f>
        <v>59929</v>
      </c>
      <c r="E22" s="23">
        <f>-('Pro Forma Balance Sheet'!G7-'Pro Forma Balance Sheet'!F7)</f>
        <v>0</v>
      </c>
      <c r="F22" s="23">
        <f>-('Pro Forma Balance Sheet'!H7-'Pro Forma Balance Sheet'!G7)</f>
        <v>0</v>
      </c>
      <c r="G22" s="23">
        <f>-('Pro Forma Balance Sheet'!I7-'Pro Forma Balance Sheet'!H7)</f>
        <v>0</v>
      </c>
      <c r="H22" s="23">
        <f>-('Pro Forma Balance Sheet'!J7-'Pro Forma Balance Sheet'!I7)</f>
        <v>0</v>
      </c>
      <c r="I22" s="23">
        <f>-('Pro Forma Balance Sheet'!K7-'Pro Forma Balance Sheet'!J7)</f>
        <v>0</v>
      </c>
    </row>
    <row r="23" spans="1:9" s="4" customFormat="1">
      <c r="A23" s="36" t="s">
        <v>44</v>
      </c>
      <c r="C23" s="24">
        <f>-('Pro Forma Balance Sheet'!E8-'Pro Forma Balance Sheet'!D8)</f>
        <v>-7292</v>
      </c>
      <c r="D23" s="23">
        <f>-('Pro Forma Balance Sheet'!F8-'Pro Forma Balance Sheet'!E8)</f>
        <v>0</v>
      </c>
      <c r="E23" s="23">
        <f>-('Pro Forma Balance Sheet'!G8-'Pro Forma Balance Sheet'!F8)</f>
        <v>0</v>
      </c>
      <c r="F23" s="23">
        <f>-('Pro Forma Balance Sheet'!H8-'Pro Forma Balance Sheet'!G8)</f>
        <v>0</v>
      </c>
      <c r="G23" s="23">
        <f>-('Pro Forma Balance Sheet'!I8-'Pro Forma Balance Sheet'!H8)</f>
        <v>0</v>
      </c>
      <c r="H23" s="23">
        <f>-('Pro Forma Balance Sheet'!J8-'Pro Forma Balance Sheet'!I8)</f>
        <v>0</v>
      </c>
      <c r="I23" s="23">
        <f>-('Pro Forma Balance Sheet'!K8-'Pro Forma Balance Sheet'!J8)</f>
        <v>0</v>
      </c>
    </row>
    <row r="24" spans="1:9" s="4" customFormat="1">
      <c r="A24" s="36" t="s">
        <v>187</v>
      </c>
      <c r="C24" s="24">
        <v>-4287</v>
      </c>
      <c r="D24" s="13">
        <f>-('Pro Forma Balance Sheet'!F12-'Pro Forma Balance Sheet'!E12)</f>
        <v>-17881.999999999985</v>
      </c>
      <c r="E24" s="23">
        <f>-('Pro Forma Balance Sheet'!G12-'Pro Forma Balance Sheet'!F12)</f>
        <v>-26822.999999999985</v>
      </c>
      <c r="F24" s="23">
        <f>-('Pro Forma Balance Sheet'!H12-'Pro Forma Balance Sheet'!G12)</f>
        <v>-40234.500000000029</v>
      </c>
      <c r="G24" s="23">
        <f>-('Pro Forma Balance Sheet'!I12-'Pro Forma Balance Sheet'!H12)</f>
        <v>-34869.899999999994</v>
      </c>
      <c r="H24" s="23">
        <f>-('Pro Forma Balance Sheet'!J12-'Pro Forma Balance Sheet'!I12)</f>
        <v>-20921.940000000002</v>
      </c>
      <c r="I24" s="23">
        <f>-('Pro Forma Balance Sheet'!K12-'Pro Forma Balance Sheet'!J12)</f>
        <v>0</v>
      </c>
    </row>
    <row r="25" spans="1:9" s="4" customFormat="1">
      <c r="A25" s="36" t="s">
        <v>116</v>
      </c>
      <c r="C25" s="24">
        <f>'Pro Forma Balance Sheet'!E16+'Pro Forma Balance Sheet'!E21-'Pro Forma Balance Sheet'!D16-'Pro Forma Balance Sheet'!D21</f>
        <v>768805</v>
      </c>
      <c r="D25" s="23">
        <f>'Pro Forma Balance Sheet'!F16+'Pro Forma Balance Sheet'!F21-'Pro Forma Balance Sheet'!E16-'Pro Forma Balance Sheet'!E21</f>
        <v>-18031.496000000276</v>
      </c>
      <c r="E25" s="23">
        <f>'Pro Forma Balance Sheet'!G16+'Pro Forma Balance Sheet'!G21-'Pro Forma Balance Sheet'!F16-'Pro Forma Balance Sheet'!F21</f>
        <v>173245.53599999985</v>
      </c>
      <c r="F25" s="23">
        <f>'Pro Forma Balance Sheet'!H16+'Pro Forma Balance Sheet'!H21-'Pro Forma Balance Sheet'!G16-'Pro Forma Balance Sheet'!G21</f>
        <v>216556.92000000039</v>
      </c>
      <c r="G25" s="23">
        <f>'Pro Forma Balance Sheet'!I16+'Pro Forma Balance Sheet'!I21-'Pro Forma Balance Sheet'!H16-'Pro Forma Balance Sheet'!H21</f>
        <v>563047.99199999962</v>
      </c>
      <c r="H25" s="23">
        <f>'Pro Forma Balance Sheet'!J16+'Pro Forma Balance Sheet'!J21-'Pro Forma Balance Sheet'!I16-'Pro Forma Balance Sheet'!I21</f>
        <v>337828.79520000005</v>
      </c>
      <c r="I25" s="23">
        <f>'Pro Forma Balance Sheet'!K16+'Pro Forma Balance Sheet'!K21-'Pro Forma Balance Sheet'!J16-'Pro Forma Balance Sheet'!J21</f>
        <v>0</v>
      </c>
    </row>
    <row r="26" spans="1:9" s="4" customFormat="1">
      <c r="A26" s="36" t="s">
        <v>10</v>
      </c>
      <c r="C26" s="24">
        <f>'Pro Forma Balance Sheet'!E17-'Pro Forma Balance Sheet'!D17</f>
        <v>-524</v>
      </c>
      <c r="D26" s="23">
        <f>'Pro Forma Balance Sheet'!F17-'Pro Forma Balance Sheet'!E17</f>
        <v>14725.229329137524</v>
      </c>
      <c r="E26" s="23">
        <f>'Pro Forma Balance Sheet'!G17-'Pro Forma Balance Sheet'!F17</f>
        <v>21522.802446116591</v>
      </c>
      <c r="F26" s="23">
        <f>'Pro Forma Balance Sheet'!H17-'Pro Forma Balance Sheet'!G17</f>
        <v>31766.420141929004</v>
      </c>
      <c r="G26" s="23">
        <f>'Pro Forma Balance Sheet'!I17-'Pro Forma Balance Sheet'!H17</f>
        <v>27429.929668525525</v>
      </c>
      <c r="H26" s="23">
        <f>'Pro Forma Balance Sheet'!J17-'Pro Forma Balance Sheet'!I17</f>
        <v>16423.292193966161</v>
      </c>
      <c r="I26" s="23">
        <f>'Pro Forma Balance Sheet'!K17-'Pro Forma Balance Sheet'!J17</f>
        <v>0</v>
      </c>
    </row>
    <row r="27" spans="1:9" s="4" customFormat="1">
      <c r="A27" s="36" t="s">
        <v>48</v>
      </c>
      <c r="C27" s="24">
        <f>'Pro Forma Balance Sheet'!E18-'Pro Forma Balance Sheet'!D18</f>
        <v>-1092</v>
      </c>
      <c r="D27" s="23">
        <f>'Pro Forma Balance Sheet'!F18-'Pro Forma Balance Sheet'!E18</f>
        <v>9049.4051131174419</v>
      </c>
      <c r="E27" s="23">
        <f>'Pro Forma Balance Sheet'!G18-'Pro Forma Balance Sheet'!F18</f>
        <v>13226.860794562024</v>
      </c>
      <c r="F27" s="23">
        <f>'Pro Forma Balance Sheet'!H18-'Pro Forma Balance Sheet'!G18</f>
        <v>19522.086782647515</v>
      </c>
      <c r="G27" s="23">
        <f>'Pro Forma Balance Sheet'!I18-'Pro Forma Balance Sheet'!H18</f>
        <v>16857.092018501382</v>
      </c>
      <c r="H27" s="23">
        <f>'Pro Forma Balance Sheet'!J18-'Pro Forma Balance Sheet'!I18</f>
        <v>10092.951425905179</v>
      </c>
      <c r="I27" s="23">
        <f>'Pro Forma Balance Sheet'!K18-'Pro Forma Balance Sheet'!J18</f>
        <v>0</v>
      </c>
    </row>
    <row r="28" spans="1:9" s="4" customFormat="1">
      <c r="A28" s="36" t="s">
        <v>49</v>
      </c>
      <c r="C28" s="24">
        <f>'Pro Forma Balance Sheet'!E19-'Pro Forma Balance Sheet'!D19</f>
        <v>20676</v>
      </c>
      <c r="D28" s="23">
        <f>'Pro Forma Balance Sheet'!F19-'Pro Forma Balance Sheet'!E19</f>
        <v>33894.399999999965</v>
      </c>
      <c r="E28" s="23">
        <f>'Pro Forma Balance Sheet'!G19-'Pro Forma Balance Sheet'!F19</f>
        <v>50841.599999999977</v>
      </c>
      <c r="F28" s="23">
        <f>'Pro Forma Balance Sheet'!H19-'Pro Forma Balance Sheet'!G19</f>
        <v>76262.400000000023</v>
      </c>
      <c r="G28" s="23">
        <f>'Pro Forma Balance Sheet'!I19-'Pro Forma Balance Sheet'!H19</f>
        <v>66094.079999999958</v>
      </c>
      <c r="H28" s="23">
        <f>'Pro Forma Balance Sheet'!J19-'Pro Forma Balance Sheet'!I19</f>
        <v>39656.447999999975</v>
      </c>
      <c r="I28" s="23">
        <f>'Pro Forma Balance Sheet'!K19-'Pro Forma Balance Sheet'!J19</f>
        <v>0</v>
      </c>
    </row>
    <row r="29" spans="1:9" s="4" customFormat="1" ht="16.5">
      <c r="A29" s="36" t="s">
        <v>52</v>
      </c>
      <c r="C29" s="15">
        <f>'Pro Forma Balance Sheet'!E24-'Pro Forma Balance Sheet'!D24</f>
        <v>8966</v>
      </c>
      <c r="D29" s="87">
        <f>'Pro Forma Balance Sheet'!F24-'Pro Forma Balance Sheet'!E24</f>
        <v>0</v>
      </c>
      <c r="E29" s="87">
        <f>'Pro Forma Balance Sheet'!G24-'Pro Forma Balance Sheet'!F24</f>
        <v>0</v>
      </c>
      <c r="F29" s="87">
        <f>'Pro Forma Balance Sheet'!H24-'Pro Forma Balance Sheet'!G24</f>
        <v>0</v>
      </c>
      <c r="G29" s="87">
        <f>'Pro Forma Balance Sheet'!I24-'Pro Forma Balance Sheet'!H24</f>
        <v>0</v>
      </c>
      <c r="H29" s="87">
        <f>'Pro Forma Balance Sheet'!J24-'Pro Forma Balance Sheet'!I24</f>
        <v>0</v>
      </c>
      <c r="I29" s="87">
        <f>'Pro Forma Balance Sheet'!K24-'Pro Forma Balance Sheet'!J24</f>
        <v>0</v>
      </c>
    </row>
    <row r="30" spans="1:9" s="4" customFormat="1">
      <c r="A30" s="121" t="s">
        <v>161</v>
      </c>
      <c r="C30" s="24">
        <f>SUM(C22:C29)</f>
        <v>781330</v>
      </c>
      <c r="D30" s="23">
        <f t="shared" ref="D30:I30" si="4">SUM(D22:D29)</f>
        <v>81684.538442254678</v>
      </c>
      <c r="E30" s="23">
        <f t="shared" si="4"/>
        <v>232013.79924067843</v>
      </c>
      <c r="F30" s="23">
        <f t="shared" si="4"/>
        <v>303873.32692457689</v>
      </c>
      <c r="G30" s="23">
        <f t="shared" si="4"/>
        <v>638559.19368702651</v>
      </c>
      <c r="H30" s="23">
        <f t="shared" si="4"/>
        <v>383079.54681987135</v>
      </c>
      <c r="I30" s="23">
        <f t="shared" si="4"/>
        <v>0</v>
      </c>
    </row>
    <row r="31" spans="1:9" s="4" customFormat="1">
      <c r="C31" s="24"/>
      <c r="D31" s="13"/>
      <c r="E31" s="23" t="s">
        <v>5</v>
      </c>
      <c r="F31" s="23"/>
      <c r="G31" s="23"/>
      <c r="H31" s="23"/>
      <c r="I31" s="23"/>
    </row>
    <row r="32" spans="1:9" s="4" customFormat="1">
      <c r="A32" s="122" t="s">
        <v>136</v>
      </c>
      <c r="C32" s="24"/>
      <c r="D32" s="13"/>
      <c r="E32" s="23"/>
      <c r="F32" s="23"/>
      <c r="G32" s="23"/>
      <c r="H32" s="23"/>
      <c r="I32" s="23"/>
    </row>
    <row r="33" spans="1:9" s="4" customFormat="1">
      <c r="A33" s="123" t="s">
        <v>117</v>
      </c>
      <c r="C33" s="12">
        <v>-2564141</v>
      </c>
      <c r="D33" s="13">
        <f>-('Pro Forma Balance Sheet'!F10+'Pro Forma Balance Sheet'!F6+'Pro Forma Income Statement'!F24-'Pro Forma Balance Sheet'!E6-'Pro Forma Balance Sheet'!E10)</f>
        <v>-1634118.5999999996</v>
      </c>
      <c r="E33" s="13">
        <f>-('Pro Forma Balance Sheet'!G10+'Pro Forma Balance Sheet'!G6+'Pro Forma Income Statement'!G24-'Pro Forma Balance Sheet'!F6-'Pro Forma Balance Sheet'!F10)</f>
        <v>-1786594.5899999994</v>
      </c>
      <c r="F33" s="13">
        <f>-('Pro Forma Balance Sheet'!H10+'Pro Forma Balance Sheet'!H6+'Pro Forma Income Statement'!H24-'Pro Forma Balance Sheet'!G6-'Pro Forma Balance Sheet'!G10)</f>
        <v>-1962547.0874999999</v>
      </c>
      <c r="G33" s="13">
        <f>-('Pro Forma Balance Sheet'!I10+'Pro Forma Balance Sheet'!I6+'Pro Forma Income Statement'!I24-'Pro Forma Balance Sheet'!H6-'Pro Forma Balance Sheet'!H10)</f>
        <v>-2639287.4624999999</v>
      </c>
      <c r="H33" s="13">
        <f>-('Pro Forma Balance Sheet'!J10+'Pro Forma Balance Sheet'!J6+'Pro Forma Income Statement'!J24-'Pro Forma Balance Sheet'!I6-'Pro Forma Balance Sheet'!I10)</f>
        <v>-2639287.4624999994</v>
      </c>
      <c r="I33" s="13">
        <f>-('Pro Forma Balance Sheet'!K10+'Pro Forma Balance Sheet'!K6+'Pro Forma Income Statement'!K24-'Pro Forma Balance Sheet'!J6-'Pro Forma Balance Sheet'!J10)</f>
        <v>-2322572.9669999992</v>
      </c>
    </row>
    <row r="34" spans="1:9" s="4" customFormat="1">
      <c r="A34" s="123" t="s">
        <v>56</v>
      </c>
      <c r="C34" s="12">
        <v>-40797</v>
      </c>
      <c r="D34" s="13">
        <f>-('Pro Forma Balance Sheet'!F11+'Pro Forma Income Statement'!F29-'Pro Forma Balance Sheet'!E11)</f>
        <v>-50934.210800000001</v>
      </c>
      <c r="E34" s="13">
        <f>-('Pro Forma Balance Sheet'!G11+'Pro Forma Income Statement'!G29-'Pro Forma Balance Sheet'!F11)</f>
        <v>-54573.873640000005</v>
      </c>
      <c r="F34" s="13">
        <f>-('Pro Forma Balance Sheet'!H11+'Pro Forma Income Statement'!H29-'Pro Forma Balance Sheet'!G11)</f>
        <v>-58984.97645040002</v>
      </c>
      <c r="G34" s="13">
        <f>-('Pro Forma Balance Sheet'!I11+'Pro Forma Income Statement'!I29-'Pro Forma Balance Sheet'!H11)</f>
        <v>-58957.367685216042</v>
      </c>
      <c r="H34" s="13">
        <f>-('Pro Forma Balance Sheet'!J11+'Pro Forma Income Statement'!J29-'Pro Forma Balance Sheet'!I11)</f>
        <v>-57606.286746328347</v>
      </c>
      <c r="I34" s="13">
        <f>-('Pro Forma Balance Sheet'!K11+'Pro Forma Income Statement'!K29-'Pro Forma Balance Sheet'!J11)</f>
        <v>-54974.849322032649</v>
      </c>
    </row>
    <row r="35" spans="1:9" s="4" customFormat="1" ht="16.5">
      <c r="A35" s="123" t="s">
        <v>118</v>
      </c>
      <c r="C35" s="22">
        <f>-('Pro Forma Balance Sheet'!E20-'Pro Forma Balance Sheet'!D20)</f>
        <v>-450871</v>
      </c>
      <c r="D35" s="21">
        <f>-('Pro Forma Balance Sheet'!F5-'Pro Forma Balance Sheet'!E5)</f>
        <v>0</v>
      </c>
      <c r="E35" s="21">
        <f>-('Pro Forma Balance Sheet'!G5-'Pro Forma Balance Sheet'!F5)</f>
        <v>0</v>
      </c>
      <c r="F35" s="21">
        <f>-('Pro Forma Balance Sheet'!H5-'Pro Forma Balance Sheet'!G5)</f>
        <v>0</v>
      </c>
      <c r="G35" s="21">
        <f>-('Pro Forma Balance Sheet'!I5-'Pro Forma Balance Sheet'!H5)</f>
        <v>0</v>
      </c>
      <c r="H35" s="21">
        <f>-('Pro Forma Balance Sheet'!J5-'Pro Forma Balance Sheet'!I5)</f>
        <v>0</v>
      </c>
      <c r="I35" s="21">
        <f>-('Pro Forma Balance Sheet'!K5-'Pro Forma Balance Sheet'!J5)</f>
        <v>0</v>
      </c>
    </row>
    <row r="36" spans="1:9" s="4" customFormat="1">
      <c r="A36" s="121" t="s">
        <v>163</v>
      </c>
      <c r="C36" s="24">
        <f>SUM(C33:C35)</f>
        <v>-3055809</v>
      </c>
      <c r="D36" s="23">
        <f t="shared" ref="D36:I36" si="5">SUM(D33:D35)</f>
        <v>-1685052.8107999996</v>
      </c>
      <c r="E36" s="23">
        <f t="shared" si="5"/>
        <v>-1841168.4636399993</v>
      </c>
      <c r="F36" s="23">
        <f t="shared" si="5"/>
        <v>-2021532.0639503999</v>
      </c>
      <c r="G36" s="23">
        <f t="shared" si="5"/>
        <v>-2698244.8301852159</v>
      </c>
      <c r="H36" s="23">
        <f t="shared" si="5"/>
        <v>-2696893.7492463277</v>
      </c>
      <c r="I36" s="23">
        <f t="shared" si="5"/>
        <v>-2377547.8163220319</v>
      </c>
    </row>
    <row r="37" spans="1:9" s="4" customFormat="1">
      <c r="A37" s="1"/>
      <c r="C37" s="24"/>
      <c r="D37" s="13"/>
      <c r="E37" s="23"/>
      <c r="F37" s="23"/>
      <c r="G37" s="23"/>
      <c r="H37" s="23"/>
      <c r="I37" s="23"/>
    </row>
    <row r="38" spans="1:9" s="4" customFormat="1" ht="15">
      <c r="A38" s="55" t="s">
        <v>137</v>
      </c>
      <c r="C38" s="24">
        <f>C20+C30+C36</f>
        <v>-565803</v>
      </c>
      <c r="D38" s="23">
        <f t="shared" ref="D38:I38" si="6">D20+D30+D36</f>
        <v>136001.84102625493</v>
      </c>
      <c r="E38" s="23">
        <f t="shared" si="6"/>
        <v>456274.38822587859</v>
      </c>
      <c r="F38" s="23">
        <f t="shared" si="6"/>
        <v>830767.17457284871</v>
      </c>
      <c r="G38" s="23">
        <f t="shared" si="6"/>
        <v>967199.47896242142</v>
      </c>
      <c r="H38" s="23">
        <f t="shared" si="6"/>
        <v>1058515.8453275217</v>
      </c>
      <c r="I38" s="23">
        <f t="shared" si="6"/>
        <v>1040409.7325046756</v>
      </c>
    </row>
    <row r="39" spans="1:9" s="4" customFormat="1">
      <c r="A39" s="1"/>
      <c r="C39" s="24"/>
      <c r="D39" s="13"/>
      <c r="E39" s="23"/>
      <c r="F39" s="23"/>
      <c r="G39" s="23"/>
      <c r="H39" s="23"/>
      <c r="I39" s="23"/>
    </row>
    <row r="40" spans="1:9" s="4" customFormat="1">
      <c r="A40" s="4" t="s">
        <v>164</v>
      </c>
      <c r="C40" s="24"/>
      <c r="D40" s="29">
        <f>'Valuation '!D39</f>
        <v>136001.84102625505</v>
      </c>
      <c r="E40" s="29">
        <f>'Valuation '!E39</f>
        <v>456274.38822587871</v>
      </c>
      <c r="F40" s="29">
        <f>'Valuation '!F39</f>
        <v>830767.17457284825</v>
      </c>
      <c r="G40" s="29">
        <f>'Valuation '!G39</f>
        <v>967199.47896242165</v>
      </c>
      <c r="H40" s="29">
        <f>'Valuation '!H39</f>
        <v>1058515.8453275217</v>
      </c>
      <c r="I40" s="29">
        <f>'Valuation '!I39</f>
        <v>1040409.7325046755</v>
      </c>
    </row>
    <row r="41" spans="1:9">
      <c r="A41" s="23"/>
      <c r="B41" s="23"/>
      <c r="C41" s="24"/>
      <c r="D41" s="29"/>
      <c r="E41" s="29"/>
      <c r="F41" s="29"/>
      <c r="G41" s="29"/>
      <c r="H41" s="29"/>
      <c r="I41" s="29"/>
    </row>
    <row r="42" spans="1:9">
      <c r="A42" s="41" t="s">
        <v>165</v>
      </c>
      <c r="D42" s="29">
        <f>D38-D40</f>
        <v>0</v>
      </c>
      <c r="E42" s="124">
        <f t="shared" ref="E42:I42" si="7">E38-E40</f>
        <v>0</v>
      </c>
      <c r="F42" s="29">
        <f t="shared" si="7"/>
        <v>0</v>
      </c>
      <c r="G42" s="29">
        <f t="shared" si="7"/>
        <v>0</v>
      </c>
      <c r="H42" s="29">
        <f t="shared" si="7"/>
        <v>0</v>
      </c>
      <c r="I42" s="29">
        <f t="shared" si="7"/>
        <v>0</v>
      </c>
    </row>
    <row r="45" spans="1:9" ht="15">
      <c r="A45" s="55" t="s">
        <v>137</v>
      </c>
      <c r="B45" s="4"/>
      <c r="C45" s="24">
        <f>C27+C37+C43</f>
        <v>-1092</v>
      </c>
      <c r="D45" s="23">
        <f>D38</f>
        <v>136001.84102625493</v>
      </c>
      <c r="E45" s="23">
        <f t="shared" ref="E45:I45" si="8">E38</f>
        <v>456274.38822587859</v>
      </c>
      <c r="F45" s="23">
        <f t="shared" si="8"/>
        <v>830767.17457284871</v>
      </c>
      <c r="G45" s="23">
        <f t="shared" si="8"/>
        <v>967199.47896242142</v>
      </c>
      <c r="H45" s="23">
        <f t="shared" si="8"/>
        <v>1058515.8453275217</v>
      </c>
      <c r="I45" s="23">
        <f t="shared" si="8"/>
        <v>1040409.7325046756</v>
      </c>
    </row>
    <row r="46" spans="1:9">
      <c r="A46" s="4" t="s">
        <v>189</v>
      </c>
      <c r="B46" s="4"/>
      <c r="C46" s="24"/>
      <c r="D46" s="23">
        <f>-'Valuation '!D37</f>
        <v>-20067.46344614973</v>
      </c>
      <c r="E46" s="23">
        <f>-'Valuation '!E37</f>
        <v>-20682.045171876096</v>
      </c>
      <c r="F46" s="23">
        <f>-'Valuation '!F37</f>
        <v>-20401.3451030455</v>
      </c>
      <c r="G46" s="23">
        <f>-'Valuation '!G37</f>
        <v>-20797.506688358048</v>
      </c>
      <c r="H46" s="23">
        <f>-'Valuation '!H37</f>
        <v>-21760.219388992457</v>
      </c>
      <c r="I46" s="23">
        <f>-'Valuation '!I37</f>
        <v>-22118.952155907078</v>
      </c>
    </row>
    <row r="47" spans="1:9">
      <c r="A47" s="4" t="s">
        <v>131</v>
      </c>
      <c r="B47" s="4"/>
      <c r="C47" s="24"/>
      <c r="D47" s="23">
        <f>'Pro Forma Cash Flow'!D24</f>
        <v>28378.264030948456</v>
      </c>
      <c r="E47" s="23">
        <f>'Pro Forma Cash Flow'!E24</f>
        <v>-3008.5333508095355</v>
      </c>
      <c r="F47" s="23">
        <f>'Pro Forma Cash Flow'!F24</f>
        <v>-8578.6727928683395</v>
      </c>
      <c r="G47" s="23">
        <f>'Pro Forma Cash Flow'!G24</f>
        <v>24932.092207215028</v>
      </c>
      <c r="H47" s="23">
        <f>'Pro Forma Cash Flow'!H24</f>
        <v>14808.370151274488</v>
      </c>
      <c r="I47" s="23">
        <f>'Pro Forma Cash Flow'!I24</f>
        <v>0</v>
      </c>
    </row>
    <row r="48" spans="1:9">
      <c r="B48" s="4"/>
      <c r="C48" s="24"/>
      <c r="D48" s="13">
        <f>SUM(D45:D47)</f>
        <v>144312.64161105367</v>
      </c>
      <c r="E48" s="13">
        <f t="shared" ref="E48:I48" si="9">SUM(E45:E47)</f>
        <v>432583.80970319296</v>
      </c>
      <c r="F48" s="13">
        <f t="shared" si="9"/>
        <v>801787.15667693492</v>
      </c>
      <c r="G48" s="13">
        <f t="shared" si="9"/>
        <v>971334.06448127842</v>
      </c>
      <c r="H48" s="13">
        <f t="shared" si="9"/>
        <v>1051563.9960898038</v>
      </c>
      <c r="I48" s="13">
        <f t="shared" si="9"/>
        <v>1018290.7803487686</v>
      </c>
    </row>
    <row r="49" spans="1:9">
      <c r="A49" s="4" t="s">
        <v>193</v>
      </c>
      <c r="B49" s="4"/>
      <c r="C49" s="24"/>
      <c r="D49" s="29">
        <f>'Valuation '!D10</f>
        <v>144312.64161105407</v>
      </c>
      <c r="E49" s="29">
        <f>'Valuation '!E10</f>
        <v>432583.80970319221</v>
      </c>
      <c r="F49" s="29">
        <f>'Valuation '!F10</f>
        <v>801787.1566769355</v>
      </c>
      <c r="G49" s="29">
        <f>'Valuation '!G10</f>
        <v>971334.06448127842</v>
      </c>
      <c r="H49" s="29">
        <f>'Valuation '!H10</f>
        <v>1051563.9960898033</v>
      </c>
      <c r="I49" s="29">
        <f>'Valuation '!I10</f>
        <v>1018290.780348768</v>
      </c>
    </row>
    <row r="50" spans="1:9">
      <c r="A50" s="23"/>
      <c r="B50" s="23"/>
      <c r="C50" s="24"/>
      <c r="D50" s="29"/>
      <c r="E50" s="29"/>
      <c r="F50" s="29"/>
      <c r="G50" s="29"/>
      <c r="H50" s="29"/>
      <c r="I50" s="29"/>
    </row>
    <row r="51" spans="1:9">
      <c r="A51" s="41" t="s">
        <v>165</v>
      </c>
      <c r="D51" s="29">
        <f>D48-D49</f>
        <v>-4.0745362639427185E-10</v>
      </c>
      <c r="E51" s="29">
        <f t="shared" ref="E51:I51" si="10">E48-E49</f>
        <v>7.5669959187507629E-10</v>
      </c>
      <c r="F51" s="29">
        <f t="shared" si="10"/>
        <v>0</v>
      </c>
      <c r="G51" s="29">
        <f t="shared" si="10"/>
        <v>0</v>
      </c>
      <c r="H51" s="29">
        <f t="shared" si="10"/>
        <v>0</v>
      </c>
      <c r="I51" s="29">
        <f t="shared" si="10"/>
        <v>0</v>
      </c>
    </row>
  </sheetData>
  <mergeCells count="1">
    <mergeCell ref="D3:I3"/>
  </mergeCells>
  <pageMargins left="0.7" right="0.7" top="0.75" bottom="0.75" header="0.3" footer="0.3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70"/>
  <sheetViews>
    <sheetView topLeftCell="A7" zoomScaleNormal="100" workbookViewId="0">
      <selection activeCell="K31" sqref="K31"/>
    </sheetView>
  </sheetViews>
  <sheetFormatPr defaultColWidth="9.140625" defaultRowHeight="14.25"/>
  <cols>
    <col min="1" max="1" width="27.28515625" style="1" bestFit="1" customWidth="1"/>
    <col min="2" max="2" width="3.5703125" style="1" customWidth="1"/>
    <col min="3" max="3" width="18.7109375" style="1" bestFit="1" customWidth="1"/>
    <col min="4" max="4" width="15.7109375" style="1" bestFit="1" customWidth="1"/>
    <col min="5" max="5" width="16.85546875" style="1" bestFit="1" customWidth="1"/>
    <col min="6" max="7" width="17.28515625" style="1" bestFit="1" customWidth="1"/>
    <col min="8" max="8" width="18.7109375" style="1" bestFit="1" customWidth="1"/>
    <col min="9" max="9" width="16.85546875" style="1" bestFit="1" customWidth="1"/>
    <col min="10" max="10" width="11.5703125" style="1" bestFit="1" customWidth="1"/>
    <col min="11" max="16384" width="9.140625" style="1"/>
  </cols>
  <sheetData>
    <row r="1" spans="1:10" ht="23.25">
      <c r="A1" s="5" t="s">
        <v>62</v>
      </c>
      <c r="D1" s="10" t="s">
        <v>63</v>
      </c>
      <c r="E1" s="10" t="s">
        <v>64</v>
      </c>
    </row>
    <row r="2" spans="1:10" ht="15">
      <c r="A2" s="1" t="s">
        <v>65</v>
      </c>
      <c r="C2" s="101">
        <v>6.6799999999999998E-2</v>
      </c>
      <c r="D2" s="26">
        <f>C16</f>
        <v>13719468.880102411</v>
      </c>
      <c r="E2" s="57">
        <f>Assumption!C17</f>
        <v>0.43</v>
      </c>
      <c r="F2" s="58"/>
      <c r="G2" s="59"/>
    </row>
    <row r="3" spans="1:10">
      <c r="A3" s="1" t="s">
        <v>66</v>
      </c>
      <c r="C3" s="56">
        <f>Assumption!C16</f>
        <v>8.5000000000000006E-2</v>
      </c>
      <c r="D3" s="32">
        <f>'Pro Forma Balance Sheet'!E23+'Pro Forma Balance Sheet'!E22</f>
        <v>400000</v>
      </c>
      <c r="E3" s="4"/>
    </row>
    <row r="4" spans="1:10">
      <c r="A4" s="1" t="s">
        <v>67</v>
      </c>
      <c r="C4" s="56">
        <f>(C2*D2/D4)+(C3*D3/D4*(1-E2))</f>
        <v>6.6280150417673017E-2</v>
      </c>
      <c r="D4" s="26">
        <f>D2+D3</f>
        <v>14119468.880102411</v>
      </c>
      <c r="E4" s="4"/>
    </row>
    <row r="5" spans="1:10">
      <c r="A5" s="1" t="s">
        <v>68</v>
      </c>
      <c r="C5" s="13">
        <v>55587167</v>
      </c>
      <c r="D5" s="4"/>
      <c r="E5" s="4"/>
    </row>
    <row r="6" spans="1:10">
      <c r="E6" s="4"/>
    </row>
    <row r="7" spans="1:10" ht="20.25">
      <c r="A7" s="60" t="s">
        <v>69</v>
      </c>
      <c r="B7" s="61"/>
      <c r="C7" s="61"/>
      <c r="D7" s="61"/>
      <c r="E7" s="61"/>
      <c r="F7" s="61"/>
      <c r="G7" s="61"/>
      <c r="H7" s="61"/>
      <c r="I7" s="61"/>
    </row>
    <row r="8" spans="1:10" ht="15.75" thickBot="1">
      <c r="A8" s="62"/>
      <c r="B8" s="62"/>
      <c r="C8" s="62"/>
      <c r="D8" s="63">
        <v>2013</v>
      </c>
      <c r="E8" s="63">
        <v>2014</v>
      </c>
      <c r="F8" s="63">
        <v>2015</v>
      </c>
      <c r="G8" s="63">
        <v>2016</v>
      </c>
      <c r="H8" s="63">
        <v>2017</v>
      </c>
      <c r="I8" s="63" t="s">
        <v>70</v>
      </c>
    </row>
    <row r="9" spans="1:10" ht="15">
      <c r="A9" s="64" t="s">
        <v>71</v>
      </c>
      <c r="B9" s="65"/>
      <c r="C9" s="65"/>
      <c r="D9" s="65"/>
      <c r="E9" s="65"/>
      <c r="F9" s="65"/>
      <c r="G9" s="65"/>
      <c r="H9" s="65"/>
      <c r="I9" s="65"/>
    </row>
    <row r="10" spans="1:10" ht="15">
      <c r="A10" s="1" t="s">
        <v>72</v>
      </c>
      <c r="D10" s="38">
        <f>-'Pro Forma Cash Flow'!D25</f>
        <v>144312.64161105407</v>
      </c>
      <c r="E10" s="38">
        <f>-'Pro Forma Cash Flow'!E25</f>
        <v>432583.80970319221</v>
      </c>
      <c r="F10" s="38">
        <f>-'Pro Forma Cash Flow'!F25</f>
        <v>801787.1566769355</v>
      </c>
      <c r="G10" s="38">
        <f>-'Pro Forma Cash Flow'!G25</f>
        <v>971334.06448127842</v>
      </c>
      <c r="H10" s="38">
        <f>-'Pro Forma Cash Flow'!H25</f>
        <v>1051563.9960898033</v>
      </c>
      <c r="I10" s="38">
        <f>-'Pro Forma Cash Flow'!I25</f>
        <v>1018290.780348768</v>
      </c>
      <c r="J10" s="58"/>
    </row>
    <row r="11" spans="1:10">
      <c r="A11" s="1" t="s">
        <v>73</v>
      </c>
      <c r="D11" s="38"/>
      <c r="E11" s="38"/>
      <c r="F11" s="38"/>
      <c r="G11" s="38"/>
      <c r="H11" s="66">
        <f>I10/C2</f>
        <v>15243873.957316887</v>
      </c>
      <c r="I11" s="32"/>
    </row>
    <row r="12" spans="1:10">
      <c r="A12" s="1" t="s">
        <v>74</v>
      </c>
      <c r="D12" s="38">
        <f>SUM(D10:D11)</f>
        <v>144312.64161105407</v>
      </c>
      <c r="E12" s="38">
        <f t="shared" ref="E12:H12" si="0">SUM(E10:E11)</f>
        <v>432583.80970319221</v>
      </c>
      <c r="F12" s="38">
        <f t="shared" si="0"/>
        <v>801787.1566769355</v>
      </c>
      <c r="G12" s="38">
        <f t="shared" si="0"/>
        <v>971334.06448127842</v>
      </c>
      <c r="H12" s="38">
        <f t="shared" si="0"/>
        <v>16295437.95340669</v>
      </c>
      <c r="I12" s="32"/>
    </row>
    <row r="13" spans="1:10">
      <c r="A13" s="1" t="s">
        <v>75</v>
      </c>
      <c r="C13" s="102">
        <f>C2</f>
        <v>6.6799999999999998E-2</v>
      </c>
      <c r="D13" s="38">
        <f>1/(1+$C$2)^1</f>
        <v>0.9373828271466067</v>
      </c>
      <c r="E13" s="38">
        <f>1/(1+$C$2)^2</f>
        <v>0.87868656462936512</v>
      </c>
      <c r="F13" s="38">
        <f>1/(1+$C$2)^3</f>
        <v>0.82366569612801377</v>
      </c>
      <c r="G13" s="38">
        <f>1/(1+$C$2)^4</f>
        <v>0.77209007886015535</v>
      </c>
      <c r="H13" s="38">
        <f>1/(1+$C$2)^5</f>
        <v>0.72374398093377901</v>
      </c>
      <c r="I13" s="38"/>
    </row>
    <row r="14" spans="1:10">
      <c r="J14" s="38"/>
    </row>
    <row r="15" spans="1:10" ht="8.25" customHeight="1"/>
    <row r="16" spans="1:10" ht="15">
      <c r="A16" s="16" t="s">
        <v>76</v>
      </c>
      <c r="B16" s="16"/>
      <c r="C16" s="66">
        <f>SUMPRODUCT(D13:H13,D12:H12)</f>
        <v>13719468.880102411</v>
      </c>
      <c r="H16" s="38"/>
      <c r="J16" s="35"/>
    </row>
    <row r="17" spans="1:10">
      <c r="A17" s="1" t="s">
        <v>77</v>
      </c>
      <c r="C17" s="32">
        <f>C16/C5*1000</f>
        <v>246.8100034690095</v>
      </c>
      <c r="G17" s="35"/>
    </row>
    <row r="18" spans="1:10">
      <c r="A18" s="1" t="s">
        <v>169</v>
      </c>
      <c r="C18" s="32">
        <f>'Option Value '!D15/1000</f>
        <v>467213.63207867602</v>
      </c>
      <c r="G18" s="35"/>
    </row>
    <row r="19" spans="1:10">
      <c r="A19" s="1" t="s">
        <v>170</v>
      </c>
      <c r="C19" s="32">
        <f>C16-C18</f>
        <v>13252255.248023735</v>
      </c>
      <c r="G19" s="35"/>
    </row>
    <row r="20" spans="1:10">
      <c r="A20" s="1" t="s">
        <v>77</v>
      </c>
      <c r="C20" s="32">
        <f>C19/C5*1000</f>
        <v>238.40494062278322</v>
      </c>
      <c r="G20" s="35"/>
    </row>
    <row r="21" spans="1:10">
      <c r="C21" s="32"/>
      <c r="G21" s="35"/>
    </row>
    <row r="23" spans="1:10" ht="15">
      <c r="A23" s="64" t="s">
        <v>78</v>
      </c>
      <c r="B23" s="65"/>
      <c r="C23" s="65"/>
      <c r="D23" s="68">
        <v>2013</v>
      </c>
      <c r="E23" s="68">
        <v>2014</v>
      </c>
      <c r="F23" s="68">
        <v>2015</v>
      </c>
      <c r="G23" s="68">
        <v>2016</v>
      </c>
      <c r="H23" s="68">
        <v>2017</v>
      </c>
      <c r="I23" s="68" t="s">
        <v>70</v>
      </c>
    </row>
    <row r="24" spans="1:10">
      <c r="A24" s="1" t="s">
        <v>40</v>
      </c>
      <c r="D24" s="38">
        <f>'Pro Forma Income Statement'!F20</f>
        <v>197143.95913785041</v>
      </c>
      <c r="E24" s="38">
        <f>'Pro Forma Income Statement'!G20</f>
        <v>426982.8758133236</v>
      </c>
      <c r="F24" s="38">
        <f>'Pro Forma Income Statement'!H20</f>
        <v>785816.39166522643</v>
      </c>
      <c r="G24" s="38">
        <f>'Pro Forma Income Statement'!I20</f>
        <v>1017749.7042318368</v>
      </c>
      <c r="H24" s="38">
        <f>'Pro Forma Income Statement'!J20</f>
        <v>1079132.4796539538</v>
      </c>
      <c r="I24" s="38">
        <f>'Pro Forma Income Statement'!K20</f>
        <v>1018290.780348768</v>
      </c>
    </row>
    <row r="25" spans="1:10">
      <c r="A25" s="1" t="s">
        <v>121</v>
      </c>
      <c r="D25" s="38">
        <f>'Pro Forma Balance Sheet'!E32</f>
        <v>744673</v>
      </c>
      <c r="E25" s="38">
        <f>'Pro Forma Balance Sheet'!F32</f>
        <v>797504.31752679637</v>
      </c>
      <c r="F25" s="38">
        <f>'Pro Forma Balance Sheet'!G32</f>
        <v>791903.3836369277</v>
      </c>
      <c r="G25" s="38">
        <f>'Pro Forma Balance Sheet'!H32</f>
        <v>775932.61862521851</v>
      </c>
      <c r="H25" s="38">
        <f>'Pro Forma Balance Sheet'!I32</f>
        <v>822348.25837577693</v>
      </c>
      <c r="I25" s="38">
        <f>'Pro Forma Balance Sheet'!J32</f>
        <v>849916.74193992745</v>
      </c>
      <c r="J25" s="1" t="s">
        <v>5</v>
      </c>
    </row>
    <row r="26" spans="1:10">
      <c r="A26" s="1" t="s">
        <v>79</v>
      </c>
      <c r="D26" s="38">
        <f>D25*$C$2</f>
        <v>49744.1564</v>
      </c>
      <c r="E26" s="38">
        <f t="shared" ref="E26:I26" si="1">E25*$C$2</f>
        <v>53273.288410789995</v>
      </c>
      <c r="F26" s="38">
        <f t="shared" si="1"/>
        <v>52899.146026946772</v>
      </c>
      <c r="G26" s="38">
        <f t="shared" si="1"/>
        <v>51832.298924164592</v>
      </c>
      <c r="H26" s="38">
        <f t="shared" si="1"/>
        <v>54932.863659501898</v>
      </c>
      <c r="I26" s="38">
        <f t="shared" si="1"/>
        <v>56774.438361587156</v>
      </c>
    </row>
    <row r="27" spans="1:10">
      <c r="A27" s="1" t="s">
        <v>80</v>
      </c>
      <c r="D27" s="38">
        <f>D24-D26</f>
        <v>147399.8027378504</v>
      </c>
      <c r="E27" s="38">
        <f t="shared" ref="E27:H27" si="2">E24-E26</f>
        <v>373709.58740253362</v>
      </c>
      <c r="F27" s="38">
        <f t="shared" si="2"/>
        <v>732917.24563827971</v>
      </c>
      <c r="G27" s="38">
        <f t="shared" si="2"/>
        <v>965917.40530767222</v>
      </c>
      <c r="H27" s="38">
        <f t="shared" si="2"/>
        <v>1024199.6159944519</v>
      </c>
      <c r="I27" s="38">
        <f>I24-I26</f>
        <v>961516.34198718087</v>
      </c>
    </row>
    <row r="28" spans="1:10">
      <c r="A28" s="1" t="s">
        <v>73</v>
      </c>
      <c r="D28" s="38"/>
      <c r="E28" s="38"/>
      <c r="F28" s="38"/>
      <c r="G28" s="38"/>
      <c r="H28" s="66">
        <f>I27/C2</f>
        <v>14393957.21537696</v>
      </c>
      <c r="I28" s="38"/>
    </row>
    <row r="29" spans="1:10" ht="15">
      <c r="A29" s="16" t="s">
        <v>81</v>
      </c>
      <c r="B29" s="16"/>
      <c r="C29" s="16"/>
      <c r="D29" s="69">
        <f>SUM(D27:D28)</f>
        <v>147399.8027378504</v>
      </c>
      <c r="E29" s="69">
        <f t="shared" ref="E29:G29" si="3">SUM(E27:E28)</f>
        <v>373709.58740253362</v>
      </c>
      <c r="F29" s="69">
        <f t="shared" si="3"/>
        <v>732917.24563827971</v>
      </c>
      <c r="G29" s="69">
        <f t="shared" si="3"/>
        <v>965917.40530767222</v>
      </c>
      <c r="H29" s="69">
        <f>SUM(H27:H28)</f>
        <v>15418156.831371412</v>
      </c>
      <c r="I29" s="69"/>
    </row>
    <row r="30" spans="1:10">
      <c r="A30" s="1" t="s">
        <v>75</v>
      </c>
      <c r="C30" s="102">
        <f>C13</f>
        <v>6.6799999999999998E-2</v>
      </c>
      <c r="D30" s="38">
        <f>1/(1+$C$2)^1</f>
        <v>0.9373828271466067</v>
      </c>
      <c r="E30" s="38">
        <f>1/(1+$C$2)^2</f>
        <v>0.87868656462936512</v>
      </c>
      <c r="F30" s="38">
        <f>1/(1+$C$2)^3</f>
        <v>0.82366569612801377</v>
      </c>
      <c r="G30" s="38">
        <f>1/(1+$C$2)^4</f>
        <v>0.77209007886015535</v>
      </c>
      <c r="H30" s="38">
        <f>1/(1+$C$2)^5</f>
        <v>0.72374398093377901</v>
      </c>
      <c r="I30" s="38"/>
    </row>
    <row r="31" spans="1:10" ht="8.25" customHeight="1"/>
    <row r="32" spans="1:10">
      <c r="A32" s="1" t="s">
        <v>82</v>
      </c>
      <c r="C32" s="66">
        <f>SUMPRODUCT(D29:H29,D30:H30)</f>
        <v>12974795.880102411</v>
      </c>
    </row>
    <row r="33" spans="1:9">
      <c r="A33" s="1" t="s">
        <v>83</v>
      </c>
      <c r="C33" s="38">
        <f>'Pro Forma Balance Sheet'!E32</f>
        <v>744673</v>
      </c>
    </row>
    <row r="34" spans="1:9" ht="15">
      <c r="A34" s="16" t="s">
        <v>76</v>
      </c>
      <c r="B34" s="16"/>
      <c r="C34" s="32">
        <f>C33+C32</f>
        <v>13719468.880102411</v>
      </c>
      <c r="D34" s="70"/>
    </row>
    <row r="35" spans="1:9">
      <c r="A35" s="1" t="s">
        <v>77</v>
      </c>
      <c r="C35" s="32">
        <f>C34/C5*1000</f>
        <v>246.8100034690095</v>
      </c>
    </row>
    <row r="36" spans="1:9">
      <c r="A36" s="1" t="s">
        <v>169</v>
      </c>
      <c r="C36" s="32">
        <f>'Option Value '!D15/1000</f>
        <v>467213.63207867602</v>
      </c>
    </row>
    <row r="37" spans="1:9">
      <c r="A37" s="1" t="s">
        <v>170</v>
      </c>
      <c r="C37" s="32">
        <f>C34-C36</f>
        <v>13252255.248023735</v>
      </c>
    </row>
    <row r="38" spans="1:9">
      <c r="A38" s="1" t="s">
        <v>77</v>
      </c>
      <c r="C38" s="134">
        <f>C37/C5*1000</f>
        <v>238.40494062278322</v>
      </c>
    </row>
    <row r="39" spans="1:9">
      <c r="G39" s="1" t="s">
        <v>5</v>
      </c>
    </row>
    <row r="41" spans="1:9" ht="15">
      <c r="A41" s="64" t="s">
        <v>84</v>
      </c>
      <c r="B41" s="65"/>
      <c r="C41" s="65"/>
      <c r="D41" s="68">
        <v>2013</v>
      </c>
      <c r="E41" s="68">
        <v>2014</v>
      </c>
      <c r="F41" s="68">
        <v>2015</v>
      </c>
      <c r="G41" s="68">
        <v>2016</v>
      </c>
      <c r="H41" s="68">
        <v>2017</v>
      </c>
      <c r="I41" s="68" t="s">
        <v>70</v>
      </c>
    </row>
    <row r="42" spans="1:9">
      <c r="A42" s="1" t="s">
        <v>85</v>
      </c>
      <c r="C42" s="4"/>
      <c r="D42" s="32">
        <f>'Pro Forma Cash Flow'!D17</f>
        <v>1800987.188380105</v>
      </c>
      <c r="E42" s="32">
        <f>'Pro Forma Cash Flow'!E17</f>
        <v>2276760.8066940019</v>
      </c>
      <c r="F42" s="32">
        <f>'Pro Forma Cash Flow'!F17</f>
        <v>2831897.8934202027</v>
      </c>
      <c r="G42" s="32">
        <f>'Pro Forma Cash Flow'!G17</f>
        <v>3644646.8024592795</v>
      </c>
      <c r="H42" s="32">
        <f>'Pro Forma Cash Flow'!H17</f>
        <v>3733649.3751848568</v>
      </c>
      <c r="I42" s="32">
        <f>'Pro Forma Cash Flow'!I17</f>
        <v>3395838.5966708004</v>
      </c>
    </row>
    <row r="43" spans="1:9">
      <c r="A43" s="1" t="s">
        <v>86</v>
      </c>
      <c r="C43" s="4"/>
      <c r="D43" s="32">
        <f>'Pro Forma Cash Flow'!D22</f>
        <v>-1685052.8107999996</v>
      </c>
      <c r="E43" s="32">
        <f>'Pro Forma Cash Flow'!E22</f>
        <v>-1841168.4636399993</v>
      </c>
      <c r="F43" s="32">
        <f>'Pro Forma Cash Flow'!F22</f>
        <v>-2021532.0639503999</v>
      </c>
      <c r="G43" s="32">
        <f>'Pro Forma Cash Flow'!G22</f>
        <v>-2698244.8301852159</v>
      </c>
      <c r="H43" s="32">
        <f>'Pro Forma Cash Flow'!H22</f>
        <v>-2696893.7492463277</v>
      </c>
      <c r="I43" s="32">
        <f>'Pro Forma Cash Flow'!I22</f>
        <v>-2377547.8163220319</v>
      </c>
    </row>
    <row r="44" spans="1:9">
      <c r="A44" s="71" t="s">
        <v>92</v>
      </c>
      <c r="C44" s="4"/>
      <c r="D44" s="32">
        <f>-'Pro Forma Income Statement'!F15*(1-'Employee stock option'!$E$2)</f>
        <v>20067.46344614973</v>
      </c>
      <c r="E44" s="32">
        <f>-'Pro Forma Income Statement'!G15*(1-'Employee stock option'!$E$2)</f>
        <v>20682.045171876096</v>
      </c>
      <c r="F44" s="32">
        <f>-'Pro Forma Income Statement'!H15*(1-'Employee stock option'!$E$2)</f>
        <v>20401.3451030455</v>
      </c>
      <c r="G44" s="32">
        <f>-'Pro Forma Income Statement'!I15*(1-'Employee stock option'!$E$2)</f>
        <v>20797.506688358048</v>
      </c>
      <c r="H44" s="32">
        <f>-'Pro Forma Income Statement'!J15*(1-'Employee stock option'!$E$2)</f>
        <v>21760.219388992457</v>
      </c>
      <c r="I44" s="32">
        <f>-'Pro Forma Income Statement'!K15*(1-'Employee stock option'!$E$2)</f>
        <v>22118.952155907078</v>
      </c>
    </row>
    <row r="45" spans="1:9">
      <c r="A45" s="1" t="s">
        <v>87</v>
      </c>
      <c r="C45" s="4"/>
      <c r="D45" s="32">
        <f>SUM(D42:D44)</f>
        <v>136001.84102625505</v>
      </c>
      <c r="E45" s="32">
        <f t="shared" ref="E45:I45" si="4">SUM(E42:E44)</f>
        <v>456274.38822587871</v>
      </c>
      <c r="F45" s="32">
        <f t="shared" si="4"/>
        <v>830767.17457284825</v>
      </c>
      <c r="G45" s="32">
        <f t="shared" si="4"/>
        <v>967199.47896242165</v>
      </c>
      <c r="H45" s="32">
        <f t="shared" si="4"/>
        <v>1058515.8453275217</v>
      </c>
      <c r="I45" s="32">
        <f t="shared" si="4"/>
        <v>1040409.7325046755</v>
      </c>
    </row>
    <row r="46" spans="1:9">
      <c r="A46" s="1" t="s">
        <v>88</v>
      </c>
      <c r="C46" s="4"/>
      <c r="D46" s="32"/>
      <c r="E46" s="32"/>
      <c r="F46" s="32"/>
      <c r="G46" s="32"/>
      <c r="H46" s="32">
        <f>I45/C4</f>
        <v>15697154.064201692</v>
      </c>
      <c r="I46" s="32"/>
    </row>
    <row r="47" spans="1:9">
      <c r="A47" s="1" t="s">
        <v>75</v>
      </c>
      <c r="D47" s="38">
        <f>1/(1+$C$4)^1</f>
        <v>0.93783983468911947</v>
      </c>
      <c r="E47" s="38">
        <f>1/(1+$C$4)^2</f>
        <v>0.87954355552971497</v>
      </c>
      <c r="F47" s="38">
        <f>1/(1+$C$4)^3</f>
        <v>0.82487098271986825</v>
      </c>
      <c r="G47" s="38">
        <f>1/(1+$C$4)^4</f>
        <v>0.7735968660738527</v>
      </c>
      <c r="H47" s="38">
        <f>1/(1+$C$4)^5</f>
        <v>0.72550995699472298</v>
      </c>
      <c r="I47" s="38"/>
    </row>
    <row r="48" spans="1:9" ht="15">
      <c r="A48" s="1" t="s">
        <v>89</v>
      </c>
      <c r="B48" s="1" t="s">
        <v>5</v>
      </c>
      <c r="C48" s="72">
        <f>SUM(D48:H48)</f>
        <v>14118764.718798034</v>
      </c>
      <c r="D48" s="32">
        <f>D47*(D45+D46)</f>
        <v>127547.94410547893</v>
      </c>
      <c r="E48" s="32">
        <f t="shared" ref="E48:G48" si="5">E47*(E45+E46)</f>
        <v>401313.1977173349</v>
      </c>
      <c r="F48" s="32">
        <f t="shared" si="5"/>
        <v>685275.73570131371</v>
      </c>
      <c r="G48" s="32">
        <f t="shared" si="5"/>
        <v>748222.48579359264</v>
      </c>
      <c r="H48" s="32">
        <f>H47*(H45+H46)</f>
        <v>12156405.355480313</v>
      </c>
      <c r="I48" s="32"/>
    </row>
    <row r="49" spans="1:9">
      <c r="A49" s="1" t="s">
        <v>90</v>
      </c>
      <c r="C49" s="32">
        <f>'Pro Forma Balance Sheet'!E23+'Pro Forma Balance Sheet'!E22</f>
        <v>400000</v>
      </c>
      <c r="D49" s="4"/>
      <c r="E49" s="4"/>
      <c r="F49" s="4"/>
      <c r="G49" s="4"/>
      <c r="H49" s="4"/>
      <c r="I49" s="4"/>
    </row>
    <row r="50" spans="1:9" ht="15">
      <c r="A50" s="16" t="s">
        <v>76</v>
      </c>
      <c r="B50" s="16"/>
      <c r="C50" s="66">
        <f>C48-C49</f>
        <v>13718764.718798034</v>
      </c>
      <c r="D50" s="4" t="s">
        <v>5</v>
      </c>
      <c r="E50" s="4" t="s">
        <v>5</v>
      </c>
      <c r="F50" s="4"/>
      <c r="G50" s="4"/>
      <c r="H50" s="32"/>
      <c r="I50" s="4"/>
    </row>
    <row r="51" spans="1:9">
      <c r="A51" s="1" t="s">
        <v>77</v>
      </c>
      <c r="C51" s="32">
        <f>C50/C5*1000</f>
        <v>246.79733577352548</v>
      </c>
      <c r="D51" s="4"/>
      <c r="E51" s="4"/>
      <c r="F51" s="4"/>
      <c r="G51" s="26"/>
      <c r="H51" s="4"/>
      <c r="I51" s="4"/>
    </row>
    <row r="52" spans="1:9">
      <c r="A52" s="1" t="s">
        <v>169</v>
      </c>
      <c r="C52" s="32">
        <f>'Option Value '!D15/1000</f>
        <v>467213.63207867602</v>
      </c>
      <c r="D52" s="4"/>
      <c r="E52" s="4"/>
      <c r="F52" s="4"/>
      <c r="G52" s="26"/>
      <c r="H52" s="4"/>
      <c r="I52" s="4"/>
    </row>
    <row r="53" spans="1:9">
      <c r="A53" s="1" t="s">
        <v>170</v>
      </c>
      <c r="C53" s="32">
        <f>C50-C52</f>
        <v>13251551.086719358</v>
      </c>
      <c r="D53" s="4"/>
      <c r="E53" s="4"/>
      <c r="F53" s="4"/>
      <c r="G53" s="26"/>
      <c r="H53" s="4"/>
      <c r="I53" s="4"/>
    </row>
    <row r="54" spans="1:9">
      <c r="A54" s="1" t="s">
        <v>77</v>
      </c>
      <c r="C54" s="32">
        <f>C53/C5*1000</f>
        <v>238.39227292729916</v>
      </c>
      <c r="D54" s="4"/>
      <c r="E54" s="4"/>
      <c r="F54" s="4"/>
      <c r="G54" s="26"/>
      <c r="H54" s="4"/>
      <c r="I54" s="4"/>
    </row>
    <row r="56" spans="1:9" ht="15">
      <c r="A56" s="64" t="s">
        <v>91</v>
      </c>
      <c r="B56" s="65"/>
      <c r="C56" s="65"/>
      <c r="D56" s="68">
        <v>2013</v>
      </c>
      <c r="E56" s="68">
        <v>2014</v>
      </c>
      <c r="F56" s="68">
        <v>2015</v>
      </c>
      <c r="G56" s="68">
        <v>2016</v>
      </c>
      <c r="H56" s="68">
        <v>2017</v>
      </c>
      <c r="I56" s="68" t="s">
        <v>70</v>
      </c>
    </row>
    <row r="57" spans="1:9">
      <c r="A57" s="1" t="s">
        <v>40</v>
      </c>
      <c r="C57" s="32"/>
      <c r="D57" s="32">
        <f>'Pro Forma Income Statement'!F20</f>
        <v>197143.95913785041</v>
      </c>
      <c r="E57" s="32">
        <f>'Pro Forma Income Statement'!G20</f>
        <v>426982.8758133236</v>
      </c>
      <c r="F57" s="32">
        <f>'Pro Forma Income Statement'!H20</f>
        <v>785816.39166522643</v>
      </c>
      <c r="G57" s="32">
        <f>'Pro Forma Income Statement'!I20</f>
        <v>1017749.7042318368</v>
      </c>
      <c r="H57" s="32">
        <f>'Pro Forma Income Statement'!J20</f>
        <v>1079132.4796539538</v>
      </c>
      <c r="I57" s="32">
        <f>'Pro Forma Income Statement'!K20</f>
        <v>1018290.780348768</v>
      </c>
    </row>
    <row r="58" spans="1:9">
      <c r="A58" s="71" t="s">
        <v>92</v>
      </c>
      <c r="C58" s="32"/>
      <c r="D58" s="32">
        <f t="shared" ref="D58:I58" si="6">D44</f>
        <v>20067.46344614973</v>
      </c>
      <c r="E58" s="32">
        <f t="shared" si="6"/>
        <v>20682.045171876096</v>
      </c>
      <c r="F58" s="32">
        <f t="shared" si="6"/>
        <v>20401.3451030455</v>
      </c>
      <c r="G58" s="32">
        <f t="shared" si="6"/>
        <v>20797.506688358048</v>
      </c>
      <c r="H58" s="32">
        <f t="shared" si="6"/>
        <v>21760.219388992457</v>
      </c>
      <c r="I58" s="32">
        <f t="shared" si="6"/>
        <v>22118.952155907078</v>
      </c>
    </row>
    <row r="59" spans="1:9">
      <c r="A59" s="1" t="s">
        <v>120</v>
      </c>
      <c r="C59" s="32"/>
      <c r="D59" s="32">
        <f>'Pro Forma Balance Sheet'!E32+'Pro Forma Balance Sheet'!E23+'Pro Forma Balance Sheet'!E22</f>
        <v>1144673</v>
      </c>
      <c r="E59" s="32">
        <f>'Pro Forma Balance Sheet'!F32+'Pro Forma Balance Sheet'!F23+'Pro Forma Balance Sheet'!F22</f>
        <v>1225882.5815577449</v>
      </c>
      <c r="F59" s="32">
        <f>'Pro Forma Balance Sheet'!G32+'Pro Forma Balance Sheet'!G23+'Pro Forma Balance Sheet'!G22</f>
        <v>1217273.1143170665</v>
      </c>
      <c r="G59" s="32">
        <f>'Pro Forma Balance Sheet'!H32+'Pro Forma Balance Sheet'!H23+'Pro Forma Balance Sheet'!H22</f>
        <v>1192723.6765124891</v>
      </c>
      <c r="H59" s="32">
        <f>'Pro Forma Balance Sheet'!I32+'Pro Forma Balance Sheet'!I23+'Pro Forma Balance Sheet'!I22</f>
        <v>1264071.4084702625</v>
      </c>
      <c r="I59" s="32">
        <f>'Pro Forma Balance Sheet'!J32+'Pro Forma Balance Sheet'!J23+'Pro Forma Balance Sheet'!J22</f>
        <v>1306448.2621856877</v>
      </c>
    </row>
    <row r="60" spans="1:9">
      <c r="A60" s="1" t="s">
        <v>79</v>
      </c>
      <c r="C60" s="32"/>
      <c r="D60" s="32">
        <f>$C$4*D59</f>
        <v>75869.098619049022</v>
      </c>
      <c r="E60" s="32">
        <f t="shared" ref="E60:I60" si="7">$C$4*E59</f>
        <v>81251.681900052645</v>
      </c>
      <c r="F60" s="32">
        <f t="shared" si="7"/>
        <v>80681.045116324443</v>
      </c>
      <c r="G60" s="32">
        <f t="shared" si="7"/>
        <v>79053.904685967747</v>
      </c>
      <c r="H60" s="32">
        <f t="shared" si="7"/>
        <v>83782.843092088791</v>
      </c>
      <c r="I60" s="32">
        <f t="shared" si="7"/>
        <v>86591.587330574897</v>
      </c>
    </row>
    <row r="61" spans="1:9">
      <c r="A61" s="1" t="s">
        <v>80</v>
      </c>
      <c r="C61" s="32"/>
      <c r="D61" s="32">
        <f>D57+D58-D60</f>
        <v>141342.32396495109</v>
      </c>
      <c r="E61" s="32">
        <f t="shared" ref="E61:I61" si="8">E57+E58-E60</f>
        <v>366413.23908514704</v>
      </c>
      <c r="F61" s="32">
        <f t="shared" si="8"/>
        <v>725536.69165194745</v>
      </c>
      <c r="G61" s="32">
        <f t="shared" si="8"/>
        <v>959493.30623422714</v>
      </c>
      <c r="H61" s="32">
        <f t="shared" si="8"/>
        <v>1017109.8559508575</v>
      </c>
      <c r="I61" s="32">
        <f t="shared" si="8"/>
        <v>953818.14517410018</v>
      </c>
    </row>
    <row r="62" spans="1:9">
      <c r="A62" s="1" t="s">
        <v>88</v>
      </c>
      <c r="C62" s="32"/>
      <c r="D62" s="32"/>
      <c r="E62" s="32"/>
      <c r="F62" s="32"/>
      <c r="G62" s="32"/>
      <c r="H62" s="32">
        <f>I61/C4</f>
        <v>14390705.802015997</v>
      </c>
      <c r="I62" s="32"/>
    </row>
    <row r="63" spans="1:9" ht="15">
      <c r="A63" s="16" t="s">
        <v>75</v>
      </c>
      <c r="B63" s="16"/>
      <c r="C63" s="72"/>
      <c r="D63" s="32">
        <f>1/(1+$C$4)^1</f>
        <v>0.93783983468911947</v>
      </c>
      <c r="E63" s="32">
        <f>1/(1+$C$4)^2</f>
        <v>0.87954355552971497</v>
      </c>
      <c r="F63" s="32">
        <f>1/(1+$C$4)^3</f>
        <v>0.82487098271986825</v>
      </c>
      <c r="G63" s="74">
        <f>1/(1+$C$4)^4</f>
        <v>0.7735968660738527</v>
      </c>
      <c r="H63" s="32">
        <f>1/(1+$C$4)^5</f>
        <v>0.72550995699472298</v>
      </c>
      <c r="I63" s="72"/>
    </row>
    <row r="64" spans="1:9" ht="15">
      <c r="A64" s="1" t="s">
        <v>93</v>
      </c>
      <c r="C64" s="72">
        <f>SUM(D64:H64)</f>
        <v>12974091.71879803</v>
      </c>
      <c r="D64" s="32">
        <f>D63*(D61+D62)</f>
        <v>132556.4617418657</v>
      </c>
      <c r="E64" s="32">
        <f t="shared" ref="E64:H64" si="9">E63*(E61+E62)</f>
        <v>322276.40309810976</v>
      </c>
      <c r="F64" s="32">
        <f t="shared" si="9"/>
        <v>598474.16384226386</v>
      </c>
      <c r="G64" s="32">
        <f t="shared" si="9"/>
        <v>742261.01472163759</v>
      </c>
      <c r="H64" s="32">
        <f t="shared" si="9"/>
        <v>11178523.675394153</v>
      </c>
      <c r="I64" s="32"/>
    </row>
    <row r="65" spans="1:9">
      <c r="A65" s="1" t="s">
        <v>122</v>
      </c>
      <c r="C65" s="38">
        <f>'Pro Forma Balance Sheet'!E32</f>
        <v>744673</v>
      </c>
      <c r="D65" s="32"/>
      <c r="E65" s="32"/>
      <c r="F65" s="32"/>
      <c r="G65" s="32"/>
      <c r="H65" s="32"/>
      <c r="I65" s="32"/>
    </row>
    <row r="66" spans="1:9" ht="15">
      <c r="A66" s="16" t="s">
        <v>76</v>
      </c>
      <c r="B66" s="16"/>
      <c r="C66" s="66">
        <f>C64+C65</f>
        <v>13718764.71879803</v>
      </c>
      <c r="D66" s="32"/>
      <c r="E66" s="32"/>
      <c r="F66" s="32"/>
      <c r="G66" s="32"/>
      <c r="H66" s="32"/>
      <c r="I66" s="32"/>
    </row>
    <row r="67" spans="1:9">
      <c r="A67" s="1" t="s">
        <v>77</v>
      </c>
      <c r="C67" s="73">
        <f>C66/C5*1000</f>
        <v>246.79733577352539</v>
      </c>
      <c r="D67" s="38"/>
      <c r="E67" s="38"/>
      <c r="F67" s="38"/>
      <c r="G67" s="38"/>
      <c r="H67" s="38"/>
      <c r="I67" s="38"/>
    </row>
    <row r="68" spans="1:9">
      <c r="A68" s="1" t="s">
        <v>169</v>
      </c>
      <c r="C68" s="32">
        <f>'Option Value '!D15/1000</f>
        <v>467213.63207867602</v>
      </c>
    </row>
    <row r="69" spans="1:9">
      <c r="A69" s="1" t="s">
        <v>170</v>
      </c>
      <c r="C69" s="32">
        <f>C66-C68</f>
        <v>13251551.086719355</v>
      </c>
    </row>
    <row r="70" spans="1:9">
      <c r="A70" s="1" t="s">
        <v>77</v>
      </c>
      <c r="C70" s="32">
        <f>C69/C5*1000</f>
        <v>238.3922729272991</v>
      </c>
    </row>
  </sheetData>
  <pageMargins left="0.7" right="0.7" top="0.75" bottom="0.75" header="0.3" footer="0.3"/>
  <pageSetup scale="80" orientation="landscape" r:id="rId1"/>
  <headerFooter>
    <oddHeader>&amp;L&amp;"Arial,Bold"Appendix C</oddHeader>
  </headerFooter>
  <rowBreaks count="1" manualBreakCount="1">
    <brk id="39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4:J64"/>
  <sheetViews>
    <sheetView showGridLines="0" zoomScaleNormal="100" workbookViewId="0">
      <selection activeCell="B31" sqref="B31"/>
    </sheetView>
  </sheetViews>
  <sheetFormatPr defaultColWidth="10.28515625" defaultRowHeight="15"/>
  <cols>
    <col min="1" max="1" width="3.42578125" style="107" customWidth="1"/>
    <col min="2" max="2" width="35.140625" style="107" customWidth="1"/>
    <col min="3" max="3" width="27.28515625" style="107" customWidth="1"/>
    <col min="4" max="4" width="15.28515625" style="107" bestFit="1" customWidth="1"/>
    <col min="5" max="5" width="1.7109375" style="107" customWidth="1"/>
    <col min="6" max="6" width="11" style="107" customWidth="1"/>
    <col min="7" max="7" width="1.7109375" style="107" customWidth="1"/>
    <col min="8" max="8" width="11" style="107" customWidth="1"/>
    <col min="9" max="256" width="10.28515625" style="107"/>
    <col min="257" max="257" width="3.42578125" style="107" customWidth="1"/>
    <col min="258" max="258" width="35.140625" style="107" customWidth="1"/>
    <col min="259" max="259" width="27.28515625" style="107" customWidth="1"/>
    <col min="260" max="260" width="11.140625" style="107" customWidth="1"/>
    <col min="261" max="261" width="1.7109375" style="107" customWidth="1"/>
    <col min="262" max="262" width="11" style="107" customWidth="1"/>
    <col min="263" max="263" width="1.7109375" style="107" customWidth="1"/>
    <col min="264" max="264" width="11" style="107" customWidth="1"/>
    <col min="265" max="512" width="10.28515625" style="107"/>
    <col min="513" max="513" width="3.42578125" style="107" customWidth="1"/>
    <col min="514" max="514" width="35.140625" style="107" customWidth="1"/>
    <col min="515" max="515" width="27.28515625" style="107" customWidth="1"/>
    <col min="516" max="516" width="11.140625" style="107" customWidth="1"/>
    <col min="517" max="517" width="1.7109375" style="107" customWidth="1"/>
    <col min="518" max="518" width="11" style="107" customWidth="1"/>
    <col min="519" max="519" width="1.7109375" style="107" customWidth="1"/>
    <col min="520" max="520" width="11" style="107" customWidth="1"/>
    <col min="521" max="768" width="10.28515625" style="107"/>
    <col min="769" max="769" width="3.42578125" style="107" customWidth="1"/>
    <col min="770" max="770" width="35.140625" style="107" customWidth="1"/>
    <col min="771" max="771" width="27.28515625" style="107" customWidth="1"/>
    <col min="772" max="772" width="11.140625" style="107" customWidth="1"/>
    <col min="773" max="773" width="1.7109375" style="107" customWidth="1"/>
    <col min="774" max="774" width="11" style="107" customWidth="1"/>
    <col min="775" max="775" width="1.7109375" style="107" customWidth="1"/>
    <col min="776" max="776" width="11" style="107" customWidth="1"/>
    <col min="777" max="1024" width="10.28515625" style="107"/>
    <col min="1025" max="1025" width="3.42578125" style="107" customWidth="1"/>
    <col min="1026" max="1026" width="35.140625" style="107" customWidth="1"/>
    <col min="1027" max="1027" width="27.28515625" style="107" customWidth="1"/>
    <col min="1028" max="1028" width="11.140625" style="107" customWidth="1"/>
    <col min="1029" max="1029" width="1.7109375" style="107" customWidth="1"/>
    <col min="1030" max="1030" width="11" style="107" customWidth="1"/>
    <col min="1031" max="1031" width="1.7109375" style="107" customWidth="1"/>
    <col min="1032" max="1032" width="11" style="107" customWidth="1"/>
    <col min="1033" max="1280" width="10.28515625" style="107"/>
    <col min="1281" max="1281" width="3.42578125" style="107" customWidth="1"/>
    <col min="1282" max="1282" width="35.140625" style="107" customWidth="1"/>
    <col min="1283" max="1283" width="27.28515625" style="107" customWidth="1"/>
    <col min="1284" max="1284" width="11.140625" style="107" customWidth="1"/>
    <col min="1285" max="1285" width="1.7109375" style="107" customWidth="1"/>
    <col min="1286" max="1286" width="11" style="107" customWidth="1"/>
    <col min="1287" max="1287" width="1.7109375" style="107" customWidth="1"/>
    <col min="1288" max="1288" width="11" style="107" customWidth="1"/>
    <col min="1289" max="1536" width="10.28515625" style="107"/>
    <col min="1537" max="1537" width="3.42578125" style="107" customWidth="1"/>
    <col min="1538" max="1538" width="35.140625" style="107" customWidth="1"/>
    <col min="1539" max="1539" width="27.28515625" style="107" customWidth="1"/>
    <col min="1540" max="1540" width="11.140625" style="107" customWidth="1"/>
    <col min="1541" max="1541" width="1.7109375" style="107" customWidth="1"/>
    <col min="1542" max="1542" width="11" style="107" customWidth="1"/>
    <col min="1543" max="1543" width="1.7109375" style="107" customWidth="1"/>
    <col min="1544" max="1544" width="11" style="107" customWidth="1"/>
    <col min="1545" max="1792" width="10.28515625" style="107"/>
    <col min="1793" max="1793" width="3.42578125" style="107" customWidth="1"/>
    <col min="1794" max="1794" width="35.140625" style="107" customWidth="1"/>
    <col min="1795" max="1795" width="27.28515625" style="107" customWidth="1"/>
    <col min="1796" max="1796" width="11.140625" style="107" customWidth="1"/>
    <col min="1797" max="1797" width="1.7109375" style="107" customWidth="1"/>
    <col min="1798" max="1798" width="11" style="107" customWidth="1"/>
    <col min="1799" max="1799" width="1.7109375" style="107" customWidth="1"/>
    <col min="1800" max="1800" width="11" style="107" customWidth="1"/>
    <col min="1801" max="2048" width="10.28515625" style="107"/>
    <col min="2049" max="2049" width="3.42578125" style="107" customWidth="1"/>
    <col min="2050" max="2050" width="35.140625" style="107" customWidth="1"/>
    <col min="2051" max="2051" width="27.28515625" style="107" customWidth="1"/>
    <col min="2052" max="2052" width="11.140625" style="107" customWidth="1"/>
    <col min="2053" max="2053" width="1.7109375" style="107" customWidth="1"/>
    <col min="2054" max="2054" width="11" style="107" customWidth="1"/>
    <col min="2055" max="2055" width="1.7109375" style="107" customWidth="1"/>
    <col min="2056" max="2056" width="11" style="107" customWidth="1"/>
    <col min="2057" max="2304" width="10.28515625" style="107"/>
    <col min="2305" max="2305" width="3.42578125" style="107" customWidth="1"/>
    <col min="2306" max="2306" width="35.140625" style="107" customWidth="1"/>
    <col min="2307" max="2307" width="27.28515625" style="107" customWidth="1"/>
    <col min="2308" max="2308" width="11.140625" style="107" customWidth="1"/>
    <col min="2309" max="2309" width="1.7109375" style="107" customWidth="1"/>
    <col min="2310" max="2310" width="11" style="107" customWidth="1"/>
    <col min="2311" max="2311" width="1.7109375" style="107" customWidth="1"/>
    <col min="2312" max="2312" width="11" style="107" customWidth="1"/>
    <col min="2313" max="2560" width="10.28515625" style="107"/>
    <col min="2561" max="2561" width="3.42578125" style="107" customWidth="1"/>
    <col min="2562" max="2562" width="35.140625" style="107" customWidth="1"/>
    <col min="2563" max="2563" width="27.28515625" style="107" customWidth="1"/>
    <col min="2564" max="2564" width="11.140625" style="107" customWidth="1"/>
    <col min="2565" max="2565" width="1.7109375" style="107" customWidth="1"/>
    <col min="2566" max="2566" width="11" style="107" customWidth="1"/>
    <col min="2567" max="2567" width="1.7109375" style="107" customWidth="1"/>
    <col min="2568" max="2568" width="11" style="107" customWidth="1"/>
    <col min="2569" max="2816" width="10.28515625" style="107"/>
    <col min="2817" max="2817" width="3.42578125" style="107" customWidth="1"/>
    <col min="2818" max="2818" width="35.140625" style="107" customWidth="1"/>
    <col min="2819" max="2819" width="27.28515625" style="107" customWidth="1"/>
    <col min="2820" max="2820" width="11.140625" style="107" customWidth="1"/>
    <col min="2821" max="2821" width="1.7109375" style="107" customWidth="1"/>
    <col min="2822" max="2822" width="11" style="107" customWidth="1"/>
    <col min="2823" max="2823" width="1.7109375" style="107" customWidth="1"/>
    <col min="2824" max="2824" width="11" style="107" customWidth="1"/>
    <col min="2825" max="3072" width="10.28515625" style="107"/>
    <col min="3073" max="3073" width="3.42578125" style="107" customWidth="1"/>
    <col min="3074" max="3074" width="35.140625" style="107" customWidth="1"/>
    <col min="3075" max="3075" width="27.28515625" style="107" customWidth="1"/>
    <col min="3076" max="3076" width="11.140625" style="107" customWidth="1"/>
    <col min="3077" max="3077" width="1.7109375" style="107" customWidth="1"/>
    <col min="3078" max="3078" width="11" style="107" customWidth="1"/>
    <col min="3079" max="3079" width="1.7109375" style="107" customWidth="1"/>
    <col min="3080" max="3080" width="11" style="107" customWidth="1"/>
    <col min="3081" max="3328" width="10.28515625" style="107"/>
    <col min="3329" max="3329" width="3.42578125" style="107" customWidth="1"/>
    <col min="3330" max="3330" width="35.140625" style="107" customWidth="1"/>
    <col min="3331" max="3331" width="27.28515625" style="107" customWidth="1"/>
    <col min="3332" max="3332" width="11.140625" style="107" customWidth="1"/>
    <col min="3333" max="3333" width="1.7109375" style="107" customWidth="1"/>
    <col min="3334" max="3334" width="11" style="107" customWidth="1"/>
    <col min="3335" max="3335" width="1.7109375" style="107" customWidth="1"/>
    <col min="3336" max="3336" width="11" style="107" customWidth="1"/>
    <col min="3337" max="3584" width="10.28515625" style="107"/>
    <col min="3585" max="3585" width="3.42578125" style="107" customWidth="1"/>
    <col min="3586" max="3586" width="35.140625" style="107" customWidth="1"/>
    <col min="3587" max="3587" width="27.28515625" style="107" customWidth="1"/>
    <col min="3588" max="3588" width="11.140625" style="107" customWidth="1"/>
    <col min="3589" max="3589" width="1.7109375" style="107" customWidth="1"/>
    <col min="3590" max="3590" width="11" style="107" customWidth="1"/>
    <col min="3591" max="3591" width="1.7109375" style="107" customWidth="1"/>
    <col min="3592" max="3592" width="11" style="107" customWidth="1"/>
    <col min="3593" max="3840" width="10.28515625" style="107"/>
    <col min="3841" max="3841" width="3.42578125" style="107" customWidth="1"/>
    <col min="3842" max="3842" width="35.140625" style="107" customWidth="1"/>
    <col min="3843" max="3843" width="27.28515625" style="107" customWidth="1"/>
    <col min="3844" max="3844" width="11.140625" style="107" customWidth="1"/>
    <col min="3845" max="3845" width="1.7109375" style="107" customWidth="1"/>
    <col min="3846" max="3846" width="11" style="107" customWidth="1"/>
    <col min="3847" max="3847" width="1.7109375" style="107" customWidth="1"/>
    <col min="3848" max="3848" width="11" style="107" customWidth="1"/>
    <col min="3849" max="4096" width="10.28515625" style="107"/>
    <col min="4097" max="4097" width="3.42578125" style="107" customWidth="1"/>
    <col min="4098" max="4098" width="35.140625" style="107" customWidth="1"/>
    <col min="4099" max="4099" width="27.28515625" style="107" customWidth="1"/>
    <col min="4100" max="4100" width="11.140625" style="107" customWidth="1"/>
    <col min="4101" max="4101" width="1.7109375" style="107" customWidth="1"/>
    <col min="4102" max="4102" width="11" style="107" customWidth="1"/>
    <col min="4103" max="4103" width="1.7109375" style="107" customWidth="1"/>
    <col min="4104" max="4104" width="11" style="107" customWidth="1"/>
    <col min="4105" max="4352" width="10.28515625" style="107"/>
    <col min="4353" max="4353" width="3.42578125" style="107" customWidth="1"/>
    <col min="4354" max="4354" width="35.140625" style="107" customWidth="1"/>
    <col min="4355" max="4355" width="27.28515625" style="107" customWidth="1"/>
    <col min="4356" max="4356" width="11.140625" style="107" customWidth="1"/>
    <col min="4357" max="4357" width="1.7109375" style="107" customWidth="1"/>
    <col min="4358" max="4358" width="11" style="107" customWidth="1"/>
    <col min="4359" max="4359" width="1.7109375" style="107" customWidth="1"/>
    <col min="4360" max="4360" width="11" style="107" customWidth="1"/>
    <col min="4361" max="4608" width="10.28515625" style="107"/>
    <col min="4609" max="4609" width="3.42578125" style="107" customWidth="1"/>
    <col min="4610" max="4610" width="35.140625" style="107" customWidth="1"/>
    <col min="4611" max="4611" width="27.28515625" style="107" customWidth="1"/>
    <col min="4612" max="4612" width="11.140625" style="107" customWidth="1"/>
    <col min="4613" max="4613" width="1.7109375" style="107" customWidth="1"/>
    <col min="4614" max="4614" width="11" style="107" customWidth="1"/>
    <col min="4615" max="4615" width="1.7109375" style="107" customWidth="1"/>
    <col min="4616" max="4616" width="11" style="107" customWidth="1"/>
    <col min="4617" max="4864" width="10.28515625" style="107"/>
    <col min="4865" max="4865" width="3.42578125" style="107" customWidth="1"/>
    <col min="4866" max="4866" width="35.140625" style="107" customWidth="1"/>
    <col min="4867" max="4867" width="27.28515625" style="107" customWidth="1"/>
    <col min="4868" max="4868" width="11.140625" style="107" customWidth="1"/>
    <col min="4869" max="4869" width="1.7109375" style="107" customWidth="1"/>
    <col min="4870" max="4870" width="11" style="107" customWidth="1"/>
    <col min="4871" max="4871" width="1.7109375" style="107" customWidth="1"/>
    <col min="4872" max="4872" width="11" style="107" customWidth="1"/>
    <col min="4873" max="5120" width="10.28515625" style="107"/>
    <col min="5121" max="5121" width="3.42578125" style="107" customWidth="1"/>
    <col min="5122" max="5122" width="35.140625" style="107" customWidth="1"/>
    <col min="5123" max="5123" width="27.28515625" style="107" customWidth="1"/>
    <col min="5124" max="5124" width="11.140625" style="107" customWidth="1"/>
    <col min="5125" max="5125" width="1.7109375" style="107" customWidth="1"/>
    <col min="5126" max="5126" width="11" style="107" customWidth="1"/>
    <col min="5127" max="5127" width="1.7109375" style="107" customWidth="1"/>
    <col min="5128" max="5128" width="11" style="107" customWidth="1"/>
    <col min="5129" max="5376" width="10.28515625" style="107"/>
    <col min="5377" max="5377" width="3.42578125" style="107" customWidth="1"/>
    <col min="5378" max="5378" width="35.140625" style="107" customWidth="1"/>
    <col min="5379" max="5379" width="27.28515625" style="107" customWidth="1"/>
    <col min="5380" max="5380" width="11.140625" style="107" customWidth="1"/>
    <col min="5381" max="5381" width="1.7109375" style="107" customWidth="1"/>
    <col min="5382" max="5382" width="11" style="107" customWidth="1"/>
    <col min="5383" max="5383" width="1.7109375" style="107" customWidth="1"/>
    <col min="5384" max="5384" width="11" style="107" customWidth="1"/>
    <col min="5385" max="5632" width="10.28515625" style="107"/>
    <col min="5633" max="5633" width="3.42578125" style="107" customWidth="1"/>
    <col min="5634" max="5634" width="35.140625" style="107" customWidth="1"/>
    <col min="5635" max="5635" width="27.28515625" style="107" customWidth="1"/>
    <col min="5636" max="5636" width="11.140625" style="107" customWidth="1"/>
    <col min="5637" max="5637" width="1.7109375" style="107" customWidth="1"/>
    <col min="5638" max="5638" width="11" style="107" customWidth="1"/>
    <col min="5639" max="5639" width="1.7109375" style="107" customWidth="1"/>
    <col min="5640" max="5640" width="11" style="107" customWidth="1"/>
    <col min="5641" max="5888" width="10.28515625" style="107"/>
    <col min="5889" max="5889" width="3.42578125" style="107" customWidth="1"/>
    <col min="5890" max="5890" width="35.140625" style="107" customWidth="1"/>
    <col min="5891" max="5891" width="27.28515625" style="107" customWidth="1"/>
    <col min="5892" max="5892" width="11.140625" style="107" customWidth="1"/>
    <col min="5893" max="5893" width="1.7109375" style="107" customWidth="1"/>
    <col min="5894" max="5894" width="11" style="107" customWidth="1"/>
    <col min="5895" max="5895" width="1.7109375" style="107" customWidth="1"/>
    <col min="5896" max="5896" width="11" style="107" customWidth="1"/>
    <col min="5897" max="6144" width="10.28515625" style="107"/>
    <col min="6145" max="6145" width="3.42578125" style="107" customWidth="1"/>
    <col min="6146" max="6146" width="35.140625" style="107" customWidth="1"/>
    <col min="6147" max="6147" width="27.28515625" style="107" customWidth="1"/>
    <col min="6148" max="6148" width="11.140625" style="107" customWidth="1"/>
    <col min="6149" max="6149" width="1.7109375" style="107" customWidth="1"/>
    <col min="6150" max="6150" width="11" style="107" customWidth="1"/>
    <col min="6151" max="6151" width="1.7109375" style="107" customWidth="1"/>
    <col min="6152" max="6152" width="11" style="107" customWidth="1"/>
    <col min="6153" max="6400" width="10.28515625" style="107"/>
    <col min="6401" max="6401" width="3.42578125" style="107" customWidth="1"/>
    <col min="6402" max="6402" width="35.140625" style="107" customWidth="1"/>
    <col min="6403" max="6403" width="27.28515625" style="107" customWidth="1"/>
    <col min="6404" max="6404" width="11.140625" style="107" customWidth="1"/>
    <col min="6405" max="6405" width="1.7109375" style="107" customWidth="1"/>
    <col min="6406" max="6406" width="11" style="107" customWidth="1"/>
    <col min="6407" max="6407" width="1.7109375" style="107" customWidth="1"/>
    <col min="6408" max="6408" width="11" style="107" customWidth="1"/>
    <col min="6409" max="6656" width="10.28515625" style="107"/>
    <col min="6657" max="6657" width="3.42578125" style="107" customWidth="1"/>
    <col min="6658" max="6658" width="35.140625" style="107" customWidth="1"/>
    <col min="6659" max="6659" width="27.28515625" style="107" customWidth="1"/>
    <col min="6660" max="6660" width="11.140625" style="107" customWidth="1"/>
    <col min="6661" max="6661" width="1.7109375" style="107" customWidth="1"/>
    <col min="6662" max="6662" width="11" style="107" customWidth="1"/>
    <col min="6663" max="6663" width="1.7109375" style="107" customWidth="1"/>
    <col min="6664" max="6664" width="11" style="107" customWidth="1"/>
    <col min="6665" max="6912" width="10.28515625" style="107"/>
    <col min="6913" max="6913" width="3.42578125" style="107" customWidth="1"/>
    <col min="6914" max="6914" width="35.140625" style="107" customWidth="1"/>
    <col min="6915" max="6915" width="27.28515625" style="107" customWidth="1"/>
    <col min="6916" max="6916" width="11.140625" style="107" customWidth="1"/>
    <col min="6917" max="6917" width="1.7109375" style="107" customWidth="1"/>
    <col min="6918" max="6918" width="11" style="107" customWidth="1"/>
    <col min="6919" max="6919" width="1.7109375" style="107" customWidth="1"/>
    <col min="6920" max="6920" width="11" style="107" customWidth="1"/>
    <col min="6921" max="7168" width="10.28515625" style="107"/>
    <col min="7169" max="7169" width="3.42578125" style="107" customWidth="1"/>
    <col min="7170" max="7170" width="35.140625" style="107" customWidth="1"/>
    <col min="7171" max="7171" width="27.28515625" style="107" customWidth="1"/>
    <col min="7172" max="7172" width="11.140625" style="107" customWidth="1"/>
    <col min="7173" max="7173" width="1.7109375" style="107" customWidth="1"/>
    <col min="7174" max="7174" width="11" style="107" customWidth="1"/>
    <col min="7175" max="7175" width="1.7109375" style="107" customWidth="1"/>
    <col min="7176" max="7176" width="11" style="107" customWidth="1"/>
    <col min="7177" max="7424" width="10.28515625" style="107"/>
    <col min="7425" max="7425" width="3.42578125" style="107" customWidth="1"/>
    <col min="7426" max="7426" width="35.140625" style="107" customWidth="1"/>
    <col min="7427" max="7427" width="27.28515625" style="107" customWidth="1"/>
    <col min="7428" max="7428" width="11.140625" style="107" customWidth="1"/>
    <col min="7429" max="7429" width="1.7109375" style="107" customWidth="1"/>
    <col min="7430" max="7430" width="11" style="107" customWidth="1"/>
    <col min="7431" max="7431" width="1.7109375" style="107" customWidth="1"/>
    <col min="7432" max="7432" width="11" style="107" customWidth="1"/>
    <col min="7433" max="7680" width="10.28515625" style="107"/>
    <col min="7681" max="7681" width="3.42578125" style="107" customWidth="1"/>
    <col min="7682" max="7682" width="35.140625" style="107" customWidth="1"/>
    <col min="7683" max="7683" width="27.28515625" style="107" customWidth="1"/>
    <col min="7684" max="7684" width="11.140625" style="107" customWidth="1"/>
    <col min="7685" max="7685" width="1.7109375" style="107" customWidth="1"/>
    <col min="7686" max="7686" width="11" style="107" customWidth="1"/>
    <col min="7687" max="7687" width="1.7109375" style="107" customWidth="1"/>
    <col min="7688" max="7688" width="11" style="107" customWidth="1"/>
    <col min="7689" max="7936" width="10.28515625" style="107"/>
    <col min="7937" max="7937" width="3.42578125" style="107" customWidth="1"/>
    <col min="7938" max="7938" width="35.140625" style="107" customWidth="1"/>
    <col min="7939" max="7939" width="27.28515625" style="107" customWidth="1"/>
    <col min="7940" max="7940" width="11.140625" style="107" customWidth="1"/>
    <col min="7941" max="7941" width="1.7109375" style="107" customWidth="1"/>
    <col min="7942" max="7942" width="11" style="107" customWidth="1"/>
    <col min="7943" max="7943" width="1.7109375" style="107" customWidth="1"/>
    <col min="7944" max="7944" width="11" style="107" customWidth="1"/>
    <col min="7945" max="8192" width="10.28515625" style="107"/>
    <col min="8193" max="8193" width="3.42578125" style="107" customWidth="1"/>
    <col min="8194" max="8194" width="35.140625" style="107" customWidth="1"/>
    <col min="8195" max="8195" width="27.28515625" style="107" customWidth="1"/>
    <col min="8196" max="8196" width="11.140625" style="107" customWidth="1"/>
    <col min="8197" max="8197" width="1.7109375" style="107" customWidth="1"/>
    <col min="8198" max="8198" width="11" style="107" customWidth="1"/>
    <col min="8199" max="8199" width="1.7109375" style="107" customWidth="1"/>
    <col min="8200" max="8200" width="11" style="107" customWidth="1"/>
    <col min="8201" max="8448" width="10.28515625" style="107"/>
    <col min="8449" max="8449" width="3.42578125" style="107" customWidth="1"/>
    <col min="8450" max="8450" width="35.140625" style="107" customWidth="1"/>
    <col min="8451" max="8451" width="27.28515625" style="107" customWidth="1"/>
    <col min="8452" max="8452" width="11.140625" style="107" customWidth="1"/>
    <col min="8453" max="8453" width="1.7109375" style="107" customWidth="1"/>
    <col min="8454" max="8454" width="11" style="107" customWidth="1"/>
    <col min="8455" max="8455" width="1.7109375" style="107" customWidth="1"/>
    <col min="8456" max="8456" width="11" style="107" customWidth="1"/>
    <col min="8457" max="8704" width="10.28515625" style="107"/>
    <col min="8705" max="8705" width="3.42578125" style="107" customWidth="1"/>
    <col min="8706" max="8706" width="35.140625" style="107" customWidth="1"/>
    <col min="8707" max="8707" width="27.28515625" style="107" customWidth="1"/>
    <col min="8708" max="8708" width="11.140625" style="107" customWidth="1"/>
    <col min="8709" max="8709" width="1.7109375" style="107" customWidth="1"/>
    <col min="8710" max="8710" width="11" style="107" customWidth="1"/>
    <col min="8711" max="8711" width="1.7109375" style="107" customWidth="1"/>
    <col min="8712" max="8712" width="11" style="107" customWidth="1"/>
    <col min="8713" max="8960" width="10.28515625" style="107"/>
    <col min="8961" max="8961" width="3.42578125" style="107" customWidth="1"/>
    <col min="8962" max="8962" width="35.140625" style="107" customWidth="1"/>
    <col min="8963" max="8963" width="27.28515625" style="107" customWidth="1"/>
    <col min="8964" max="8964" width="11.140625" style="107" customWidth="1"/>
    <col min="8965" max="8965" width="1.7109375" style="107" customWidth="1"/>
    <col min="8966" max="8966" width="11" style="107" customWidth="1"/>
    <col min="8967" max="8967" width="1.7109375" style="107" customWidth="1"/>
    <col min="8968" max="8968" width="11" style="107" customWidth="1"/>
    <col min="8969" max="9216" width="10.28515625" style="107"/>
    <col min="9217" max="9217" width="3.42578125" style="107" customWidth="1"/>
    <col min="9218" max="9218" width="35.140625" style="107" customWidth="1"/>
    <col min="9219" max="9219" width="27.28515625" style="107" customWidth="1"/>
    <col min="9220" max="9220" width="11.140625" style="107" customWidth="1"/>
    <col min="9221" max="9221" width="1.7109375" style="107" customWidth="1"/>
    <col min="9222" max="9222" width="11" style="107" customWidth="1"/>
    <col min="9223" max="9223" width="1.7109375" style="107" customWidth="1"/>
    <col min="9224" max="9224" width="11" style="107" customWidth="1"/>
    <col min="9225" max="9472" width="10.28515625" style="107"/>
    <col min="9473" max="9473" width="3.42578125" style="107" customWidth="1"/>
    <col min="9474" max="9474" width="35.140625" style="107" customWidth="1"/>
    <col min="9475" max="9475" width="27.28515625" style="107" customWidth="1"/>
    <col min="9476" max="9476" width="11.140625" style="107" customWidth="1"/>
    <col min="9477" max="9477" width="1.7109375" style="107" customWidth="1"/>
    <col min="9478" max="9478" width="11" style="107" customWidth="1"/>
    <col min="9479" max="9479" width="1.7109375" style="107" customWidth="1"/>
    <col min="9480" max="9480" width="11" style="107" customWidth="1"/>
    <col min="9481" max="9728" width="10.28515625" style="107"/>
    <col min="9729" max="9729" width="3.42578125" style="107" customWidth="1"/>
    <col min="9730" max="9730" width="35.140625" style="107" customWidth="1"/>
    <col min="9731" max="9731" width="27.28515625" style="107" customWidth="1"/>
    <col min="9732" max="9732" width="11.140625" style="107" customWidth="1"/>
    <col min="9733" max="9733" width="1.7109375" style="107" customWidth="1"/>
    <col min="9734" max="9734" width="11" style="107" customWidth="1"/>
    <col min="9735" max="9735" width="1.7109375" style="107" customWidth="1"/>
    <col min="9736" max="9736" width="11" style="107" customWidth="1"/>
    <col min="9737" max="9984" width="10.28515625" style="107"/>
    <col min="9985" max="9985" width="3.42578125" style="107" customWidth="1"/>
    <col min="9986" max="9986" width="35.140625" style="107" customWidth="1"/>
    <col min="9987" max="9987" width="27.28515625" style="107" customWidth="1"/>
    <col min="9988" max="9988" width="11.140625" style="107" customWidth="1"/>
    <col min="9989" max="9989" width="1.7109375" style="107" customWidth="1"/>
    <col min="9990" max="9990" width="11" style="107" customWidth="1"/>
    <col min="9991" max="9991" width="1.7109375" style="107" customWidth="1"/>
    <col min="9992" max="9992" width="11" style="107" customWidth="1"/>
    <col min="9993" max="10240" width="10.28515625" style="107"/>
    <col min="10241" max="10241" width="3.42578125" style="107" customWidth="1"/>
    <col min="10242" max="10242" width="35.140625" style="107" customWidth="1"/>
    <col min="10243" max="10243" width="27.28515625" style="107" customWidth="1"/>
    <col min="10244" max="10244" width="11.140625" style="107" customWidth="1"/>
    <col min="10245" max="10245" width="1.7109375" style="107" customWidth="1"/>
    <col min="10246" max="10246" width="11" style="107" customWidth="1"/>
    <col min="10247" max="10247" width="1.7109375" style="107" customWidth="1"/>
    <col min="10248" max="10248" width="11" style="107" customWidth="1"/>
    <col min="10249" max="10496" width="10.28515625" style="107"/>
    <col min="10497" max="10497" width="3.42578125" style="107" customWidth="1"/>
    <col min="10498" max="10498" width="35.140625" style="107" customWidth="1"/>
    <col min="10499" max="10499" width="27.28515625" style="107" customWidth="1"/>
    <col min="10500" max="10500" width="11.140625" style="107" customWidth="1"/>
    <col min="10501" max="10501" width="1.7109375" style="107" customWidth="1"/>
    <col min="10502" max="10502" width="11" style="107" customWidth="1"/>
    <col min="10503" max="10503" width="1.7109375" style="107" customWidth="1"/>
    <col min="10504" max="10504" width="11" style="107" customWidth="1"/>
    <col min="10505" max="10752" width="10.28515625" style="107"/>
    <col min="10753" max="10753" width="3.42578125" style="107" customWidth="1"/>
    <col min="10754" max="10754" width="35.140625" style="107" customWidth="1"/>
    <col min="10755" max="10755" width="27.28515625" style="107" customWidth="1"/>
    <col min="10756" max="10756" width="11.140625" style="107" customWidth="1"/>
    <col min="10757" max="10757" width="1.7109375" style="107" customWidth="1"/>
    <col min="10758" max="10758" width="11" style="107" customWidth="1"/>
    <col min="10759" max="10759" width="1.7109375" style="107" customWidth="1"/>
    <col min="10760" max="10760" width="11" style="107" customWidth="1"/>
    <col min="10761" max="11008" width="10.28515625" style="107"/>
    <col min="11009" max="11009" width="3.42578125" style="107" customWidth="1"/>
    <col min="11010" max="11010" width="35.140625" style="107" customWidth="1"/>
    <col min="11011" max="11011" width="27.28515625" style="107" customWidth="1"/>
    <col min="11012" max="11012" width="11.140625" style="107" customWidth="1"/>
    <col min="11013" max="11013" width="1.7109375" style="107" customWidth="1"/>
    <col min="11014" max="11014" width="11" style="107" customWidth="1"/>
    <col min="11015" max="11015" width="1.7109375" style="107" customWidth="1"/>
    <col min="11016" max="11016" width="11" style="107" customWidth="1"/>
    <col min="11017" max="11264" width="10.28515625" style="107"/>
    <col min="11265" max="11265" width="3.42578125" style="107" customWidth="1"/>
    <col min="11266" max="11266" width="35.140625" style="107" customWidth="1"/>
    <col min="11267" max="11267" width="27.28515625" style="107" customWidth="1"/>
    <col min="11268" max="11268" width="11.140625" style="107" customWidth="1"/>
    <col min="11269" max="11269" width="1.7109375" style="107" customWidth="1"/>
    <col min="11270" max="11270" width="11" style="107" customWidth="1"/>
    <col min="11271" max="11271" width="1.7109375" style="107" customWidth="1"/>
    <col min="11272" max="11272" width="11" style="107" customWidth="1"/>
    <col min="11273" max="11520" width="10.28515625" style="107"/>
    <col min="11521" max="11521" width="3.42578125" style="107" customWidth="1"/>
    <col min="11522" max="11522" width="35.140625" style="107" customWidth="1"/>
    <col min="11523" max="11523" width="27.28515625" style="107" customWidth="1"/>
    <col min="11524" max="11524" width="11.140625" style="107" customWidth="1"/>
    <col min="11525" max="11525" width="1.7109375" style="107" customWidth="1"/>
    <col min="11526" max="11526" width="11" style="107" customWidth="1"/>
    <col min="11527" max="11527" width="1.7109375" style="107" customWidth="1"/>
    <col min="11528" max="11528" width="11" style="107" customWidth="1"/>
    <col min="11529" max="11776" width="10.28515625" style="107"/>
    <col min="11777" max="11777" width="3.42578125" style="107" customWidth="1"/>
    <col min="11778" max="11778" width="35.140625" style="107" customWidth="1"/>
    <col min="11779" max="11779" width="27.28515625" style="107" customWidth="1"/>
    <col min="11780" max="11780" width="11.140625" style="107" customWidth="1"/>
    <col min="11781" max="11781" width="1.7109375" style="107" customWidth="1"/>
    <col min="11782" max="11782" width="11" style="107" customWidth="1"/>
    <col min="11783" max="11783" width="1.7109375" style="107" customWidth="1"/>
    <col min="11784" max="11784" width="11" style="107" customWidth="1"/>
    <col min="11785" max="12032" width="10.28515625" style="107"/>
    <col min="12033" max="12033" width="3.42578125" style="107" customWidth="1"/>
    <col min="12034" max="12034" width="35.140625" style="107" customWidth="1"/>
    <col min="12035" max="12035" width="27.28515625" style="107" customWidth="1"/>
    <col min="12036" max="12036" width="11.140625" style="107" customWidth="1"/>
    <col min="12037" max="12037" width="1.7109375" style="107" customWidth="1"/>
    <col min="12038" max="12038" width="11" style="107" customWidth="1"/>
    <col min="12039" max="12039" width="1.7109375" style="107" customWidth="1"/>
    <col min="12040" max="12040" width="11" style="107" customWidth="1"/>
    <col min="12041" max="12288" width="10.28515625" style="107"/>
    <col min="12289" max="12289" width="3.42578125" style="107" customWidth="1"/>
    <col min="12290" max="12290" width="35.140625" style="107" customWidth="1"/>
    <col min="12291" max="12291" width="27.28515625" style="107" customWidth="1"/>
    <col min="12292" max="12292" width="11.140625" style="107" customWidth="1"/>
    <col min="12293" max="12293" width="1.7109375" style="107" customWidth="1"/>
    <col min="12294" max="12294" width="11" style="107" customWidth="1"/>
    <col min="12295" max="12295" width="1.7109375" style="107" customWidth="1"/>
    <col min="12296" max="12296" width="11" style="107" customWidth="1"/>
    <col min="12297" max="12544" width="10.28515625" style="107"/>
    <col min="12545" max="12545" width="3.42578125" style="107" customWidth="1"/>
    <col min="12546" max="12546" width="35.140625" style="107" customWidth="1"/>
    <col min="12547" max="12547" width="27.28515625" style="107" customWidth="1"/>
    <col min="12548" max="12548" width="11.140625" style="107" customWidth="1"/>
    <col min="12549" max="12549" width="1.7109375" style="107" customWidth="1"/>
    <col min="12550" max="12550" width="11" style="107" customWidth="1"/>
    <col min="12551" max="12551" width="1.7109375" style="107" customWidth="1"/>
    <col min="12552" max="12552" width="11" style="107" customWidth="1"/>
    <col min="12553" max="12800" width="10.28515625" style="107"/>
    <col min="12801" max="12801" width="3.42578125" style="107" customWidth="1"/>
    <col min="12802" max="12802" width="35.140625" style="107" customWidth="1"/>
    <col min="12803" max="12803" width="27.28515625" style="107" customWidth="1"/>
    <col min="12804" max="12804" width="11.140625" style="107" customWidth="1"/>
    <col min="12805" max="12805" width="1.7109375" style="107" customWidth="1"/>
    <col min="12806" max="12806" width="11" style="107" customWidth="1"/>
    <col min="12807" max="12807" width="1.7109375" style="107" customWidth="1"/>
    <col min="12808" max="12808" width="11" style="107" customWidth="1"/>
    <col min="12809" max="13056" width="10.28515625" style="107"/>
    <col min="13057" max="13057" width="3.42578125" style="107" customWidth="1"/>
    <col min="13058" max="13058" width="35.140625" style="107" customWidth="1"/>
    <col min="13059" max="13059" width="27.28515625" style="107" customWidth="1"/>
    <col min="13060" max="13060" width="11.140625" style="107" customWidth="1"/>
    <col min="13061" max="13061" width="1.7109375" style="107" customWidth="1"/>
    <col min="13062" max="13062" width="11" style="107" customWidth="1"/>
    <col min="13063" max="13063" width="1.7109375" style="107" customWidth="1"/>
    <col min="13064" max="13064" width="11" style="107" customWidth="1"/>
    <col min="13065" max="13312" width="10.28515625" style="107"/>
    <col min="13313" max="13313" width="3.42578125" style="107" customWidth="1"/>
    <col min="13314" max="13314" width="35.140625" style="107" customWidth="1"/>
    <col min="13315" max="13315" width="27.28515625" style="107" customWidth="1"/>
    <col min="13316" max="13316" width="11.140625" style="107" customWidth="1"/>
    <col min="13317" max="13317" width="1.7109375" style="107" customWidth="1"/>
    <col min="13318" max="13318" width="11" style="107" customWidth="1"/>
    <col min="13319" max="13319" width="1.7109375" style="107" customWidth="1"/>
    <col min="13320" max="13320" width="11" style="107" customWidth="1"/>
    <col min="13321" max="13568" width="10.28515625" style="107"/>
    <col min="13569" max="13569" width="3.42578125" style="107" customWidth="1"/>
    <col min="13570" max="13570" width="35.140625" style="107" customWidth="1"/>
    <col min="13571" max="13571" width="27.28515625" style="107" customWidth="1"/>
    <col min="13572" max="13572" width="11.140625" style="107" customWidth="1"/>
    <col min="13573" max="13573" width="1.7109375" style="107" customWidth="1"/>
    <col min="13574" max="13574" width="11" style="107" customWidth="1"/>
    <col min="13575" max="13575" width="1.7109375" style="107" customWidth="1"/>
    <col min="13576" max="13576" width="11" style="107" customWidth="1"/>
    <col min="13577" max="13824" width="10.28515625" style="107"/>
    <col min="13825" max="13825" width="3.42578125" style="107" customWidth="1"/>
    <col min="13826" max="13826" width="35.140625" style="107" customWidth="1"/>
    <col min="13827" max="13827" width="27.28515625" style="107" customWidth="1"/>
    <col min="13828" max="13828" width="11.140625" style="107" customWidth="1"/>
    <col min="13829" max="13829" width="1.7109375" style="107" customWidth="1"/>
    <col min="13830" max="13830" width="11" style="107" customWidth="1"/>
    <col min="13831" max="13831" width="1.7109375" style="107" customWidth="1"/>
    <col min="13832" max="13832" width="11" style="107" customWidth="1"/>
    <col min="13833" max="14080" width="10.28515625" style="107"/>
    <col min="14081" max="14081" width="3.42578125" style="107" customWidth="1"/>
    <col min="14082" max="14082" width="35.140625" style="107" customWidth="1"/>
    <col min="14083" max="14083" width="27.28515625" style="107" customWidth="1"/>
    <col min="14084" max="14084" width="11.140625" style="107" customWidth="1"/>
    <col min="14085" max="14085" width="1.7109375" style="107" customWidth="1"/>
    <col min="14086" max="14086" width="11" style="107" customWidth="1"/>
    <col min="14087" max="14087" width="1.7109375" style="107" customWidth="1"/>
    <col min="14088" max="14088" width="11" style="107" customWidth="1"/>
    <col min="14089" max="14336" width="10.28515625" style="107"/>
    <col min="14337" max="14337" width="3.42578125" style="107" customWidth="1"/>
    <col min="14338" max="14338" width="35.140625" style="107" customWidth="1"/>
    <col min="14339" max="14339" width="27.28515625" style="107" customWidth="1"/>
    <col min="14340" max="14340" width="11.140625" style="107" customWidth="1"/>
    <col min="14341" max="14341" width="1.7109375" style="107" customWidth="1"/>
    <col min="14342" max="14342" width="11" style="107" customWidth="1"/>
    <col min="14343" max="14343" width="1.7109375" style="107" customWidth="1"/>
    <col min="14344" max="14344" width="11" style="107" customWidth="1"/>
    <col min="14345" max="14592" width="10.28515625" style="107"/>
    <col min="14593" max="14593" width="3.42578125" style="107" customWidth="1"/>
    <col min="14594" max="14594" width="35.140625" style="107" customWidth="1"/>
    <col min="14595" max="14595" width="27.28515625" style="107" customWidth="1"/>
    <col min="14596" max="14596" width="11.140625" style="107" customWidth="1"/>
    <col min="14597" max="14597" width="1.7109375" style="107" customWidth="1"/>
    <col min="14598" max="14598" width="11" style="107" customWidth="1"/>
    <col min="14599" max="14599" width="1.7109375" style="107" customWidth="1"/>
    <col min="14600" max="14600" width="11" style="107" customWidth="1"/>
    <col min="14601" max="14848" width="10.28515625" style="107"/>
    <col min="14849" max="14849" width="3.42578125" style="107" customWidth="1"/>
    <col min="14850" max="14850" width="35.140625" style="107" customWidth="1"/>
    <col min="14851" max="14851" width="27.28515625" style="107" customWidth="1"/>
    <col min="14852" max="14852" width="11.140625" style="107" customWidth="1"/>
    <col min="14853" max="14853" width="1.7109375" style="107" customWidth="1"/>
    <col min="14854" max="14854" width="11" style="107" customWidth="1"/>
    <col min="14855" max="14855" width="1.7109375" style="107" customWidth="1"/>
    <col min="14856" max="14856" width="11" style="107" customWidth="1"/>
    <col min="14857" max="15104" width="10.28515625" style="107"/>
    <col min="15105" max="15105" width="3.42578125" style="107" customWidth="1"/>
    <col min="15106" max="15106" width="35.140625" style="107" customWidth="1"/>
    <col min="15107" max="15107" width="27.28515625" style="107" customWidth="1"/>
    <col min="15108" max="15108" width="11.140625" style="107" customWidth="1"/>
    <col min="15109" max="15109" width="1.7109375" style="107" customWidth="1"/>
    <col min="15110" max="15110" width="11" style="107" customWidth="1"/>
    <col min="15111" max="15111" width="1.7109375" style="107" customWidth="1"/>
    <col min="15112" max="15112" width="11" style="107" customWidth="1"/>
    <col min="15113" max="15360" width="10.28515625" style="107"/>
    <col min="15361" max="15361" width="3.42578125" style="107" customWidth="1"/>
    <col min="15362" max="15362" width="35.140625" style="107" customWidth="1"/>
    <col min="15363" max="15363" width="27.28515625" style="107" customWidth="1"/>
    <col min="15364" max="15364" width="11.140625" style="107" customWidth="1"/>
    <col min="15365" max="15365" width="1.7109375" style="107" customWidth="1"/>
    <col min="15366" max="15366" width="11" style="107" customWidth="1"/>
    <col min="15367" max="15367" width="1.7109375" style="107" customWidth="1"/>
    <col min="15368" max="15368" width="11" style="107" customWidth="1"/>
    <col min="15369" max="15616" width="10.28515625" style="107"/>
    <col min="15617" max="15617" width="3.42578125" style="107" customWidth="1"/>
    <col min="15618" max="15618" width="35.140625" style="107" customWidth="1"/>
    <col min="15619" max="15619" width="27.28515625" style="107" customWidth="1"/>
    <col min="15620" max="15620" width="11.140625" style="107" customWidth="1"/>
    <col min="15621" max="15621" width="1.7109375" style="107" customWidth="1"/>
    <col min="15622" max="15622" width="11" style="107" customWidth="1"/>
    <col min="15623" max="15623" width="1.7109375" style="107" customWidth="1"/>
    <col min="15624" max="15624" width="11" style="107" customWidth="1"/>
    <col min="15625" max="15872" width="10.28515625" style="107"/>
    <col min="15873" max="15873" width="3.42578125" style="107" customWidth="1"/>
    <col min="15874" max="15874" width="35.140625" style="107" customWidth="1"/>
    <col min="15875" max="15875" width="27.28515625" style="107" customWidth="1"/>
    <col min="15876" max="15876" width="11.140625" style="107" customWidth="1"/>
    <col min="15877" max="15877" width="1.7109375" style="107" customWidth="1"/>
    <col min="15878" max="15878" width="11" style="107" customWidth="1"/>
    <col min="15879" max="15879" width="1.7109375" style="107" customWidth="1"/>
    <col min="15880" max="15880" width="11" style="107" customWidth="1"/>
    <col min="15881" max="16128" width="10.28515625" style="107"/>
    <col min="16129" max="16129" width="3.42578125" style="107" customWidth="1"/>
    <col min="16130" max="16130" width="35.140625" style="107" customWidth="1"/>
    <col min="16131" max="16131" width="27.28515625" style="107" customWidth="1"/>
    <col min="16132" max="16132" width="11.140625" style="107" customWidth="1"/>
    <col min="16133" max="16133" width="1.7109375" style="107" customWidth="1"/>
    <col min="16134" max="16134" width="11" style="107" customWidth="1"/>
    <col min="16135" max="16135" width="1.7109375" style="107" customWidth="1"/>
    <col min="16136" max="16136" width="11" style="107" customWidth="1"/>
    <col min="16137" max="16384" width="10.28515625" style="107"/>
  </cols>
  <sheetData>
    <row r="4" spans="2:8">
      <c r="B4" s="106" t="s">
        <v>138</v>
      </c>
    </row>
    <row r="5" spans="2:8">
      <c r="C5" s="108" t="s">
        <v>139</v>
      </c>
      <c r="D5" s="125">
        <v>238.40199999999999</v>
      </c>
      <c r="E5" s="109"/>
      <c r="F5" s="109"/>
      <c r="G5" s="109"/>
      <c r="H5" s="109"/>
    </row>
    <row r="6" spans="2:8">
      <c r="C6" s="108" t="s">
        <v>140</v>
      </c>
      <c r="D6" s="133">
        <v>71.33</v>
      </c>
      <c r="E6" s="109"/>
      <c r="F6" s="130" t="s">
        <v>167</v>
      </c>
      <c r="G6" s="109"/>
      <c r="H6" s="109"/>
    </row>
    <row r="7" spans="2:8">
      <c r="C7" s="108" t="s">
        <v>141</v>
      </c>
      <c r="D7" s="131">
        <v>0.45</v>
      </c>
      <c r="E7" s="110"/>
      <c r="F7" s="130" t="s">
        <v>168</v>
      </c>
      <c r="G7" s="110"/>
      <c r="H7" s="110"/>
    </row>
    <row r="8" spans="2:8">
      <c r="C8" s="108" t="s">
        <v>142</v>
      </c>
      <c r="D8" s="131">
        <v>2.3999999999999998E-3</v>
      </c>
      <c r="E8" s="110"/>
      <c r="F8" s="130" t="s">
        <v>168</v>
      </c>
      <c r="G8" s="110"/>
      <c r="H8" s="110"/>
    </row>
    <row r="9" spans="2:8">
      <c r="C9" s="108" t="s">
        <v>143</v>
      </c>
      <c r="D9" s="132">
        <v>7.05</v>
      </c>
      <c r="E9" s="111"/>
      <c r="F9" s="130" t="s">
        <v>167</v>
      </c>
      <c r="G9" s="111"/>
      <c r="H9" s="111"/>
    </row>
    <row r="10" spans="2:8">
      <c r="C10" s="108" t="s">
        <v>144</v>
      </c>
      <c r="D10" s="131">
        <v>0</v>
      </c>
      <c r="E10" s="110"/>
      <c r="F10" s="130" t="s">
        <v>168</v>
      </c>
      <c r="G10" s="110"/>
      <c r="H10" s="110"/>
    </row>
    <row r="11" spans="2:8">
      <c r="D11" s="128"/>
    </row>
    <row r="12" spans="2:8">
      <c r="B12" s="112" t="s">
        <v>145</v>
      </c>
      <c r="D12" s="125">
        <f>D5*EXP(-LN(1+D10)*D9)*NORMSDIST((LN(D5/D6) + (LN(1+D8)-LN(1+D10)+D7*D7/2)*D9)/(D7*SQRT(D9))) - D6*EXP(-LN(1+D8)*D9)*NORMSDIST((LN(D5/D6) + (LN(1+D8)-LN(1+D10)+D7*D7/2)*D9)/(D7*SQRT(D9)) - D7*SQRT(D9))</f>
        <v>179.24374424540633</v>
      </c>
      <c r="E12" s="109"/>
      <c r="F12" s="109"/>
      <c r="G12" s="109"/>
      <c r="H12" s="109"/>
    </row>
    <row r="13" spans="2:8">
      <c r="B13" s="113"/>
      <c r="C13" s="108" t="s">
        <v>146</v>
      </c>
      <c r="D13" s="129">
        <v>4572952</v>
      </c>
      <c r="E13" s="114"/>
      <c r="F13" s="130" t="s">
        <v>167</v>
      </c>
      <c r="H13" s="115"/>
    </row>
    <row r="14" spans="2:8">
      <c r="C14" s="108" t="s">
        <v>147</v>
      </c>
      <c r="D14" s="127">
        <f>Assumption!C17</f>
        <v>0.43</v>
      </c>
    </row>
    <row r="15" spans="2:8">
      <c r="C15" s="107" t="s">
        <v>148</v>
      </c>
      <c r="D15" s="126">
        <f>(1-D14)*D13*D12</f>
        <v>467213632.07867604</v>
      </c>
    </row>
    <row r="16" spans="2:8">
      <c r="D16" s="116"/>
    </row>
    <row r="18" spans="10:10">
      <c r="J18" s="107" t="s">
        <v>5</v>
      </c>
    </row>
    <row r="46" spans="2:7">
      <c r="B46" s="117"/>
      <c r="C46" s="117"/>
      <c r="D46" s="117"/>
      <c r="E46" s="117"/>
      <c r="F46" s="117"/>
      <c r="G46" s="117"/>
    </row>
    <row r="47" spans="2:7">
      <c r="B47" s="117"/>
      <c r="C47" s="117"/>
      <c r="D47" s="117"/>
      <c r="E47" s="117"/>
      <c r="F47" s="117"/>
      <c r="G47" s="117"/>
    </row>
    <row r="48" spans="2:7">
      <c r="B48" s="117"/>
      <c r="C48" s="117"/>
      <c r="D48" s="117"/>
      <c r="E48" s="117"/>
      <c r="F48" s="117"/>
      <c r="G48" s="117"/>
    </row>
    <row r="49" spans="2:7">
      <c r="B49" s="117"/>
      <c r="C49" s="117"/>
      <c r="D49" s="117"/>
      <c r="E49" s="117"/>
      <c r="F49" s="117"/>
      <c r="G49" s="117"/>
    </row>
    <row r="50" spans="2:7">
      <c r="B50" s="117"/>
      <c r="C50" s="117"/>
      <c r="D50" s="117"/>
      <c r="F50" s="117"/>
      <c r="G50" s="117"/>
    </row>
    <row r="51" spans="2:7">
      <c r="B51" s="117"/>
      <c r="C51" s="117"/>
      <c r="D51" s="117"/>
      <c r="E51" s="117"/>
      <c r="F51" s="117"/>
      <c r="G51" s="117"/>
    </row>
    <row r="52" spans="2:7">
      <c r="B52" s="117"/>
      <c r="C52" s="117"/>
      <c r="D52" s="117"/>
      <c r="E52" s="117"/>
      <c r="F52" s="117"/>
      <c r="G52" s="117"/>
    </row>
    <row r="53" spans="2:7">
      <c r="B53" s="117"/>
      <c r="C53" s="117"/>
      <c r="D53" s="117"/>
      <c r="E53" s="117"/>
      <c r="F53" s="117"/>
      <c r="G53" s="117"/>
    </row>
    <row r="54" spans="2:7">
      <c r="B54" s="117"/>
      <c r="C54" s="117"/>
      <c r="D54" s="117"/>
      <c r="E54" s="117"/>
      <c r="F54" s="117"/>
      <c r="G54" s="117"/>
    </row>
    <row r="55" spans="2:7">
      <c r="B55" s="117"/>
      <c r="C55" s="117"/>
      <c r="D55" s="117"/>
      <c r="E55" s="117"/>
      <c r="F55" s="117"/>
      <c r="G55" s="117"/>
    </row>
    <row r="56" spans="2:7">
      <c r="B56" s="117"/>
      <c r="C56" s="117"/>
      <c r="D56" s="117"/>
      <c r="E56" s="117"/>
      <c r="F56" s="117"/>
      <c r="G56" s="117"/>
    </row>
    <row r="57" spans="2:7">
      <c r="B57" s="117"/>
      <c r="C57" s="117"/>
      <c r="D57" s="117"/>
      <c r="E57" s="117"/>
      <c r="F57" s="117"/>
      <c r="G57" s="117"/>
    </row>
    <row r="58" spans="2:7">
      <c r="B58" s="117"/>
      <c r="C58" s="117"/>
      <c r="D58" s="117"/>
      <c r="E58" s="117"/>
      <c r="F58" s="117"/>
      <c r="G58" s="117"/>
    </row>
    <row r="59" spans="2:7">
      <c r="B59" s="118" t="s">
        <v>149</v>
      </c>
      <c r="C59" s="117"/>
      <c r="D59" s="117"/>
      <c r="E59" s="117"/>
      <c r="F59" s="117"/>
      <c r="G59" s="117"/>
    </row>
    <row r="60" spans="2:7">
      <c r="B60" s="117" t="s">
        <v>150</v>
      </c>
      <c r="C60" s="117"/>
      <c r="D60" s="117"/>
      <c r="E60" s="117"/>
      <c r="F60" s="117"/>
      <c r="G60" s="117"/>
    </row>
    <row r="61" spans="2:7">
      <c r="B61" s="117"/>
      <c r="C61" s="117"/>
      <c r="D61" s="117"/>
      <c r="E61" s="117"/>
      <c r="F61" s="117"/>
      <c r="G61" s="117"/>
    </row>
    <row r="62" spans="2:7">
      <c r="B62" s="119" t="s">
        <v>151</v>
      </c>
      <c r="C62" s="119" t="s">
        <v>152</v>
      </c>
      <c r="D62" s="119"/>
      <c r="E62" s="119" t="s">
        <v>153</v>
      </c>
      <c r="F62" s="119"/>
      <c r="G62" s="119"/>
    </row>
    <row r="63" spans="2:7">
      <c r="B63" s="120">
        <v>33334</v>
      </c>
      <c r="C63" s="107" t="s">
        <v>154</v>
      </c>
      <c r="E63" s="107" t="s">
        <v>155</v>
      </c>
    </row>
    <row r="64" spans="2:7">
      <c r="E64" s="107" t="s">
        <v>156</v>
      </c>
    </row>
  </sheetData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19"/>
  <sheetViews>
    <sheetView workbookViewId="0">
      <selection activeCell="D22" sqref="D22"/>
    </sheetView>
  </sheetViews>
  <sheetFormatPr defaultColWidth="9.140625" defaultRowHeight="15"/>
  <cols>
    <col min="1" max="1" width="21.5703125" style="141" bestFit="1" customWidth="1"/>
    <col min="2" max="2" width="12.28515625" style="141" bestFit="1" customWidth="1"/>
    <col min="3" max="3" width="22.5703125" style="141" bestFit="1" customWidth="1"/>
    <col min="4" max="4" width="23.7109375" style="141" bestFit="1" customWidth="1"/>
    <col min="5" max="5" width="20.85546875" style="141" bestFit="1" customWidth="1"/>
    <col min="6" max="6" width="31.42578125" style="141" bestFit="1" customWidth="1"/>
    <col min="7" max="16384" width="9.140625" style="141"/>
  </cols>
  <sheetData>
    <row r="1" spans="1:6">
      <c r="A1" s="135" t="s">
        <v>171</v>
      </c>
    </row>
    <row r="2" spans="1:6">
      <c r="B2" s="153" t="s">
        <v>173</v>
      </c>
      <c r="C2" s="153"/>
      <c r="D2" s="153"/>
      <c r="E2" s="140" t="s">
        <v>175</v>
      </c>
      <c r="F2" s="139" t="s">
        <v>183</v>
      </c>
    </row>
    <row r="3" spans="1:6">
      <c r="A3" s="142" t="s">
        <v>151</v>
      </c>
      <c r="B3" s="142" t="s">
        <v>174</v>
      </c>
      <c r="C3" s="142" t="s">
        <v>41</v>
      </c>
      <c r="D3" s="142" t="s">
        <v>177</v>
      </c>
      <c r="E3" s="142" t="s">
        <v>176</v>
      </c>
    </row>
    <row r="4" spans="1:6">
      <c r="A4" s="141" t="s">
        <v>172</v>
      </c>
      <c r="B4" s="137">
        <f>-(D4+C4)</f>
        <v>-50242</v>
      </c>
      <c r="C4" s="137">
        <v>-289758</v>
      </c>
      <c r="D4" s="137">
        <v>340000</v>
      </c>
      <c r="E4" s="137">
        <v>0</v>
      </c>
      <c r="F4" s="143" t="s">
        <v>182</v>
      </c>
    </row>
    <row r="5" spans="1:6" ht="15.75" thickBot="1">
      <c r="B5" s="138">
        <f>SUM(B4)</f>
        <v>-50242</v>
      </c>
      <c r="C5" s="138">
        <f t="shared" ref="C5:E5" si="0">SUM(C4)</f>
        <v>-289758</v>
      </c>
      <c r="D5" s="138">
        <f t="shared" si="0"/>
        <v>340000</v>
      </c>
      <c r="E5" s="138">
        <f t="shared" si="0"/>
        <v>0</v>
      </c>
      <c r="F5" s="143"/>
    </row>
    <row r="6" spans="1:6" ht="15.75" thickTop="1">
      <c r="B6" s="147"/>
      <c r="C6" s="137"/>
      <c r="D6" s="137"/>
      <c r="E6" s="137"/>
      <c r="F6" s="143"/>
    </row>
    <row r="7" spans="1:6">
      <c r="B7" s="147"/>
      <c r="C7" s="137"/>
      <c r="D7" s="137"/>
      <c r="E7" s="137"/>
      <c r="F7" s="143"/>
    </row>
    <row r="8" spans="1:6">
      <c r="B8" s="154" t="s">
        <v>173</v>
      </c>
      <c r="C8" s="154"/>
      <c r="D8" s="154"/>
      <c r="E8" s="139" t="s">
        <v>175</v>
      </c>
      <c r="F8" s="139" t="s">
        <v>183</v>
      </c>
    </row>
    <row r="9" spans="1:6">
      <c r="A9" s="142" t="s">
        <v>151</v>
      </c>
      <c r="B9" s="142" t="s">
        <v>174</v>
      </c>
      <c r="C9" s="142" t="s">
        <v>41</v>
      </c>
      <c r="D9" s="142" t="s">
        <v>177</v>
      </c>
      <c r="E9" s="142" t="s">
        <v>176</v>
      </c>
    </row>
    <row r="10" spans="1:6">
      <c r="A10" s="141" t="s">
        <v>172</v>
      </c>
      <c r="B10" s="137">
        <v>0</v>
      </c>
      <c r="C10" s="136">
        <v>0</v>
      </c>
      <c r="D10" s="137">
        <f>B15*B17</f>
        <v>30000</v>
      </c>
      <c r="E10" s="137">
        <f>-B15*B17</f>
        <v>-30000</v>
      </c>
      <c r="F10" s="141" t="s">
        <v>184</v>
      </c>
    </row>
    <row r="11" spans="1:6">
      <c r="B11" s="137">
        <f>B18*B15</f>
        <v>10000</v>
      </c>
      <c r="C11" s="137">
        <v>0</v>
      </c>
      <c r="D11" s="137">
        <f>-B15*B18</f>
        <v>-10000</v>
      </c>
      <c r="E11" s="137">
        <v>0</v>
      </c>
      <c r="F11" s="141" t="s">
        <v>185</v>
      </c>
    </row>
    <row r="12" spans="1:6" ht="15.75" thickBot="1">
      <c r="B12" s="138">
        <f>SUM(B10:B11)</f>
        <v>10000</v>
      </c>
      <c r="C12" s="138">
        <f t="shared" ref="C12:E12" si="1">SUM(C10:C11)</f>
        <v>0</v>
      </c>
      <c r="D12" s="138">
        <f>SUM(D10:D11)</f>
        <v>20000</v>
      </c>
      <c r="E12" s="138">
        <f t="shared" si="1"/>
        <v>-30000</v>
      </c>
    </row>
    <row r="13" spans="1:6" ht="15.75" thickTop="1">
      <c r="B13" s="142"/>
    </row>
    <row r="14" spans="1:6">
      <c r="E14" s="141" t="s">
        <v>5</v>
      </c>
    </row>
    <row r="15" spans="1:6">
      <c r="A15" s="141" t="s">
        <v>178</v>
      </c>
      <c r="B15" s="144">
        <v>0.2</v>
      </c>
      <c r="C15" s="144"/>
      <c r="D15" s="144"/>
    </row>
    <row r="16" spans="1:6">
      <c r="A16" s="141" t="s">
        <v>179</v>
      </c>
      <c r="B16" s="145">
        <v>340000</v>
      </c>
      <c r="C16" s="145"/>
      <c r="D16" s="145"/>
    </row>
    <row r="17" spans="1:11">
      <c r="A17" s="141" t="s">
        <v>180</v>
      </c>
      <c r="B17" s="145">
        <v>150000</v>
      </c>
      <c r="D17" s="145"/>
    </row>
    <row r="18" spans="1:11">
      <c r="A18" s="141" t="s">
        <v>181</v>
      </c>
      <c r="B18" s="145">
        <v>50000</v>
      </c>
      <c r="D18" s="145"/>
    </row>
    <row r="19" spans="1:11">
      <c r="E19" s="146"/>
      <c r="F19" s="146"/>
      <c r="G19" s="146"/>
      <c r="H19" s="146"/>
      <c r="I19" s="146"/>
      <c r="J19" s="146"/>
      <c r="K19" s="146"/>
    </row>
  </sheetData>
  <mergeCells count="2">
    <mergeCell ref="B2:D2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Pro Forma Balance Sheet</vt:lpstr>
      <vt:lpstr>Pro Forma Cash Flow</vt:lpstr>
      <vt:lpstr>Pro Forma Income Statement</vt:lpstr>
      <vt:lpstr>Assumption</vt:lpstr>
      <vt:lpstr>Valuation </vt:lpstr>
      <vt:lpstr>Standard Finance Template</vt:lpstr>
      <vt:lpstr>Employee stock option</vt:lpstr>
      <vt:lpstr>Option Value </vt:lpstr>
      <vt:lpstr>Short-term investment</vt:lpstr>
      <vt:lpstr>Assumption!Print_Area</vt:lpstr>
      <vt:lpstr>'Employee stock option'!Print_Area</vt:lpstr>
      <vt:lpstr>'Option Value '!Print_Area</vt:lpstr>
      <vt:lpstr>'Valuation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daboody</dc:creator>
  <cp:lastModifiedBy>daboody</cp:lastModifiedBy>
  <cp:lastPrinted>2014-02-02T22:42:31Z</cp:lastPrinted>
  <dcterms:created xsi:type="dcterms:W3CDTF">2013-10-02T23:51:16Z</dcterms:created>
  <dcterms:modified xsi:type="dcterms:W3CDTF">2018-07-04T18:54:59Z</dcterms:modified>
</cp:coreProperties>
</file>