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xWindow="630" yWindow="585" windowWidth="21735" windowHeight="10680"/>
  </bookViews>
  <sheets>
    <sheet name="Sheet1" sheetId="1" r:id="rId1"/>
    <sheet name="forecast" sheetId="2" r:id="rId2"/>
  </sheets>
  <calcPr calcId="144525"/>
</workbook>
</file>

<file path=xl/calcChain.xml><?xml version="1.0" encoding="utf-8"?>
<calcChain xmlns="http://schemas.openxmlformats.org/spreadsheetml/2006/main">
  <c r="B253" i="1" l="1"/>
  <c r="B251" i="1"/>
  <c r="B249" i="1"/>
  <c r="B247" i="1"/>
  <c r="B245" i="1"/>
  <c r="B243" i="1"/>
  <c r="B241" i="1"/>
  <c r="B239" i="1"/>
  <c r="B237" i="1"/>
  <c r="B235" i="1"/>
  <c r="B233" i="1"/>
  <c r="B231" i="1"/>
  <c r="B229" i="1"/>
  <c r="B227" i="1"/>
  <c r="B225" i="1"/>
  <c r="B223" i="1"/>
  <c r="B221" i="1"/>
  <c r="B219" i="1"/>
  <c r="B217" i="1"/>
  <c r="B215" i="1"/>
  <c r="B213" i="1"/>
  <c r="B211" i="1"/>
  <c r="B209" i="1"/>
  <c r="B207" i="1"/>
  <c r="B205" i="1"/>
  <c r="B203" i="1"/>
  <c r="B201" i="1"/>
  <c r="B199" i="1"/>
  <c r="B197" i="1"/>
  <c r="B195" i="1"/>
  <c r="B193" i="1"/>
  <c r="B191" i="1"/>
  <c r="B189" i="1"/>
  <c r="B187" i="1"/>
  <c r="B185" i="1"/>
  <c r="B183" i="1"/>
  <c r="B181" i="1"/>
  <c r="B179" i="1"/>
  <c r="B177" i="1"/>
  <c r="B175" i="1"/>
  <c r="B173" i="1"/>
  <c r="B171" i="1"/>
  <c r="B169" i="1"/>
  <c r="B167" i="1"/>
  <c r="B165" i="1"/>
  <c r="B163" i="1"/>
  <c r="B161" i="1"/>
  <c r="B159" i="1"/>
  <c r="B157" i="1"/>
  <c r="B155" i="1"/>
  <c r="B153" i="1"/>
  <c r="B151" i="1"/>
  <c r="B149" i="1"/>
  <c r="B147" i="1"/>
  <c r="B145" i="1"/>
  <c r="B143" i="1"/>
  <c r="B141" i="1"/>
  <c r="B139" i="1"/>
  <c r="B137" i="1"/>
  <c r="B135" i="1"/>
  <c r="B133" i="1"/>
  <c r="B131" i="1"/>
  <c r="B129" i="1"/>
  <c r="B127" i="1"/>
  <c r="B125" i="1"/>
  <c r="B123" i="1"/>
  <c r="B121" i="1"/>
  <c r="B119" i="1"/>
  <c r="B117" i="1"/>
  <c r="B115" i="1"/>
  <c r="B113" i="1"/>
  <c r="B111" i="1"/>
  <c r="B109" i="1"/>
  <c r="B107" i="1"/>
  <c r="B105" i="1"/>
  <c r="B103" i="1"/>
  <c r="B101" i="1"/>
  <c r="B99" i="1"/>
  <c r="B97" i="1"/>
  <c r="B95" i="1"/>
  <c r="B93" i="1"/>
  <c r="B91" i="1"/>
  <c r="B89" i="1"/>
  <c r="B87" i="1"/>
  <c r="B85" i="1"/>
  <c r="B83" i="1"/>
  <c r="B81" i="1"/>
  <c r="B79" i="1"/>
  <c r="B77" i="1"/>
  <c r="B75" i="1"/>
  <c r="B73" i="1"/>
  <c r="B71" i="1"/>
  <c r="B69" i="1"/>
  <c r="B67" i="1"/>
  <c r="B65" i="1"/>
  <c r="B63" i="1"/>
  <c r="B61" i="1"/>
  <c r="B59" i="1"/>
  <c r="B57" i="1"/>
  <c r="B55" i="1"/>
  <c r="B53" i="1"/>
  <c r="B51" i="1"/>
  <c r="B49" i="1"/>
  <c r="B47" i="1"/>
  <c r="B45" i="1"/>
  <c r="B43" i="1"/>
  <c r="B41" i="1"/>
  <c r="B39" i="1"/>
  <c r="B37" i="1"/>
  <c r="B35" i="1"/>
  <c r="B33" i="1"/>
  <c r="B31" i="1"/>
  <c r="B29" i="1"/>
  <c r="B27" i="1"/>
  <c r="B25" i="1"/>
  <c r="B23" i="1"/>
  <c r="B21" i="1"/>
  <c r="B19" i="1"/>
  <c r="B17" i="1"/>
  <c r="B15" i="1"/>
  <c r="B13" i="1"/>
  <c r="B11" i="1"/>
  <c r="B9" i="1"/>
  <c r="B7" i="1"/>
  <c r="B5" i="1"/>
  <c r="B3" i="1"/>
  <c r="B1" i="1"/>
  <c r="A253" i="1"/>
  <c r="A251" i="1"/>
  <c r="A249" i="1"/>
  <c r="A247" i="1"/>
  <c r="A245" i="1"/>
  <c r="A243" i="1"/>
  <c r="A241" i="1"/>
  <c r="A239" i="1"/>
  <c r="A237" i="1"/>
  <c r="A235" i="1"/>
  <c r="A233" i="1"/>
  <c r="A231" i="1"/>
  <c r="A229" i="1"/>
  <c r="A227" i="1"/>
  <c r="A225" i="1"/>
  <c r="A223" i="1"/>
  <c r="A221" i="1"/>
  <c r="A219" i="1"/>
  <c r="A217" i="1"/>
  <c r="A215" i="1"/>
  <c r="A213" i="1"/>
  <c r="A211" i="1"/>
  <c r="A209" i="1"/>
  <c r="A207" i="1"/>
  <c r="A205" i="1"/>
  <c r="A203" i="1"/>
  <c r="A201" i="1"/>
  <c r="A199" i="1"/>
  <c r="A197" i="1"/>
  <c r="A195" i="1"/>
  <c r="A193" i="1"/>
  <c r="A191" i="1"/>
  <c r="A189" i="1"/>
  <c r="A187" i="1"/>
  <c r="A185" i="1"/>
  <c r="A183" i="1"/>
  <c r="A181" i="1"/>
  <c r="A179" i="1"/>
  <c r="A177" i="1"/>
  <c r="A175" i="1"/>
  <c r="A173" i="1"/>
  <c r="A171" i="1"/>
  <c r="A169" i="1"/>
  <c r="A167" i="1"/>
  <c r="A165" i="1"/>
  <c r="A163" i="1"/>
  <c r="A161" i="1"/>
  <c r="A159" i="1"/>
  <c r="A157" i="1"/>
  <c r="A155" i="1"/>
  <c r="A153" i="1"/>
  <c r="A151" i="1"/>
  <c r="A149" i="1"/>
  <c r="A147" i="1"/>
  <c r="A145" i="1"/>
  <c r="A143" i="1"/>
  <c r="A141" i="1"/>
  <c r="A139" i="1"/>
  <c r="A137" i="1"/>
  <c r="A135" i="1"/>
  <c r="A133" i="1"/>
  <c r="A131" i="1"/>
  <c r="A129" i="1"/>
  <c r="A127" i="1"/>
  <c r="A125" i="1"/>
  <c r="A123" i="1"/>
  <c r="A121" i="1"/>
  <c r="A119" i="1"/>
  <c r="A117" i="1"/>
  <c r="A115" i="1"/>
  <c r="A113" i="1"/>
  <c r="A111" i="1"/>
  <c r="A109" i="1"/>
  <c r="A107" i="1"/>
  <c r="A105" i="1"/>
  <c r="A103" i="1"/>
  <c r="A101" i="1"/>
  <c r="A99" i="1"/>
  <c r="A97" i="1"/>
  <c r="A95" i="1"/>
  <c r="A93" i="1"/>
  <c r="A91" i="1"/>
  <c r="A89" i="1"/>
  <c r="A87" i="1"/>
  <c r="A85" i="1"/>
  <c r="A83" i="1"/>
  <c r="A81" i="1"/>
  <c r="A79" i="1"/>
  <c r="A77" i="1"/>
  <c r="A75" i="1"/>
  <c r="A73" i="1"/>
  <c r="A71" i="1"/>
  <c r="A69" i="1"/>
  <c r="A67" i="1"/>
  <c r="A65" i="1"/>
  <c r="A63" i="1"/>
  <c r="A61" i="1"/>
  <c r="A59" i="1"/>
  <c r="A57" i="1"/>
  <c r="A55" i="1"/>
  <c r="A53" i="1"/>
  <c r="A51" i="1"/>
  <c r="A49" i="1"/>
  <c r="A47" i="1"/>
  <c r="A45" i="1"/>
  <c r="A43" i="1"/>
  <c r="A41" i="1"/>
  <c r="A39" i="1"/>
  <c r="A37" i="1"/>
  <c r="A35" i="1"/>
  <c r="A33" i="1"/>
  <c r="A31" i="1"/>
  <c r="A29" i="1"/>
  <c r="A27" i="1"/>
  <c r="A25" i="1"/>
  <c r="A23" i="1"/>
  <c r="A21" i="1"/>
  <c r="A19" i="1"/>
  <c r="A17" i="1"/>
  <c r="A15" i="1"/>
  <c r="A13" i="1"/>
  <c r="A11" i="1"/>
  <c r="A9" i="1"/>
  <c r="A7" i="1"/>
  <c r="A5" i="1"/>
  <c r="A3" i="1"/>
  <c r="A1" i="1"/>
  <c r="B252" i="1"/>
  <c r="B250" i="1"/>
  <c r="B248" i="1"/>
  <c r="B246" i="1"/>
  <c r="B244" i="1"/>
  <c r="B242" i="1"/>
  <c r="B240" i="1"/>
  <c r="B238" i="1"/>
  <c r="B236" i="1"/>
  <c r="B234" i="1"/>
  <c r="B232" i="1"/>
  <c r="B230" i="1"/>
  <c r="B228" i="1"/>
  <c r="B226" i="1"/>
  <c r="B224" i="1"/>
  <c r="B222" i="1"/>
  <c r="B220" i="1"/>
  <c r="B218" i="1"/>
  <c r="B216" i="1"/>
  <c r="B214" i="1"/>
  <c r="B212" i="1"/>
  <c r="B210" i="1"/>
  <c r="B208" i="1"/>
  <c r="B206" i="1"/>
  <c r="B204" i="1"/>
  <c r="B202" i="1"/>
  <c r="B200" i="1"/>
  <c r="B198" i="1"/>
  <c r="B196" i="1"/>
  <c r="B194" i="1"/>
  <c r="B192" i="1"/>
  <c r="B190" i="1"/>
  <c r="B188" i="1"/>
  <c r="B186" i="1"/>
  <c r="B184" i="1"/>
  <c r="B182" i="1"/>
  <c r="B180" i="1"/>
  <c r="B178" i="1"/>
  <c r="B176" i="1"/>
  <c r="B174" i="1"/>
  <c r="B172" i="1"/>
  <c r="B170" i="1"/>
  <c r="B168" i="1"/>
  <c r="B166" i="1"/>
  <c r="B164" i="1"/>
  <c r="B162" i="1"/>
  <c r="B160" i="1"/>
  <c r="B158" i="1"/>
  <c r="B156" i="1"/>
  <c r="B154" i="1"/>
  <c r="B152" i="1"/>
  <c r="B150" i="1"/>
  <c r="B148" i="1"/>
  <c r="B146" i="1"/>
  <c r="B144" i="1"/>
  <c r="B142" i="1"/>
  <c r="B140" i="1"/>
  <c r="B138" i="1"/>
  <c r="B136" i="1"/>
  <c r="B134" i="1"/>
  <c r="B132" i="1"/>
  <c r="B130" i="1"/>
  <c r="B128" i="1"/>
  <c r="B126" i="1"/>
  <c r="B124" i="1"/>
  <c r="B122" i="1"/>
  <c r="B120" i="1"/>
  <c r="B118" i="1"/>
  <c r="B116" i="1"/>
  <c r="B114" i="1"/>
  <c r="B112" i="1"/>
  <c r="B110" i="1"/>
  <c r="B108" i="1"/>
  <c r="B106" i="1"/>
  <c r="B104" i="1"/>
  <c r="B102" i="1"/>
  <c r="B100" i="1"/>
  <c r="B98" i="1"/>
  <c r="B96" i="1"/>
  <c r="B94" i="1"/>
  <c r="B92" i="1"/>
  <c r="B90" i="1"/>
  <c r="B88" i="1"/>
  <c r="B86" i="1"/>
  <c r="B84" i="1"/>
  <c r="B82" i="1"/>
  <c r="B80" i="1"/>
  <c r="B78" i="1"/>
  <c r="B76" i="1"/>
  <c r="B74" i="1"/>
  <c r="B72" i="1"/>
  <c r="B70" i="1"/>
  <c r="B68" i="1"/>
  <c r="B66" i="1"/>
  <c r="B64" i="1"/>
  <c r="B62" i="1"/>
  <c r="B60" i="1"/>
  <c r="B58" i="1"/>
  <c r="B56" i="1"/>
  <c r="B54" i="1"/>
  <c r="B52" i="1"/>
  <c r="B50" i="1"/>
  <c r="B48" i="1"/>
  <c r="B46" i="1"/>
  <c r="B44" i="1"/>
  <c r="B42" i="1"/>
  <c r="B40" i="1"/>
  <c r="B38" i="1"/>
  <c r="B36" i="1"/>
  <c r="B34" i="1"/>
  <c r="B32" i="1"/>
  <c r="B30" i="1"/>
  <c r="B28" i="1"/>
  <c r="B26" i="1"/>
  <c r="B24" i="1"/>
  <c r="B22" i="1"/>
  <c r="B20" i="1"/>
  <c r="B18" i="1"/>
  <c r="B16" i="1"/>
  <c r="B14" i="1"/>
  <c r="B12" i="1"/>
  <c r="B10" i="1"/>
  <c r="B8" i="1"/>
  <c r="B6" i="1"/>
  <c r="B4" i="1"/>
  <c r="B2" i="1"/>
  <c r="A252" i="1"/>
  <c r="A250" i="1"/>
  <c r="A242" i="1"/>
  <c r="A234" i="1"/>
  <c r="A226" i="1"/>
  <c r="A218" i="1"/>
  <c r="A210" i="1"/>
  <c r="A202" i="1"/>
  <c r="A194" i="1"/>
  <c r="A186" i="1"/>
  <c r="A178" i="1"/>
  <c r="A170" i="1"/>
  <c r="A162" i="1"/>
  <c r="A154" i="1"/>
  <c r="A146" i="1"/>
  <c r="A138" i="1"/>
  <c r="A130" i="1"/>
  <c r="A122" i="1"/>
  <c r="A114" i="1"/>
  <c r="A106" i="1"/>
  <c r="A98" i="1"/>
  <c r="A90" i="1"/>
  <c r="A82" i="1"/>
  <c r="A74" i="1"/>
  <c r="A66" i="1"/>
  <c r="A58" i="1"/>
  <c r="A50" i="1"/>
  <c r="A42" i="1"/>
  <c r="A34" i="1"/>
  <c r="A26" i="1"/>
  <c r="A18" i="1"/>
  <c r="A10" i="1"/>
  <c r="A2" i="1"/>
  <c r="A176" i="1"/>
  <c r="A152" i="1"/>
  <c r="A136" i="1"/>
  <c r="A120" i="1"/>
  <c r="A104" i="1"/>
  <c r="A88" i="1"/>
  <c r="A60" i="1"/>
  <c r="A36" i="1"/>
  <c r="A4" i="1"/>
  <c r="A248" i="1"/>
  <c r="A240" i="1"/>
  <c r="A232" i="1"/>
  <c r="A224" i="1"/>
  <c r="A216" i="1"/>
  <c r="A208" i="1"/>
  <c r="A200" i="1"/>
  <c r="A192" i="1"/>
  <c r="A184" i="1"/>
  <c r="A168" i="1"/>
  <c r="A160" i="1"/>
  <c r="A144" i="1"/>
  <c r="A128" i="1"/>
  <c r="A112" i="1"/>
  <c r="A96" i="1"/>
  <c r="A80" i="1"/>
  <c r="A72" i="1"/>
  <c r="A64" i="1"/>
  <c r="A56" i="1"/>
  <c r="A48" i="1"/>
  <c r="A40" i="1"/>
  <c r="A32" i="1"/>
  <c r="A24" i="1"/>
  <c r="A16" i="1"/>
  <c r="A8" i="1"/>
  <c r="A30" i="1"/>
  <c r="A14" i="1"/>
  <c r="A236" i="1"/>
  <c r="A228" i="1"/>
  <c r="A220" i="1"/>
  <c r="A212" i="1"/>
  <c r="A204" i="1"/>
  <c r="A188" i="1"/>
  <c r="A180" i="1"/>
  <c r="A172" i="1"/>
  <c r="A156" i="1"/>
  <c r="A148" i="1"/>
  <c r="A132" i="1"/>
  <c r="A116" i="1"/>
  <c r="A100" i="1"/>
  <c r="A84" i="1"/>
  <c r="A68" i="1"/>
  <c r="A44" i="1"/>
  <c r="A20" i="1"/>
  <c r="A246" i="1"/>
  <c r="A238" i="1"/>
  <c r="A230" i="1"/>
  <c r="A222" i="1"/>
  <c r="A214" i="1"/>
  <c r="A206" i="1"/>
  <c r="A198" i="1"/>
  <c r="A190" i="1"/>
  <c r="A182" i="1"/>
  <c r="A174" i="1"/>
  <c r="A166" i="1"/>
  <c r="A158" i="1"/>
  <c r="A150" i="1"/>
  <c r="A142" i="1"/>
  <c r="A134" i="1"/>
  <c r="A126" i="1"/>
  <c r="A118" i="1"/>
  <c r="A110" i="1"/>
  <c r="A102" i="1"/>
  <c r="A94" i="1"/>
  <c r="A86" i="1"/>
  <c r="A78" i="1"/>
  <c r="A70" i="1"/>
  <c r="A62" i="1"/>
  <c r="A54" i="1"/>
  <c r="A46" i="1"/>
  <c r="A38" i="1"/>
  <c r="A22" i="1"/>
  <c r="A6" i="1"/>
  <c r="A244" i="1"/>
  <c r="A196" i="1"/>
  <c r="A164" i="1"/>
  <c r="A140" i="1"/>
  <c r="A124" i="1"/>
  <c r="A108" i="1"/>
  <c r="A92" i="1"/>
  <c r="A76" i="1"/>
  <c r="A52" i="1"/>
  <c r="A28" i="1"/>
  <c r="A12" i="1"/>
</calcChain>
</file>

<file path=xl/sharedStrings.xml><?xml version="1.0" encoding="utf-8"?>
<sst xmlns="http://schemas.openxmlformats.org/spreadsheetml/2006/main" count="16" uniqueCount="16">
  <si>
    <t>Prediction</t>
  </si>
  <si>
    <t>ds</t>
  </si>
  <si>
    <t>trend</t>
  </si>
  <si>
    <t>yhat_lower</t>
  </si>
  <si>
    <t>yhat_upper</t>
  </si>
  <si>
    <t>trend_lower</t>
  </si>
  <si>
    <t>trend_upper</t>
  </si>
  <si>
    <t>additive_terms</t>
  </si>
  <si>
    <t>additive_terms_lower</t>
  </si>
  <si>
    <t>additive_terms_upper</t>
  </si>
  <si>
    <t>weekly</t>
  </si>
  <si>
    <t>weekly_lower</t>
  </si>
  <si>
    <t>weekly_upper</t>
  </si>
  <si>
    <t>multiplicative_terms</t>
  </si>
  <si>
    <t>multiplicative_terms_lower</t>
  </si>
  <si>
    <t>multiplicative_terms_upper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</si>
</sst>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;\(#,##0.00\)"/>
    <numFmt numFmtId="165" formatCode="yyyy\-mm\-dd"/>
  </numFmts>
  <fonts count="2" x14ac:knownFonts="1">
    <font>
      <sz val="10"/>
      <color rgb="FF000000"/>
      <name val="Verdana"/>
      <scheme val="minor"/>
    </font>
    <font>
      <sz val="10"/>
      <color theme="1"/>
      <name val="Verdana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 applyFont="1" applyAlignment="1"/>
    <xf numFmtId="14" fontId="1" fillId="0" borderId="0" xfId="0" applyNumberFormat="1" applyFont="1"/>
    <xf numFmtId="0" fontId="1" fillId="0" borderId="0" xfId="0" applyFont="1"/>
    <xf numFmtId="164" fontId="1" fillId="0" borderId="0" xfId="0" applyNumberFormat="1" applyFont="1" applyAlignment="1"/>
    <xf numFmtId="164" fontId="1" fillId="0" borderId="0" xfId="0" applyNumberFormat="1" applyFont="1"/>
    <xf numFmtId="0" fontId="1" fillId="0" borderId="0" xfId="0" applyFont="1" applyAlignment="1"/>
    <xf numFmtId="165" fontId="1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lang="en-US" b="0">
                <a:solidFill>
                  <a:srgbClr val="8D8D9F"/>
                </a:solidFill>
                <a:latin typeface="+mn-lt"/>
              </a:rPr>
              <a:t>Evaluation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Close</c:v>
                </c:pt>
              </c:strCache>
            </c:strRef>
          </c:tx>
          <c:spPr>
            <a:ln cmpd="sng">
              <a:solidFill>
                <a:srgbClr val="1D2384"/>
              </a:solidFill>
            </a:ln>
          </c:spPr>
          <c:marker>
            <c:symbol val="none"/>
          </c:marker>
          <c:cat>
            <c:numRef>
              <c:f>Sheet1!$A$2:$A$283</c:f>
              <c:numCache>
                <c:formatCode>m/d/yyyy</c:formatCode>
                <c:ptCount val="282"/>
                <c:pt idx="0">
                  <c:v>44994.666666666599</c:v>
                </c:pt>
                <c:pt idx="1">
                  <c:v>44995.666666666599</c:v>
                </c:pt>
                <c:pt idx="2">
                  <c:v>44998.666666666599</c:v>
                </c:pt>
                <c:pt idx="3">
                  <c:v>44999.666666666599</c:v>
                </c:pt>
                <c:pt idx="4">
                  <c:v>45000.666666666599</c:v>
                </c:pt>
                <c:pt idx="5">
                  <c:v>45001.666666666599</c:v>
                </c:pt>
                <c:pt idx="6">
                  <c:v>45002.666666666599</c:v>
                </c:pt>
                <c:pt idx="7">
                  <c:v>45005.666666666599</c:v>
                </c:pt>
                <c:pt idx="8">
                  <c:v>45006.666666666599</c:v>
                </c:pt>
                <c:pt idx="9">
                  <c:v>45007.666666666599</c:v>
                </c:pt>
                <c:pt idx="10">
                  <c:v>45008.666666666599</c:v>
                </c:pt>
                <c:pt idx="11">
                  <c:v>45009.666666666599</c:v>
                </c:pt>
                <c:pt idx="12">
                  <c:v>45012.666666666599</c:v>
                </c:pt>
                <c:pt idx="13">
                  <c:v>45013.666666666599</c:v>
                </c:pt>
                <c:pt idx="14">
                  <c:v>45014.666666666599</c:v>
                </c:pt>
                <c:pt idx="15">
                  <c:v>45015.666666666599</c:v>
                </c:pt>
                <c:pt idx="16">
                  <c:v>45016.666666666599</c:v>
                </c:pt>
                <c:pt idx="17">
                  <c:v>45019.666666666599</c:v>
                </c:pt>
                <c:pt idx="18">
                  <c:v>45020.666666666599</c:v>
                </c:pt>
                <c:pt idx="19">
                  <c:v>45021.666666666599</c:v>
                </c:pt>
                <c:pt idx="20">
                  <c:v>45022.666666666599</c:v>
                </c:pt>
                <c:pt idx="21">
                  <c:v>45026.666666666599</c:v>
                </c:pt>
                <c:pt idx="22">
                  <c:v>45027.666666666599</c:v>
                </c:pt>
                <c:pt idx="23">
                  <c:v>45028.666666666599</c:v>
                </c:pt>
                <c:pt idx="24">
                  <c:v>45029.666666666599</c:v>
                </c:pt>
                <c:pt idx="25">
                  <c:v>45030.666666666599</c:v>
                </c:pt>
                <c:pt idx="26">
                  <c:v>45033.666666666599</c:v>
                </c:pt>
                <c:pt idx="27">
                  <c:v>45034.666666666599</c:v>
                </c:pt>
                <c:pt idx="28">
                  <c:v>45035.666666666599</c:v>
                </c:pt>
                <c:pt idx="29">
                  <c:v>45036.666666666599</c:v>
                </c:pt>
                <c:pt idx="30">
                  <c:v>45037.666666666599</c:v>
                </c:pt>
                <c:pt idx="31">
                  <c:v>45040.666666666599</c:v>
                </c:pt>
                <c:pt idx="32">
                  <c:v>45041.666666666599</c:v>
                </c:pt>
                <c:pt idx="33">
                  <c:v>45042.666666666599</c:v>
                </c:pt>
                <c:pt idx="34">
                  <c:v>45043.666666666599</c:v>
                </c:pt>
                <c:pt idx="35">
                  <c:v>45044.666666666599</c:v>
                </c:pt>
                <c:pt idx="36">
                  <c:v>45047.666666666599</c:v>
                </c:pt>
                <c:pt idx="37">
                  <c:v>45048.666666666599</c:v>
                </c:pt>
                <c:pt idx="38">
                  <c:v>45049.666666666599</c:v>
                </c:pt>
                <c:pt idx="39">
                  <c:v>45050.666666666599</c:v>
                </c:pt>
                <c:pt idx="40">
                  <c:v>45051.666666666599</c:v>
                </c:pt>
                <c:pt idx="41">
                  <c:v>45054.666666666599</c:v>
                </c:pt>
                <c:pt idx="42">
                  <c:v>45055.666666666599</c:v>
                </c:pt>
                <c:pt idx="43">
                  <c:v>45056.666666666599</c:v>
                </c:pt>
                <c:pt idx="44">
                  <c:v>45057.666666666599</c:v>
                </c:pt>
                <c:pt idx="45">
                  <c:v>45058.666666666599</c:v>
                </c:pt>
                <c:pt idx="46">
                  <c:v>45061.666666666599</c:v>
                </c:pt>
                <c:pt idx="47">
                  <c:v>45062.666666666599</c:v>
                </c:pt>
                <c:pt idx="48">
                  <c:v>45063.666666666599</c:v>
                </c:pt>
                <c:pt idx="49">
                  <c:v>45064.666666666599</c:v>
                </c:pt>
                <c:pt idx="50">
                  <c:v>45065.666666666599</c:v>
                </c:pt>
                <c:pt idx="51">
                  <c:v>45068.666666666599</c:v>
                </c:pt>
                <c:pt idx="52">
                  <c:v>45069.666666666599</c:v>
                </c:pt>
                <c:pt idx="53">
                  <c:v>45070.666666666599</c:v>
                </c:pt>
                <c:pt idx="54">
                  <c:v>45071.666666666599</c:v>
                </c:pt>
                <c:pt idx="55">
                  <c:v>45072.666666666599</c:v>
                </c:pt>
                <c:pt idx="56">
                  <c:v>45076.666666666599</c:v>
                </c:pt>
                <c:pt idx="57">
                  <c:v>45077.666666666599</c:v>
                </c:pt>
                <c:pt idx="58">
                  <c:v>45078.666666666599</c:v>
                </c:pt>
                <c:pt idx="59">
                  <c:v>45079.666666666599</c:v>
                </c:pt>
                <c:pt idx="60">
                  <c:v>45082.666666666599</c:v>
                </c:pt>
                <c:pt idx="61">
                  <c:v>45083.666666666599</c:v>
                </c:pt>
                <c:pt idx="62">
                  <c:v>45084.666666666599</c:v>
                </c:pt>
                <c:pt idx="63">
                  <c:v>45085.666666666599</c:v>
                </c:pt>
                <c:pt idx="64">
                  <c:v>45086.666666666599</c:v>
                </c:pt>
                <c:pt idx="65">
                  <c:v>45089.666666666599</c:v>
                </c:pt>
                <c:pt idx="66">
                  <c:v>45090.666666666599</c:v>
                </c:pt>
                <c:pt idx="67">
                  <c:v>45091.666666666599</c:v>
                </c:pt>
                <c:pt idx="68">
                  <c:v>45092.666666666599</c:v>
                </c:pt>
                <c:pt idx="69">
                  <c:v>45093.666666666599</c:v>
                </c:pt>
                <c:pt idx="70">
                  <c:v>45097.666666666599</c:v>
                </c:pt>
                <c:pt idx="71">
                  <c:v>45098.666666666599</c:v>
                </c:pt>
                <c:pt idx="72">
                  <c:v>45099.666666666599</c:v>
                </c:pt>
                <c:pt idx="73">
                  <c:v>45100.666666666599</c:v>
                </c:pt>
                <c:pt idx="74">
                  <c:v>45103.666666666599</c:v>
                </c:pt>
                <c:pt idx="75">
                  <c:v>45104.666666666599</c:v>
                </c:pt>
                <c:pt idx="76">
                  <c:v>45105.666666666599</c:v>
                </c:pt>
                <c:pt idx="77">
                  <c:v>45106.666666666599</c:v>
                </c:pt>
                <c:pt idx="78">
                  <c:v>45107.666666666599</c:v>
                </c:pt>
                <c:pt idx="79">
                  <c:v>45110.545138888803</c:v>
                </c:pt>
                <c:pt idx="80">
                  <c:v>45112.666666666599</c:v>
                </c:pt>
                <c:pt idx="81">
                  <c:v>45113.666666666599</c:v>
                </c:pt>
                <c:pt idx="82">
                  <c:v>45114.666666666599</c:v>
                </c:pt>
                <c:pt idx="83">
                  <c:v>45117.666666666599</c:v>
                </c:pt>
                <c:pt idx="84">
                  <c:v>45118.666666666599</c:v>
                </c:pt>
                <c:pt idx="85">
                  <c:v>45119.666666666599</c:v>
                </c:pt>
                <c:pt idx="86">
                  <c:v>45120.666666666599</c:v>
                </c:pt>
                <c:pt idx="87">
                  <c:v>45121.666666666599</c:v>
                </c:pt>
                <c:pt idx="88">
                  <c:v>45124.666666666599</c:v>
                </c:pt>
                <c:pt idx="89">
                  <c:v>45125.666666666599</c:v>
                </c:pt>
                <c:pt idx="90">
                  <c:v>45126.666666666599</c:v>
                </c:pt>
                <c:pt idx="91">
                  <c:v>45127.666666666599</c:v>
                </c:pt>
                <c:pt idx="92">
                  <c:v>45128.666666666599</c:v>
                </c:pt>
                <c:pt idx="93">
                  <c:v>45131.666666666599</c:v>
                </c:pt>
                <c:pt idx="94">
                  <c:v>45132.666666666599</c:v>
                </c:pt>
                <c:pt idx="95">
                  <c:v>45133.666666666599</c:v>
                </c:pt>
                <c:pt idx="96">
                  <c:v>45134.666666666599</c:v>
                </c:pt>
                <c:pt idx="97">
                  <c:v>45135.666666666599</c:v>
                </c:pt>
                <c:pt idx="98">
                  <c:v>45138.666666666599</c:v>
                </c:pt>
                <c:pt idx="99">
                  <c:v>45139.666666666599</c:v>
                </c:pt>
                <c:pt idx="100">
                  <c:v>45140.666666666599</c:v>
                </c:pt>
                <c:pt idx="101">
                  <c:v>45141.666666666599</c:v>
                </c:pt>
                <c:pt idx="102">
                  <c:v>45142.666666666599</c:v>
                </c:pt>
                <c:pt idx="103">
                  <c:v>45145.666666666599</c:v>
                </c:pt>
                <c:pt idx="104">
                  <c:v>45146.666666666599</c:v>
                </c:pt>
                <c:pt idx="105">
                  <c:v>45147.666666666599</c:v>
                </c:pt>
                <c:pt idx="106">
                  <c:v>45148.666666666599</c:v>
                </c:pt>
                <c:pt idx="107">
                  <c:v>45149.666666666599</c:v>
                </c:pt>
                <c:pt idx="108">
                  <c:v>45152.666666666599</c:v>
                </c:pt>
                <c:pt idx="109">
                  <c:v>45153.666666666599</c:v>
                </c:pt>
                <c:pt idx="110">
                  <c:v>45154.666666666599</c:v>
                </c:pt>
                <c:pt idx="111">
                  <c:v>45155.666666666599</c:v>
                </c:pt>
                <c:pt idx="112">
                  <c:v>45156.666666666599</c:v>
                </c:pt>
                <c:pt idx="113">
                  <c:v>45159.666666666599</c:v>
                </c:pt>
                <c:pt idx="114">
                  <c:v>45160.666666666599</c:v>
                </c:pt>
                <c:pt idx="115">
                  <c:v>45161.666666666599</c:v>
                </c:pt>
                <c:pt idx="116">
                  <c:v>45162.666666666599</c:v>
                </c:pt>
                <c:pt idx="117">
                  <c:v>45163.666666666599</c:v>
                </c:pt>
                <c:pt idx="118">
                  <c:v>45166.666666666599</c:v>
                </c:pt>
                <c:pt idx="119">
                  <c:v>45167.666666666599</c:v>
                </c:pt>
                <c:pt idx="120">
                  <c:v>45168.666666666599</c:v>
                </c:pt>
                <c:pt idx="121">
                  <c:v>45169.666666666599</c:v>
                </c:pt>
                <c:pt idx="122">
                  <c:v>45170.666666666599</c:v>
                </c:pt>
                <c:pt idx="123">
                  <c:v>45174.666666666599</c:v>
                </c:pt>
                <c:pt idx="124">
                  <c:v>45175.666666666599</c:v>
                </c:pt>
                <c:pt idx="125">
                  <c:v>45176.666666666599</c:v>
                </c:pt>
                <c:pt idx="126">
                  <c:v>45177.666666666599</c:v>
                </c:pt>
                <c:pt idx="127">
                  <c:v>45180.666666666599</c:v>
                </c:pt>
                <c:pt idx="128">
                  <c:v>45181.666666666599</c:v>
                </c:pt>
                <c:pt idx="129">
                  <c:v>45182.666666666599</c:v>
                </c:pt>
                <c:pt idx="130">
                  <c:v>45183.666666666599</c:v>
                </c:pt>
                <c:pt idx="131">
                  <c:v>45184.666666666599</c:v>
                </c:pt>
                <c:pt idx="132">
                  <c:v>45187.666666666599</c:v>
                </c:pt>
                <c:pt idx="133">
                  <c:v>45188.666666666599</c:v>
                </c:pt>
                <c:pt idx="134">
                  <c:v>45189.666666666599</c:v>
                </c:pt>
                <c:pt idx="135">
                  <c:v>45190.666666666599</c:v>
                </c:pt>
                <c:pt idx="136">
                  <c:v>45191.666666666599</c:v>
                </c:pt>
                <c:pt idx="137">
                  <c:v>45194.666666666599</c:v>
                </c:pt>
                <c:pt idx="138">
                  <c:v>45195.666666666599</c:v>
                </c:pt>
                <c:pt idx="139">
                  <c:v>45196.666666666599</c:v>
                </c:pt>
                <c:pt idx="140">
                  <c:v>45197.666666666599</c:v>
                </c:pt>
                <c:pt idx="141">
                  <c:v>45198.666666666599</c:v>
                </c:pt>
                <c:pt idx="142">
                  <c:v>45201.666666666599</c:v>
                </c:pt>
                <c:pt idx="143">
                  <c:v>45202.666666666599</c:v>
                </c:pt>
                <c:pt idx="144">
                  <c:v>45203.666666666599</c:v>
                </c:pt>
                <c:pt idx="145">
                  <c:v>45204.666666666599</c:v>
                </c:pt>
                <c:pt idx="146">
                  <c:v>45205.666666666599</c:v>
                </c:pt>
                <c:pt idx="147">
                  <c:v>45208.666666666599</c:v>
                </c:pt>
                <c:pt idx="148">
                  <c:v>45209.666666666599</c:v>
                </c:pt>
                <c:pt idx="149">
                  <c:v>45210.666666666599</c:v>
                </c:pt>
                <c:pt idx="150">
                  <c:v>45211.666666666599</c:v>
                </c:pt>
                <c:pt idx="151">
                  <c:v>45212.666666666599</c:v>
                </c:pt>
                <c:pt idx="152">
                  <c:v>45215.666666666599</c:v>
                </c:pt>
                <c:pt idx="153">
                  <c:v>45216.666666666599</c:v>
                </c:pt>
                <c:pt idx="154">
                  <c:v>45217.666666666599</c:v>
                </c:pt>
                <c:pt idx="155">
                  <c:v>45218.666666666599</c:v>
                </c:pt>
                <c:pt idx="156">
                  <c:v>45219.666666666599</c:v>
                </c:pt>
                <c:pt idx="157">
                  <c:v>45222.666666666599</c:v>
                </c:pt>
                <c:pt idx="158">
                  <c:v>45223.666666666599</c:v>
                </c:pt>
                <c:pt idx="159">
                  <c:v>45224.666666666599</c:v>
                </c:pt>
                <c:pt idx="160">
                  <c:v>45225.666666666599</c:v>
                </c:pt>
                <c:pt idx="161">
                  <c:v>45226.666666666599</c:v>
                </c:pt>
                <c:pt idx="162">
                  <c:v>45229.666666666599</c:v>
                </c:pt>
                <c:pt idx="163">
                  <c:v>45230.666666666599</c:v>
                </c:pt>
                <c:pt idx="164">
                  <c:v>45231.666666666599</c:v>
                </c:pt>
                <c:pt idx="165">
                  <c:v>45232.666666666599</c:v>
                </c:pt>
                <c:pt idx="166">
                  <c:v>45233.666666666599</c:v>
                </c:pt>
                <c:pt idx="167">
                  <c:v>45236.666666666599</c:v>
                </c:pt>
                <c:pt idx="168">
                  <c:v>45237.666666666599</c:v>
                </c:pt>
                <c:pt idx="169">
                  <c:v>45238.666666666599</c:v>
                </c:pt>
                <c:pt idx="170">
                  <c:v>45239.666666666599</c:v>
                </c:pt>
                <c:pt idx="171">
                  <c:v>45240.666666666599</c:v>
                </c:pt>
                <c:pt idx="172">
                  <c:v>45243.666666666599</c:v>
                </c:pt>
                <c:pt idx="173">
                  <c:v>45244.666666666599</c:v>
                </c:pt>
                <c:pt idx="174">
                  <c:v>45245.666666666599</c:v>
                </c:pt>
                <c:pt idx="175">
                  <c:v>45246.666666666599</c:v>
                </c:pt>
                <c:pt idx="176">
                  <c:v>45247.666666666599</c:v>
                </c:pt>
                <c:pt idx="177">
                  <c:v>45250.666666666599</c:v>
                </c:pt>
                <c:pt idx="178">
                  <c:v>45251.666666666599</c:v>
                </c:pt>
                <c:pt idx="179">
                  <c:v>45252.666666666599</c:v>
                </c:pt>
                <c:pt idx="180">
                  <c:v>45254.545138888803</c:v>
                </c:pt>
                <c:pt idx="181">
                  <c:v>45257.666666666599</c:v>
                </c:pt>
                <c:pt idx="182">
                  <c:v>45258.666666666599</c:v>
                </c:pt>
                <c:pt idx="183">
                  <c:v>45259.666666666599</c:v>
                </c:pt>
                <c:pt idx="184">
                  <c:v>45260.666666666599</c:v>
                </c:pt>
                <c:pt idx="185">
                  <c:v>45261.666666666599</c:v>
                </c:pt>
                <c:pt idx="186">
                  <c:v>45264.666666666599</c:v>
                </c:pt>
                <c:pt idx="187">
                  <c:v>45265.666666666599</c:v>
                </c:pt>
                <c:pt idx="188">
                  <c:v>45266.666666666599</c:v>
                </c:pt>
                <c:pt idx="189">
                  <c:v>45267.666666666599</c:v>
                </c:pt>
                <c:pt idx="190">
                  <c:v>45268.666666666599</c:v>
                </c:pt>
                <c:pt idx="191">
                  <c:v>45271.666666666599</c:v>
                </c:pt>
                <c:pt idx="192">
                  <c:v>45272.666666666599</c:v>
                </c:pt>
                <c:pt idx="193">
                  <c:v>45273.666666666599</c:v>
                </c:pt>
                <c:pt idx="194">
                  <c:v>45274.666666666599</c:v>
                </c:pt>
                <c:pt idx="195">
                  <c:v>45275.666666666599</c:v>
                </c:pt>
                <c:pt idx="196">
                  <c:v>45278.666666666599</c:v>
                </c:pt>
                <c:pt idx="197">
                  <c:v>45279.666666666599</c:v>
                </c:pt>
                <c:pt idx="198">
                  <c:v>45280.666666666599</c:v>
                </c:pt>
                <c:pt idx="199">
                  <c:v>45281.666666666599</c:v>
                </c:pt>
                <c:pt idx="200">
                  <c:v>45282.666666666599</c:v>
                </c:pt>
                <c:pt idx="201">
                  <c:v>45286.666666666599</c:v>
                </c:pt>
                <c:pt idx="202">
                  <c:v>45287.666666666599</c:v>
                </c:pt>
                <c:pt idx="203">
                  <c:v>45288.666666666599</c:v>
                </c:pt>
                <c:pt idx="204">
                  <c:v>45289.666666666599</c:v>
                </c:pt>
                <c:pt idx="205">
                  <c:v>45293.666666666599</c:v>
                </c:pt>
                <c:pt idx="206">
                  <c:v>45294.666666666599</c:v>
                </c:pt>
                <c:pt idx="207">
                  <c:v>45295.666666666599</c:v>
                </c:pt>
                <c:pt idx="208">
                  <c:v>45296.666666666599</c:v>
                </c:pt>
                <c:pt idx="209">
                  <c:v>45299.666666666599</c:v>
                </c:pt>
                <c:pt idx="210">
                  <c:v>45300.666666666599</c:v>
                </c:pt>
                <c:pt idx="211">
                  <c:v>45301.666666666599</c:v>
                </c:pt>
                <c:pt idx="212">
                  <c:v>45302.666666666599</c:v>
                </c:pt>
                <c:pt idx="213">
                  <c:v>45303.666666666599</c:v>
                </c:pt>
                <c:pt idx="214">
                  <c:v>45307.666666666599</c:v>
                </c:pt>
                <c:pt idx="215">
                  <c:v>45308.666666666599</c:v>
                </c:pt>
                <c:pt idx="216">
                  <c:v>45309.666666666599</c:v>
                </c:pt>
                <c:pt idx="217">
                  <c:v>45310.666666666599</c:v>
                </c:pt>
                <c:pt idx="218">
                  <c:v>45313.666666666599</c:v>
                </c:pt>
                <c:pt idx="219">
                  <c:v>45314.666666666599</c:v>
                </c:pt>
                <c:pt idx="220">
                  <c:v>45315.666666666599</c:v>
                </c:pt>
                <c:pt idx="221">
                  <c:v>45316.666666666599</c:v>
                </c:pt>
                <c:pt idx="222">
                  <c:v>45317.666666666599</c:v>
                </c:pt>
                <c:pt idx="223">
                  <c:v>45320.666666666599</c:v>
                </c:pt>
                <c:pt idx="224">
                  <c:v>45321.666666666599</c:v>
                </c:pt>
                <c:pt idx="225">
                  <c:v>45322.666666666599</c:v>
                </c:pt>
                <c:pt idx="226">
                  <c:v>45323.666666666599</c:v>
                </c:pt>
                <c:pt idx="227">
                  <c:v>45324.666666666599</c:v>
                </c:pt>
                <c:pt idx="228">
                  <c:v>45327.666666666599</c:v>
                </c:pt>
                <c:pt idx="229">
                  <c:v>45328.666666666599</c:v>
                </c:pt>
                <c:pt idx="230">
                  <c:v>45329.666666666599</c:v>
                </c:pt>
                <c:pt idx="231">
                  <c:v>45330.666666666599</c:v>
                </c:pt>
                <c:pt idx="232">
                  <c:v>45331.666666666599</c:v>
                </c:pt>
                <c:pt idx="233">
                  <c:v>45334.666666666599</c:v>
                </c:pt>
                <c:pt idx="234">
                  <c:v>45335.666666666599</c:v>
                </c:pt>
                <c:pt idx="235">
                  <c:v>45336.666666666599</c:v>
                </c:pt>
                <c:pt idx="236">
                  <c:v>45337.666666666599</c:v>
                </c:pt>
                <c:pt idx="237">
                  <c:v>45338.666666666599</c:v>
                </c:pt>
                <c:pt idx="238">
                  <c:v>45342.666666666599</c:v>
                </c:pt>
                <c:pt idx="239">
                  <c:v>45343.666666666599</c:v>
                </c:pt>
                <c:pt idx="240">
                  <c:v>45344.666666666599</c:v>
                </c:pt>
                <c:pt idx="241">
                  <c:v>45345.666666666599</c:v>
                </c:pt>
                <c:pt idx="242">
                  <c:v>45348.666666666599</c:v>
                </c:pt>
                <c:pt idx="243">
                  <c:v>45349.666666666599</c:v>
                </c:pt>
                <c:pt idx="244">
                  <c:v>45350.666666666599</c:v>
                </c:pt>
                <c:pt idx="245">
                  <c:v>45351.666666666599</c:v>
                </c:pt>
                <c:pt idx="246">
                  <c:v>45352.666666666599</c:v>
                </c:pt>
                <c:pt idx="247">
                  <c:v>45355.666666666599</c:v>
                </c:pt>
                <c:pt idx="248">
                  <c:v>45356.666666666599</c:v>
                </c:pt>
                <c:pt idx="249">
                  <c:v>45357.666666666599</c:v>
                </c:pt>
                <c:pt idx="250">
                  <c:v>45358.666666666599</c:v>
                </c:pt>
                <c:pt idx="251">
                  <c:v>45359.666666666599</c:v>
                </c:pt>
              </c:numCache>
            </c:numRef>
          </c:cat>
          <c:val>
            <c:numRef>
              <c:f>Sheet1!$B$2:$B$283</c:f>
              <c:numCache>
                <c:formatCode>General</c:formatCode>
                <c:ptCount val="282"/>
                <c:pt idx="0">
                  <c:v>172.92</c:v>
                </c:pt>
                <c:pt idx="1">
                  <c:v>173.44</c:v>
                </c:pt>
                <c:pt idx="2">
                  <c:v>174.48</c:v>
                </c:pt>
                <c:pt idx="3">
                  <c:v>183.26</c:v>
                </c:pt>
                <c:pt idx="4">
                  <c:v>180.45</c:v>
                </c:pt>
                <c:pt idx="5">
                  <c:v>184.13</c:v>
                </c:pt>
                <c:pt idx="6">
                  <c:v>180.13</c:v>
                </c:pt>
                <c:pt idx="7">
                  <c:v>183.25</c:v>
                </c:pt>
                <c:pt idx="8">
                  <c:v>197.58</c:v>
                </c:pt>
                <c:pt idx="9">
                  <c:v>191.15</c:v>
                </c:pt>
                <c:pt idx="10">
                  <c:v>192.22</c:v>
                </c:pt>
                <c:pt idx="11">
                  <c:v>190.41</c:v>
                </c:pt>
                <c:pt idx="12">
                  <c:v>191.81</c:v>
                </c:pt>
                <c:pt idx="13">
                  <c:v>189.19</c:v>
                </c:pt>
                <c:pt idx="14">
                  <c:v>193.88</c:v>
                </c:pt>
                <c:pt idx="15">
                  <c:v>195.28</c:v>
                </c:pt>
                <c:pt idx="16">
                  <c:v>207.46</c:v>
                </c:pt>
                <c:pt idx="17">
                  <c:v>194.77</c:v>
                </c:pt>
                <c:pt idx="18">
                  <c:v>192.58</c:v>
                </c:pt>
                <c:pt idx="19">
                  <c:v>185.52</c:v>
                </c:pt>
                <c:pt idx="20">
                  <c:v>185.06</c:v>
                </c:pt>
                <c:pt idx="21">
                  <c:v>184.51</c:v>
                </c:pt>
                <c:pt idx="22">
                  <c:v>186.79</c:v>
                </c:pt>
                <c:pt idx="23">
                  <c:v>180.54</c:v>
                </c:pt>
                <c:pt idx="24">
                  <c:v>185.9</c:v>
                </c:pt>
                <c:pt idx="25">
                  <c:v>185</c:v>
                </c:pt>
                <c:pt idx="26">
                  <c:v>187.04</c:v>
                </c:pt>
                <c:pt idx="27">
                  <c:v>184.31</c:v>
                </c:pt>
                <c:pt idx="28">
                  <c:v>180.59</c:v>
                </c:pt>
                <c:pt idx="29">
                  <c:v>162.99</c:v>
                </c:pt>
                <c:pt idx="30">
                  <c:v>165.08</c:v>
                </c:pt>
                <c:pt idx="31">
                  <c:v>162.55000000000001</c:v>
                </c:pt>
                <c:pt idx="32">
                  <c:v>160.66999999999999</c:v>
                </c:pt>
                <c:pt idx="33">
                  <c:v>153.75</c:v>
                </c:pt>
                <c:pt idx="34">
                  <c:v>160.19</c:v>
                </c:pt>
                <c:pt idx="35">
                  <c:v>164.31</c:v>
                </c:pt>
                <c:pt idx="36">
                  <c:v>161.83000000000001</c:v>
                </c:pt>
                <c:pt idx="37">
                  <c:v>160.31</c:v>
                </c:pt>
                <c:pt idx="38">
                  <c:v>160.61000000000001</c:v>
                </c:pt>
                <c:pt idx="39">
                  <c:v>161.19999999999999</c:v>
                </c:pt>
                <c:pt idx="40">
                  <c:v>170.06</c:v>
                </c:pt>
                <c:pt idx="41">
                  <c:v>171.79</c:v>
                </c:pt>
                <c:pt idx="42">
                  <c:v>169.15</c:v>
                </c:pt>
                <c:pt idx="43">
                  <c:v>168.54</c:v>
                </c:pt>
                <c:pt idx="44">
                  <c:v>172.08</c:v>
                </c:pt>
                <c:pt idx="45">
                  <c:v>167.98</c:v>
                </c:pt>
                <c:pt idx="46">
                  <c:v>166.35</c:v>
                </c:pt>
                <c:pt idx="47">
                  <c:v>166.52</c:v>
                </c:pt>
                <c:pt idx="48">
                  <c:v>173.86</c:v>
                </c:pt>
                <c:pt idx="49">
                  <c:v>176.89</c:v>
                </c:pt>
                <c:pt idx="50">
                  <c:v>180.14</c:v>
                </c:pt>
                <c:pt idx="51">
                  <c:v>188.87</c:v>
                </c:pt>
                <c:pt idx="52">
                  <c:v>185.77</c:v>
                </c:pt>
                <c:pt idx="53">
                  <c:v>182.9</c:v>
                </c:pt>
                <c:pt idx="54">
                  <c:v>184.47</c:v>
                </c:pt>
                <c:pt idx="55">
                  <c:v>193.17</c:v>
                </c:pt>
                <c:pt idx="56">
                  <c:v>201.16</c:v>
                </c:pt>
                <c:pt idx="57">
                  <c:v>203.93</c:v>
                </c:pt>
                <c:pt idx="58">
                  <c:v>207.52</c:v>
                </c:pt>
                <c:pt idx="59">
                  <c:v>213.97</c:v>
                </c:pt>
                <c:pt idx="60">
                  <c:v>217.61</c:v>
                </c:pt>
                <c:pt idx="61">
                  <c:v>221.31</c:v>
                </c:pt>
                <c:pt idx="62">
                  <c:v>224.57</c:v>
                </c:pt>
                <c:pt idx="63">
                  <c:v>234.86</c:v>
                </c:pt>
                <c:pt idx="64">
                  <c:v>244.4</c:v>
                </c:pt>
                <c:pt idx="65">
                  <c:v>249.83</c:v>
                </c:pt>
                <c:pt idx="66">
                  <c:v>258.70999999999998</c:v>
                </c:pt>
                <c:pt idx="67">
                  <c:v>256.79000000000002</c:v>
                </c:pt>
                <c:pt idx="68">
                  <c:v>255.9</c:v>
                </c:pt>
                <c:pt idx="69">
                  <c:v>260.54000000000002</c:v>
                </c:pt>
                <c:pt idx="70">
                  <c:v>274.45</c:v>
                </c:pt>
                <c:pt idx="71">
                  <c:v>259.45999999999998</c:v>
                </c:pt>
                <c:pt idx="72">
                  <c:v>264.61</c:v>
                </c:pt>
                <c:pt idx="73">
                  <c:v>256.60000000000002</c:v>
                </c:pt>
                <c:pt idx="74">
                  <c:v>241.05</c:v>
                </c:pt>
                <c:pt idx="75">
                  <c:v>250.21</c:v>
                </c:pt>
                <c:pt idx="76">
                  <c:v>256.24</c:v>
                </c:pt>
                <c:pt idx="77">
                  <c:v>257.5</c:v>
                </c:pt>
                <c:pt idx="78">
                  <c:v>261.77</c:v>
                </c:pt>
                <c:pt idx="79">
                  <c:v>279.82</c:v>
                </c:pt>
                <c:pt idx="80">
                  <c:v>282.48</c:v>
                </c:pt>
                <c:pt idx="81">
                  <c:v>276.54000000000002</c:v>
                </c:pt>
                <c:pt idx="82">
                  <c:v>274.43</c:v>
                </c:pt>
                <c:pt idx="83">
                  <c:v>269.61</c:v>
                </c:pt>
                <c:pt idx="84">
                  <c:v>269.79000000000002</c:v>
                </c:pt>
                <c:pt idx="85">
                  <c:v>271.99</c:v>
                </c:pt>
                <c:pt idx="86">
                  <c:v>277.89999999999998</c:v>
                </c:pt>
                <c:pt idx="87">
                  <c:v>281.38</c:v>
                </c:pt>
                <c:pt idx="88">
                  <c:v>290.38</c:v>
                </c:pt>
                <c:pt idx="89">
                  <c:v>293.33999999999997</c:v>
                </c:pt>
                <c:pt idx="90">
                  <c:v>291.26</c:v>
                </c:pt>
                <c:pt idx="91">
                  <c:v>262.89999999999998</c:v>
                </c:pt>
                <c:pt idx="92">
                  <c:v>260.02</c:v>
                </c:pt>
                <c:pt idx="93">
                  <c:v>269.06</c:v>
                </c:pt>
                <c:pt idx="94">
                  <c:v>265.27999999999997</c:v>
                </c:pt>
                <c:pt idx="95">
                  <c:v>264.35000000000002</c:v>
                </c:pt>
                <c:pt idx="96">
                  <c:v>255.71</c:v>
                </c:pt>
                <c:pt idx="97">
                  <c:v>266.44</c:v>
                </c:pt>
                <c:pt idx="98">
                  <c:v>267.43</c:v>
                </c:pt>
                <c:pt idx="99">
                  <c:v>261.07</c:v>
                </c:pt>
                <c:pt idx="100">
                  <c:v>254.11</c:v>
                </c:pt>
                <c:pt idx="101">
                  <c:v>259.32</c:v>
                </c:pt>
                <c:pt idx="102">
                  <c:v>253.86</c:v>
                </c:pt>
                <c:pt idx="103">
                  <c:v>251.45</c:v>
                </c:pt>
                <c:pt idx="104">
                  <c:v>249.7</c:v>
                </c:pt>
                <c:pt idx="105">
                  <c:v>242.19</c:v>
                </c:pt>
                <c:pt idx="106">
                  <c:v>245.34</c:v>
                </c:pt>
                <c:pt idx="107">
                  <c:v>242.65</c:v>
                </c:pt>
                <c:pt idx="108">
                  <c:v>239.76</c:v>
                </c:pt>
                <c:pt idx="109">
                  <c:v>232.96</c:v>
                </c:pt>
                <c:pt idx="110">
                  <c:v>225.6</c:v>
                </c:pt>
                <c:pt idx="111">
                  <c:v>219.22</c:v>
                </c:pt>
                <c:pt idx="112">
                  <c:v>215.49</c:v>
                </c:pt>
                <c:pt idx="113">
                  <c:v>231.28</c:v>
                </c:pt>
                <c:pt idx="114">
                  <c:v>233.19</c:v>
                </c:pt>
                <c:pt idx="115">
                  <c:v>236.86</c:v>
                </c:pt>
                <c:pt idx="116">
                  <c:v>230.04</c:v>
                </c:pt>
                <c:pt idx="117">
                  <c:v>238.59</c:v>
                </c:pt>
                <c:pt idx="118">
                  <c:v>238.82</c:v>
                </c:pt>
                <c:pt idx="119">
                  <c:v>257.18</c:v>
                </c:pt>
                <c:pt idx="120">
                  <c:v>256.89999999999998</c:v>
                </c:pt>
                <c:pt idx="121">
                  <c:v>258.08</c:v>
                </c:pt>
                <c:pt idx="122">
                  <c:v>245.01</c:v>
                </c:pt>
                <c:pt idx="123">
                  <c:v>256.49</c:v>
                </c:pt>
                <c:pt idx="124">
                  <c:v>251.92</c:v>
                </c:pt>
                <c:pt idx="125">
                  <c:v>251.49</c:v>
                </c:pt>
                <c:pt idx="126">
                  <c:v>248.5</c:v>
                </c:pt>
                <c:pt idx="127">
                  <c:v>273.58</c:v>
                </c:pt>
                <c:pt idx="128">
                  <c:v>267.48</c:v>
                </c:pt>
                <c:pt idx="129">
                  <c:v>271.3</c:v>
                </c:pt>
                <c:pt idx="130">
                  <c:v>276.04000000000002</c:v>
                </c:pt>
                <c:pt idx="131">
                  <c:v>274.39</c:v>
                </c:pt>
                <c:pt idx="132">
                  <c:v>265.27999999999997</c:v>
                </c:pt>
                <c:pt idx="133">
                  <c:v>266.5</c:v>
                </c:pt>
                <c:pt idx="134">
                  <c:v>262.58999999999997</c:v>
                </c:pt>
                <c:pt idx="135">
                  <c:v>255.7</c:v>
                </c:pt>
                <c:pt idx="136">
                  <c:v>244.88</c:v>
                </c:pt>
                <c:pt idx="137">
                  <c:v>246.99</c:v>
                </c:pt>
                <c:pt idx="138">
                  <c:v>244.12</c:v>
                </c:pt>
                <c:pt idx="139">
                  <c:v>240.5</c:v>
                </c:pt>
                <c:pt idx="140">
                  <c:v>246.38</c:v>
                </c:pt>
                <c:pt idx="141">
                  <c:v>250.22</c:v>
                </c:pt>
                <c:pt idx="142">
                  <c:v>251.6</c:v>
                </c:pt>
                <c:pt idx="143">
                  <c:v>246.53</c:v>
                </c:pt>
                <c:pt idx="144">
                  <c:v>261.16000000000003</c:v>
                </c:pt>
                <c:pt idx="145">
                  <c:v>260.05</c:v>
                </c:pt>
                <c:pt idx="146">
                  <c:v>260.52999999999997</c:v>
                </c:pt>
                <c:pt idx="147">
                  <c:v>259.67</c:v>
                </c:pt>
                <c:pt idx="148">
                  <c:v>263.62</c:v>
                </c:pt>
                <c:pt idx="149">
                  <c:v>262.99</c:v>
                </c:pt>
                <c:pt idx="150">
                  <c:v>258.87</c:v>
                </c:pt>
                <c:pt idx="151">
                  <c:v>251.12</c:v>
                </c:pt>
                <c:pt idx="152">
                  <c:v>253.92</c:v>
                </c:pt>
                <c:pt idx="153">
                  <c:v>254.85</c:v>
                </c:pt>
                <c:pt idx="154">
                  <c:v>242.68</c:v>
                </c:pt>
                <c:pt idx="155">
                  <c:v>220.11</c:v>
                </c:pt>
                <c:pt idx="156">
                  <c:v>211.99</c:v>
                </c:pt>
                <c:pt idx="157">
                  <c:v>212.08</c:v>
                </c:pt>
                <c:pt idx="158">
                  <c:v>216.52</c:v>
                </c:pt>
                <c:pt idx="159">
                  <c:v>212.42</c:v>
                </c:pt>
                <c:pt idx="160">
                  <c:v>205.76</c:v>
                </c:pt>
                <c:pt idx="161">
                  <c:v>207.3</c:v>
                </c:pt>
                <c:pt idx="162">
                  <c:v>197.36</c:v>
                </c:pt>
                <c:pt idx="163">
                  <c:v>200.84</c:v>
                </c:pt>
                <c:pt idx="164">
                  <c:v>205.66</c:v>
                </c:pt>
                <c:pt idx="165">
                  <c:v>218.51</c:v>
                </c:pt>
                <c:pt idx="166">
                  <c:v>219.96</c:v>
                </c:pt>
                <c:pt idx="167">
                  <c:v>219.27</c:v>
                </c:pt>
                <c:pt idx="168">
                  <c:v>222.18</c:v>
                </c:pt>
                <c:pt idx="169">
                  <c:v>222.11</c:v>
                </c:pt>
                <c:pt idx="170">
                  <c:v>209.98</c:v>
                </c:pt>
                <c:pt idx="171">
                  <c:v>214.65</c:v>
                </c:pt>
                <c:pt idx="172">
                  <c:v>223.71</c:v>
                </c:pt>
                <c:pt idx="173">
                  <c:v>237.41</c:v>
                </c:pt>
                <c:pt idx="174">
                  <c:v>242.84</c:v>
                </c:pt>
                <c:pt idx="175">
                  <c:v>233.59</c:v>
                </c:pt>
                <c:pt idx="176">
                  <c:v>234.3</c:v>
                </c:pt>
                <c:pt idx="177">
                  <c:v>235.6</c:v>
                </c:pt>
                <c:pt idx="178">
                  <c:v>241.2</c:v>
                </c:pt>
                <c:pt idx="179">
                  <c:v>234.21</c:v>
                </c:pt>
                <c:pt idx="180">
                  <c:v>235.45</c:v>
                </c:pt>
                <c:pt idx="181">
                  <c:v>236.08</c:v>
                </c:pt>
                <c:pt idx="182">
                  <c:v>246.72</c:v>
                </c:pt>
                <c:pt idx="183">
                  <c:v>244.14</c:v>
                </c:pt>
                <c:pt idx="184">
                  <c:v>240.08</c:v>
                </c:pt>
                <c:pt idx="185">
                  <c:v>238.83</c:v>
                </c:pt>
                <c:pt idx="186">
                  <c:v>235.58</c:v>
                </c:pt>
                <c:pt idx="187">
                  <c:v>238.72</c:v>
                </c:pt>
                <c:pt idx="188">
                  <c:v>239.37</c:v>
                </c:pt>
                <c:pt idx="189">
                  <c:v>242.64</c:v>
                </c:pt>
                <c:pt idx="190">
                  <c:v>243.84</c:v>
                </c:pt>
                <c:pt idx="191">
                  <c:v>239.74</c:v>
                </c:pt>
                <c:pt idx="192">
                  <c:v>237.01</c:v>
                </c:pt>
                <c:pt idx="193">
                  <c:v>239.29</c:v>
                </c:pt>
                <c:pt idx="194">
                  <c:v>251.05</c:v>
                </c:pt>
                <c:pt idx="195">
                  <c:v>253.5</c:v>
                </c:pt>
                <c:pt idx="196">
                  <c:v>252.08</c:v>
                </c:pt>
                <c:pt idx="197">
                  <c:v>257.22000000000003</c:v>
                </c:pt>
                <c:pt idx="198">
                  <c:v>247.14</c:v>
                </c:pt>
                <c:pt idx="199">
                  <c:v>254.5</c:v>
                </c:pt>
                <c:pt idx="200">
                  <c:v>252.54</c:v>
                </c:pt>
                <c:pt idx="201">
                  <c:v>256.61</c:v>
                </c:pt>
                <c:pt idx="202">
                  <c:v>261.44</c:v>
                </c:pt>
                <c:pt idx="203">
                  <c:v>253.18</c:v>
                </c:pt>
                <c:pt idx="204">
                  <c:v>248.48</c:v>
                </c:pt>
                <c:pt idx="205">
                  <c:v>248.42</c:v>
                </c:pt>
                <c:pt idx="206">
                  <c:v>238.45</c:v>
                </c:pt>
                <c:pt idx="207">
                  <c:v>237.93</c:v>
                </c:pt>
                <c:pt idx="208">
                  <c:v>237.49</c:v>
                </c:pt>
                <c:pt idx="209">
                  <c:v>240.45</c:v>
                </c:pt>
                <c:pt idx="210">
                  <c:v>234.96</c:v>
                </c:pt>
                <c:pt idx="211">
                  <c:v>233.94</c:v>
                </c:pt>
                <c:pt idx="212">
                  <c:v>227.22</c:v>
                </c:pt>
                <c:pt idx="213">
                  <c:v>218.89</c:v>
                </c:pt>
                <c:pt idx="214">
                  <c:v>219.91</c:v>
                </c:pt>
                <c:pt idx="215">
                  <c:v>215.55</c:v>
                </c:pt>
                <c:pt idx="216">
                  <c:v>211.88</c:v>
                </c:pt>
                <c:pt idx="217">
                  <c:v>212.19</c:v>
                </c:pt>
                <c:pt idx="218">
                  <c:v>208.8</c:v>
                </c:pt>
                <c:pt idx="219">
                  <c:v>209.14</c:v>
                </c:pt>
                <c:pt idx="220">
                  <c:v>207.83</c:v>
                </c:pt>
                <c:pt idx="221">
                  <c:v>182.63</c:v>
                </c:pt>
                <c:pt idx="222">
                  <c:v>183.25</c:v>
                </c:pt>
                <c:pt idx="223">
                  <c:v>190.93</c:v>
                </c:pt>
                <c:pt idx="224">
                  <c:v>191.59</c:v>
                </c:pt>
                <c:pt idx="225">
                  <c:v>187.29</c:v>
                </c:pt>
                <c:pt idx="226">
                  <c:v>188.86</c:v>
                </c:pt>
                <c:pt idx="227">
                  <c:v>187.91</c:v>
                </c:pt>
                <c:pt idx="228">
                  <c:v>181.06</c:v>
                </c:pt>
                <c:pt idx="229">
                  <c:v>185.1</c:v>
                </c:pt>
                <c:pt idx="230">
                  <c:v>187.58</c:v>
                </c:pt>
                <c:pt idx="231">
                  <c:v>189.56</c:v>
                </c:pt>
                <c:pt idx="232">
                  <c:v>193.57</c:v>
                </c:pt>
                <c:pt idx="233">
                  <c:v>188.13</c:v>
                </c:pt>
                <c:pt idx="234">
                  <c:v>184.02</c:v>
                </c:pt>
                <c:pt idx="235">
                  <c:v>188.71</c:v>
                </c:pt>
                <c:pt idx="236">
                  <c:v>200.45</c:v>
                </c:pt>
                <c:pt idx="237">
                  <c:v>199.95</c:v>
                </c:pt>
                <c:pt idx="238">
                  <c:v>193.76</c:v>
                </c:pt>
                <c:pt idx="239">
                  <c:v>194.77</c:v>
                </c:pt>
                <c:pt idx="240">
                  <c:v>197.41</c:v>
                </c:pt>
                <c:pt idx="241">
                  <c:v>191.97</c:v>
                </c:pt>
                <c:pt idx="242">
                  <c:v>199.4</c:v>
                </c:pt>
                <c:pt idx="243">
                  <c:v>199.73</c:v>
                </c:pt>
                <c:pt idx="244">
                  <c:v>202.04</c:v>
                </c:pt>
                <c:pt idx="245">
                  <c:v>201.88</c:v>
                </c:pt>
                <c:pt idx="246">
                  <c:v>202.64</c:v>
                </c:pt>
                <c:pt idx="247">
                  <c:v>188.14</c:v>
                </c:pt>
                <c:pt idx="248">
                  <c:v>180.74</c:v>
                </c:pt>
                <c:pt idx="249">
                  <c:v>176.54</c:v>
                </c:pt>
                <c:pt idx="250">
                  <c:v>178.65</c:v>
                </c:pt>
                <c:pt idx="251">
                  <c:v>175.34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Prediction</c:v>
                </c:pt>
              </c:strCache>
            </c:strRef>
          </c:tx>
          <c:spPr>
            <a:ln cmpd="sng">
              <a:solidFill>
                <a:srgbClr val="E44819"/>
              </a:solidFill>
            </a:ln>
          </c:spPr>
          <c:marker>
            <c:symbol val="none"/>
          </c:marker>
          <c:cat>
            <c:numRef>
              <c:f>Sheet1!$A$2:$A$283</c:f>
              <c:numCache>
                <c:formatCode>m/d/yyyy</c:formatCode>
                <c:ptCount val="282"/>
                <c:pt idx="0">
                  <c:v>44994.666666666599</c:v>
                </c:pt>
                <c:pt idx="1">
                  <c:v>44995.666666666599</c:v>
                </c:pt>
                <c:pt idx="2">
                  <c:v>44998.666666666599</c:v>
                </c:pt>
                <c:pt idx="3">
                  <c:v>44999.666666666599</c:v>
                </c:pt>
                <c:pt idx="4">
                  <c:v>45000.666666666599</c:v>
                </c:pt>
                <c:pt idx="5">
                  <c:v>45001.666666666599</c:v>
                </c:pt>
                <c:pt idx="6">
                  <c:v>45002.666666666599</c:v>
                </c:pt>
                <c:pt idx="7">
                  <c:v>45005.666666666599</c:v>
                </c:pt>
                <c:pt idx="8">
                  <c:v>45006.666666666599</c:v>
                </c:pt>
                <c:pt idx="9">
                  <c:v>45007.666666666599</c:v>
                </c:pt>
                <c:pt idx="10">
                  <c:v>45008.666666666599</c:v>
                </c:pt>
                <c:pt idx="11">
                  <c:v>45009.666666666599</c:v>
                </c:pt>
                <c:pt idx="12">
                  <c:v>45012.666666666599</c:v>
                </c:pt>
                <c:pt idx="13">
                  <c:v>45013.666666666599</c:v>
                </c:pt>
                <c:pt idx="14">
                  <c:v>45014.666666666599</c:v>
                </c:pt>
                <c:pt idx="15">
                  <c:v>45015.666666666599</c:v>
                </c:pt>
                <c:pt idx="16">
                  <c:v>45016.666666666599</c:v>
                </c:pt>
                <c:pt idx="17">
                  <c:v>45019.666666666599</c:v>
                </c:pt>
                <c:pt idx="18">
                  <c:v>45020.666666666599</c:v>
                </c:pt>
                <c:pt idx="19">
                  <c:v>45021.666666666599</c:v>
                </c:pt>
                <c:pt idx="20">
                  <c:v>45022.666666666599</c:v>
                </c:pt>
                <c:pt idx="21">
                  <c:v>45026.666666666599</c:v>
                </c:pt>
                <c:pt idx="22">
                  <c:v>45027.666666666599</c:v>
                </c:pt>
                <c:pt idx="23">
                  <c:v>45028.666666666599</c:v>
                </c:pt>
                <c:pt idx="24">
                  <c:v>45029.666666666599</c:v>
                </c:pt>
                <c:pt idx="25">
                  <c:v>45030.666666666599</c:v>
                </c:pt>
                <c:pt idx="26">
                  <c:v>45033.666666666599</c:v>
                </c:pt>
                <c:pt idx="27">
                  <c:v>45034.666666666599</c:v>
                </c:pt>
                <c:pt idx="28">
                  <c:v>45035.666666666599</c:v>
                </c:pt>
                <c:pt idx="29">
                  <c:v>45036.666666666599</c:v>
                </c:pt>
                <c:pt idx="30">
                  <c:v>45037.666666666599</c:v>
                </c:pt>
                <c:pt idx="31">
                  <c:v>45040.666666666599</c:v>
                </c:pt>
                <c:pt idx="32">
                  <c:v>45041.666666666599</c:v>
                </c:pt>
                <c:pt idx="33">
                  <c:v>45042.666666666599</c:v>
                </c:pt>
                <c:pt idx="34">
                  <c:v>45043.666666666599</c:v>
                </c:pt>
                <c:pt idx="35">
                  <c:v>45044.666666666599</c:v>
                </c:pt>
                <c:pt idx="36">
                  <c:v>45047.666666666599</c:v>
                </c:pt>
                <c:pt idx="37">
                  <c:v>45048.666666666599</c:v>
                </c:pt>
                <c:pt idx="38">
                  <c:v>45049.666666666599</c:v>
                </c:pt>
                <c:pt idx="39">
                  <c:v>45050.666666666599</c:v>
                </c:pt>
                <c:pt idx="40">
                  <c:v>45051.666666666599</c:v>
                </c:pt>
                <c:pt idx="41">
                  <c:v>45054.666666666599</c:v>
                </c:pt>
                <c:pt idx="42">
                  <c:v>45055.666666666599</c:v>
                </c:pt>
                <c:pt idx="43">
                  <c:v>45056.666666666599</c:v>
                </c:pt>
                <c:pt idx="44">
                  <c:v>45057.666666666599</c:v>
                </c:pt>
                <c:pt idx="45">
                  <c:v>45058.666666666599</c:v>
                </c:pt>
                <c:pt idx="46">
                  <c:v>45061.666666666599</c:v>
                </c:pt>
                <c:pt idx="47">
                  <c:v>45062.666666666599</c:v>
                </c:pt>
                <c:pt idx="48">
                  <c:v>45063.666666666599</c:v>
                </c:pt>
                <c:pt idx="49">
                  <c:v>45064.666666666599</c:v>
                </c:pt>
                <c:pt idx="50">
                  <c:v>45065.666666666599</c:v>
                </c:pt>
                <c:pt idx="51">
                  <c:v>45068.666666666599</c:v>
                </c:pt>
                <c:pt idx="52">
                  <c:v>45069.666666666599</c:v>
                </c:pt>
                <c:pt idx="53">
                  <c:v>45070.666666666599</c:v>
                </c:pt>
                <c:pt idx="54">
                  <c:v>45071.666666666599</c:v>
                </c:pt>
                <c:pt idx="55">
                  <c:v>45072.666666666599</c:v>
                </c:pt>
                <c:pt idx="56">
                  <c:v>45076.666666666599</c:v>
                </c:pt>
                <c:pt idx="57">
                  <c:v>45077.666666666599</c:v>
                </c:pt>
                <c:pt idx="58">
                  <c:v>45078.666666666599</c:v>
                </c:pt>
                <c:pt idx="59">
                  <c:v>45079.666666666599</c:v>
                </c:pt>
                <c:pt idx="60">
                  <c:v>45082.666666666599</c:v>
                </c:pt>
                <c:pt idx="61">
                  <c:v>45083.666666666599</c:v>
                </c:pt>
                <c:pt idx="62">
                  <c:v>45084.666666666599</c:v>
                </c:pt>
                <c:pt idx="63">
                  <c:v>45085.666666666599</c:v>
                </c:pt>
                <c:pt idx="64">
                  <c:v>45086.666666666599</c:v>
                </c:pt>
                <c:pt idx="65">
                  <c:v>45089.666666666599</c:v>
                </c:pt>
                <c:pt idx="66">
                  <c:v>45090.666666666599</c:v>
                </c:pt>
                <c:pt idx="67">
                  <c:v>45091.666666666599</c:v>
                </c:pt>
                <c:pt idx="68">
                  <c:v>45092.666666666599</c:v>
                </c:pt>
                <c:pt idx="69">
                  <c:v>45093.666666666599</c:v>
                </c:pt>
                <c:pt idx="70">
                  <c:v>45097.666666666599</c:v>
                </c:pt>
                <c:pt idx="71">
                  <c:v>45098.666666666599</c:v>
                </c:pt>
                <c:pt idx="72">
                  <c:v>45099.666666666599</c:v>
                </c:pt>
                <c:pt idx="73">
                  <c:v>45100.666666666599</c:v>
                </c:pt>
                <c:pt idx="74">
                  <c:v>45103.666666666599</c:v>
                </c:pt>
                <c:pt idx="75">
                  <c:v>45104.666666666599</c:v>
                </c:pt>
                <c:pt idx="76">
                  <c:v>45105.666666666599</c:v>
                </c:pt>
                <c:pt idx="77">
                  <c:v>45106.666666666599</c:v>
                </c:pt>
                <c:pt idx="78">
                  <c:v>45107.666666666599</c:v>
                </c:pt>
                <c:pt idx="79">
                  <c:v>45110.545138888803</c:v>
                </c:pt>
                <c:pt idx="80">
                  <c:v>45112.666666666599</c:v>
                </c:pt>
                <c:pt idx="81">
                  <c:v>45113.666666666599</c:v>
                </c:pt>
                <c:pt idx="82">
                  <c:v>45114.666666666599</c:v>
                </c:pt>
                <c:pt idx="83">
                  <c:v>45117.666666666599</c:v>
                </c:pt>
                <c:pt idx="84">
                  <c:v>45118.666666666599</c:v>
                </c:pt>
                <c:pt idx="85">
                  <c:v>45119.666666666599</c:v>
                </c:pt>
                <c:pt idx="86">
                  <c:v>45120.666666666599</c:v>
                </c:pt>
                <c:pt idx="87">
                  <c:v>45121.666666666599</c:v>
                </c:pt>
                <c:pt idx="88">
                  <c:v>45124.666666666599</c:v>
                </c:pt>
                <c:pt idx="89">
                  <c:v>45125.666666666599</c:v>
                </c:pt>
                <c:pt idx="90">
                  <c:v>45126.666666666599</c:v>
                </c:pt>
                <c:pt idx="91">
                  <c:v>45127.666666666599</c:v>
                </c:pt>
                <c:pt idx="92">
                  <c:v>45128.666666666599</c:v>
                </c:pt>
                <c:pt idx="93">
                  <c:v>45131.666666666599</c:v>
                </c:pt>
                <c:pt idx="94">
                  <c:v>45132.666666666599</c:v>
                </c:pt>
                <c:pt idx="95">
                  <c:v>45133.666666666599</c:v>
                </c:pt>
                <c:pt idx="96">
                  <c:v>45134.666666666599</c:v>
                </c:pt>
                <c:pt idx="97">
                  <c:v>45135.666666666599</c:v>
                </c:pt>
                <c:pt idx="98">
                  <c:v>45138.666666666599</c:v>
                </c:pt>
                <c:pt idx="99">
                  <c:v>45139.666666666599</c:v>
                </c:pt>
                <c:pt idx="100">
                  <c:v>45140.666666666599</c:v>
                </c:pt>
                <c:pt idx="101">
                  <c:v>45141.666666666599</c:v>
                </c:pt>
                <c:pt idx="102">
                  <c:v>45142.666666666599</c:v>
                </c:pt>
                <c:pt idx="103">
                  <c:v>45145.666666666599</c:v>
                </c:pt>
                <c:pt idx="104">
                  <c:v>45146.666666666599</c:v>
                </c:pt>
                <c:pt idx="105">
                  <c:v>45147.666666666599</c:v>
                </c:pt>
                <c:pt idx="106">
                  <c:v>45148.666666666599</c:v>
                </c:pt>
                <c:pt idx="107">
                  <c:v>45149.666666666599</c:v>
                </c:pt>
                <c:pt idx="108">
                  <c:v>45152.666666666599</c:v>
                </c:pt>
                <c:pt idx="109">
                  <c:v>45153.666666666599</c:v>
                </c:pt>
                <c:pt idx="110">
                  <c:v>45154.666666666599</c:v>
                </c:pt>
                <c:pt idx="111">
                  <c:v>45155.666666666599</c:v>
                </c:pt>
                <c:pt idx="112">
                  <c:v>45156.666666666599</c:v>
                </c:pt>
                <c:pt idx="113">
                  <c:v>45159.666666666599</c:v>
                </c:pt>
                <c:pt idx="114">
                  <c:v>45160.666666666599</c:v>
                </c:pt>
                <c:pt idx="115">
                  <c:v>45161.666666666599</c:v>
                </c:pt>
                <c:pt idx="116">
                  <c:v>45162.666666666599</c:v>
                </c:pt>
                <c:pt idx="117">
                  <c:v>45163.666666666599</c:v>
                </c:pt>
                <c:pt idx="118">
                  <c:v>45166.666666666599</c:v>
                </c:pt>
                <c:pt idx="119">
                  <c:v>45167.666666666599</c:v>
                </c:pt>
                <c:pt idx="120">
                  <c:v>45168.666666666599</c:v>
                </c:pt>
                <c:pt idx="121">
                  <c:v>45169.666666666599</c:v>
                </c:pt>
                <c:pt idx="122">
                  <c:v>45170.666666666599</c:v>
                </c:pt>
                <c:pt idx="123">
                  <c:v>45174.666666666599</c:v>
                </c:pt>
                <c:pt idx="124">
                  <c:v>45175.666666666599</c:v>
                </c:pt>
                <c:pt idx="125">
                  <c:v>45176.666666666599</c:v>
                </c:pt>
                <c:pt idx="126">
                  <c:v>45177.666666666599</c:v>
                </c:pt>
                <c:pt idx="127">
                  <c:v>45180.666666666599</c:v>
                </c:pt>
                <c:pt idx="128">
                  <c:v>45181.666666666599</c:v>
                </c:pt>
                <c:pt idx="129">
                  <c:v>45182.666666666599</c:v>
                </c:pt>
                <c:pt idx="130">
                  <c:v>45183.666666666599</c:v>
                </c:pt>
                <c:pt idx="131">
                  <c:v>45184.666666666599</c:v>
                </c:pt>
                <c:pt idx="132">
                  <c:v>45187.666666666599</c:v>
                </c:pt>
                <c:pt idx="133">
                  <c:v>45188.666666666599</c:v>
                </c:pt>
                <c:pt idx="134">
                  <c:v>45189.666666666599</c:v>
                </c:pt>
                <c:pt idx="135">
                  <c:v>45190.666666666599</c:v>
                </c:pt>
                <c:pt idx="136">
                  <c:v>45191.666666666599</c:v>
                </c:pt>
                <c:pt idx="137">
                  <c:v>45194.666666666599</c:v>
                </c:pt>
                <c:pt idx="138">
                  <c:v>45195.666666666599</c:v>
                </c:pt>
                <c:pt idx="139">
                  <c:v>45196.666666666599</c:v>
                </c:pt>
                <c:pt idx="140">
                  <c:v>45197.666666666599</c:v>
                </c:pt>
                <c:pt idx="141">
                  <c:v>45198.666666666599</c:v>
                </c:pt>
                <c:pt idx="142">
                  <c:v>45201.666666666599</c:v>
                </c:pt>
                <c:pt idx="143">
                  <c:v>45202.666666666599</c:v>
                </c:pt>
                <c:pt idx="144">
                  <c:v>45203.666666666599</c:v>
                </c:pt>
                <c:pt idx="145">
                  <c:v>45204.666666666599</c:v>
                </c:pt>
                <c:pt idx="146">
                  <c:v>45205.666666666599</c:v>
                </c:pt>
                <c:pt idx="147">
                  <c:v>45208.666666666599</c:v>
                </c:pt>
                <c:pt idx="148">
                  <c:v>45209.666666666599</c:v>
                </c:pt>
                <c:pt idx="149">
                  <c:v>45210.666666666599</c:v>
                </c:pt>
                <c:pt idx="150">
                  <c:v>45211.666666666599</c:v>
                </c:pt>
                <c:pt idx="151">
                  <c:v>45212.666666666599</c:v>
                </c:pt>
                <c:pt idx="152">
                  <c:v>45215.666666666599</c:v>
                </c:pt>
                <c:pt idx="153">
                  <c:v>45216.666666666599</c:v>
                </c:pt>
                <c:pt idx="154">
                  <c:v>45217.666666666599</c:v>
                </c:pt>
                <c:pt idx="155">
                  <c:v>45218.666666666599</c:v>
                </c:pt>
                <c:pt idx="156">
                  <c:v>45219.666666666599</c:v>
                </c:pt>
                <c:pt idx="157">
                  <c:v>45222.666666666599</c:v>
                </c:pt>
                <c:pt idx="158">
                  <c:v>45223.666666666599</c:v>
                </c:pt>
                <c:pt idx="159">
                  <c:v>45224.666666666599</c:v>
                </c:pt>
                <c:pt idx="160">
                  <c:v>45225.666666666599</c:v>
                </c:pt>
                <c:pt idx="161">
                  <c:v>45226.666666666599</c:v>
                </c:pt>
                <c:pt idx="162">
                  <c:v>45229.666666666599</c:v>
                </c:pt>
                <c:pt idx="163">
                  <c:v>45230.666666666599</c:v>
                </c:pt>
                <c:pt idx="164">
                  <c:v>45231.666666666599</c:v>
                </c:pt>
                <c:pt idx="165">
                  <c:v>45232.666666666599</c:v>
                </c:pt>
                <c:pt idx="166">
                  <c:v>45233.666666666599</c:v>
                </c:pt>
                <c:pt idx="167">
                  <c:v>45236.666666666599</c:v>
                </c:pt>
                <c:pt idx="168">
                  <c:v>45237.666666666599</c:v>
                </c:pt>
                <c:pt idx="169">
                  <c:v>45238.666666666599</c:v>
                </c:pt>
                <c:pt idx="170">
                  <c:v>45239.666666666599</c:v>
                </c:pt>
                <c:pt idx="171">
                  <c:v>45240.666666666599</c:v>
                </c:pt>
                <c:pt idx="172">
                  <c:v>45243.666666666599</c:v>
                </c:pt>
                <c:pt idx="173">
                  <c:v>45244.666666666599</c:v>
                </c:pt>
                <c:pt idx="174">
                  <c:v>45245.666666666599</c:v>
                </c:pt>
                <c:pt idx="175">
                  <c:v>45246.666666666599</c:v>
                </c:pt>
                <c:pt idx="176">
                  <c:v>45247.666666666599</c:v>
                </c:pt>
                <c:pt idx="177">
                  <c:v>45250.666666666599</c:v>
                </c:pt>
                <c:pt idx="178">
                  <c:v>45251.666666666599</c:v>
                </c:pt>
                <c:pt idx="179">
                  <c:v>45252.666666666599</c:v>
                </c:pt>
                <c:pt idx="180">
                  <c:v>45254.545138888803</c:v>
                </c:pt>
                <c:pt idx="181">
                  <c:v>45257.666666666599</c:v>
                </c:pt>
                <c:pt idx="182">
                  <c:v>45258.666666666599</c:v>
                </c:pt>
                <c:pt idx="183">
                  <c:v>45259.666666666599</c:v>
                </c:pt>
                <c:pt idx="184">
                  <c:v>45260.666666666599</c:v>
                </c:pt>
                <c:pt idx="185">
                  <c:v>45261.666666666599</c:v>
                </c:pt>
                <c:pt idx="186">
                  <c:v>45264.666666666599</c:v>
                </c:pt>
                <c:pt idx="187">
                  <c:v>45265.666666666599</c:v>
                </c:pt>
                <c:pt idx="188">
                  <c:v>45266.666666666599</c:v>
                </c:pt>
                <c:pt idx="189">
                  <c:v>45267.666666666599</c:v>
                </c:pt>
                <c:pt idx="190">
                  <c:v>45268.666666666599</c:v>
                </c:pt>
                <c:pt idx="191">
                  <c:v>45271.666666666599</c:v>
                </c:pt>
                <c:pt idx="192">
                  <c:v>45272.666666666599</c:v>
                </c:pt>
                <c:pt idx="193">
                  <c:v>45273.666666666599</c:v>
                </c:pt>
                <c:pt idx="194">
                  <c:v>45274.666666666599</c:v>
                </c:pt>
                <c:pt idx="195">
                  <c:v>45275.666666666599</c:v>
                </c:pt>
                <c:pt idx="196">
                  <c:v>45278.666666666599</c:v>
                </c:pt>
                <c:pt idx="197">
                  <c:v>45279.666666666599</c:v>
                </c:pt>
                <c:pt idx="198">
                  <c:v>45280.666666666599</c:v>
                </c:pt>
                <c:pt idx="199">
                  <c:v>45281.666666666599</c:v>
                </c:pt>
                <c:pt idx="200">
                  <c:v>45282.666666666599</c:v>
                </c:pt>
                <c:pt idx="201">
                  <c:v>45286.666666666599</c:v>
                </c:pt>
                <c:pt idx="202">
                  <c:v>45287.666666666599</c:v>
                </c:pt>
                <c:pt idx="203">
                  <c:v>45288.666666666599</c:v>
                </c:pt>
                <c:pt idx="204">
                  <c:v>45289.666666666599</c:v>
                </c:pt>
                <c:pt idx="205">
                  <c:v>45293.666666666599</c:v>
                </c:pt>
                <c:pt idx="206">
                  <c:v>45294.666666666599</c:v>
                </c:pt>
                <c:pt idx="207">
                  <c:v>45295.666666666599</c:v>
                </c:pt>
                <c:pt idx="208">
                  <c:v>45296.666666666599</c:v>
                </c:pt>
                <c:pt idx="209">
                  <c:v>45299.666666666599</c:v>
                </c:pt>
                <c:pt idx="210">
                  <c:v>45300.666666666599</c:v>
                </c:pt>
                <c:pt idx="211">
                  <c:v>45301.666666666599</c:v>
                </c:pt>
                <c:pt idx="212">
                  <c:v>45302.666666666599</c:v>
                </c:pt>
                <c:pt idx="213">
                  <c:v>45303.666666666599</c:v>
                </c:pt>
                <c:pt idx="214">
                  <c:v>45307.666666666599</c:v>
                </c:pt>
                <c:pt idx="215">
                  <c:v>45308.666666666599</c:v>
                </c:pt>
                <c:pt idx="216">
                  <c:v>45309.666666666599</c:v>
                </c:pt>
                <c:pt idx="217">
                  <c:v>45310.666666666599</c:v>
                </c:pt>
                <c:pt idx="218">
                  <c:v>45313.666666666599</c:v>
                </c:pt>
                <c:pt idx="219">
                  <c:v>45314.666666666599</c:v>
                </c:pt>
                <c:pt idx="220">
                  <c:v>45315.666666666599</c:v>
                </c:pt>
                <c:pt idx="221">
                  <c:v>45316.666666666599</c:v>
                </c:pt>
                <c:pt idx="222">
                  <c:v>45317.666666666599</c:v>
                </c:pt>
                <c:pt idx="223">
                  <c:v>45320.666666666599</c:v>
                </c:pt>
                <c:pt idx="224">
                  <c:v>45321.666666666599</c:v>
                </c:pt>
                <c:pt idx="225">
                  <c:v>45322.666666666599</c:v>
                </c:pt>
                <c:pt idx="226">
                  <c:v>45323.666666666599</c:v>
                </c:pt>
                <c:pt idx="227">
                  <c:v>45324.666666666599</c:v>
                </c:pt>
                <c:pt idx="228">
                  <c:v>45327.666666666599</c:v>
                </c:pt>
                <c:pt idx="229">
                  <c:v>45328.666666666599</c:v>
                </c:pt>
                <c:pt idx="230">
                  <c:v>45329.666666666599</c:v>
                </c:pt>
                <c:pt idx="231">
                  <c:v>45330.666666666599</c:v>
                </c:pt>
                <c:pt idx="232">
                  <c:v>45331.666666666599</c:v>
                </c:pt>
                <c:pt idx="233">
                  <c:v>45334.666666666599</c:v>
                </c:pt>
                <c:pt idx="234">
                  <c:v>45335.666666666599</c:v>
                </c:pt>
                <c:pt idx="235">
                  <c:v>45336.666666666599</c:v>
                </c:pt>
                <c:pt idx="236">
                  <c:v>45337.666666666599</c:v>
                </c:pt>
                <c:pt idx="237">
                  <c:v>45338.666666666599</c:v>
                </c:pt>
                <c:pt idx="238">
                  <c:v>45342.666666666599</c:v>
                </c:pt>
                <c:pt idx="239">
                  <c:v>45343.666666666599</c:v>
                </c:pt>
                <c:pt idx="240">
                  <c:v>45344.666666666599</c:v>
                </c:pt>
                <c:pt idx="241">
                  <c:v>45345.666666666599</c:v>
                </c:pt>
                <c:pt idx="242">
                  <c:v>45348.666666666599</c:v>
                </c:pt>
                <c:pt idx="243">
                  <c:v>45349.666666666599</c:v>
                </c:pt>
                <c:pt idx="244">
                  <c:v>45350.666666666599</c:v>
                </c:pt>
                <c:pt idx="245">
                  <c:v>45351.666666666599</c:v>
                </c:pt>
                <c:pt idx="246">
                  <c:v>45352.666666666599</c:v>
                </c:pt>
                <c:pt idx="247">
                  <c:v>45355.666666666599</c:v>
                </c:pt>
                <c:pt idx="248">
                  <c:v>45356.666666666599</c:v>
                </c:pt>
                <c:pt idx="249">
                  <c:v>45357.666666666599</c:v>
                </c:pt>
                <c:pt idx="250">
                  <c:v>45358.666666666599</c:v>
                </c:pt>
                <c:pt idx="251">
                  <c:v>45359.666666666599</c:v>
                </c:pt>
              </c:numCache>
            </c:numRef>
          </c:cat>
          <c:val>
            <c:numRef>
              <c:f>Sheet1!$C$2:$C$283</c:f>
              <c:numCache>
                <c:formatCode>#,##0.00;\(#,##0.00\)</c:formatCode>
                <c:ptCount val="282"/>
                <c:pt idx="0">
                  <c:v>166.56715312647901</c:v>
                </c:pt>
                <c:pt idx="1">
                  <c:v>166.931251962484</c:v>
                </c:pt>
                <c:pt idx="2">
                  <c:v>167.97095334231</c:v>
                </c:pt>
                <c:pt idx="3">
                  <c:v>170.75767504811901</c:v>
                </c:pt>
                <c:pt idx="4">
                  <c:v>170.364036162659</c:v>
                </c:pt>
                <c:pt idx="5">
                  <c:v>169.79174728031799</c:v>
                </c:pt>
                <c:pt idx="6">
                  <c:v>170.15584611632499</c:v>
                </c:pt>
                <c:pt idx="7">
                  <c:v>171.19554749614301</c:v>
                </c:pt>
                <c:pt idx="8">
                  <c:v>173.98226920195799</c:v>
                </c:pt>
                <c:pt idx="9">
                  <c:v>173.58863029743301</c:v>
                </c:pt>
                <c:pt idx="10">
                  <c:v>173.01634139602101</c:v>
                </c:pt>
                <c:pt idx="11">
                  <c:v>173.38044021295599</c:v>
                </c:pt>
                <c:pt idx="12">
                  <c:v>174.42014153557801</c:v>
                </c:pt>
                <c:pt idx="13">
                  <c:v>177.20686322232001</c:v>
                </c:pt>
                <c:pt idx="14">
                  <c:v>176.813224317791</c:v>
                </c:pt>
                <c:pt idx="15">
                  <c:v>176.240935416383</c:v>
                </c:pt>
                <c:pt idx="16">
                  <c:v>176.60503423332599</c:v>
                </c:pt>
                <c:pt idx="17">
                  <c:v>177.644735558793</c:v>
                </c:pt>
                <c:pt idx="18">
                  <c:v>180.431457246489</c:v>
                </c:pt>
                <c:pt idx="19">
                  <c:v>180.03781834290999</c:v>
                </c:pt>
                <c:pt idx="20">
                  <c:v>179.46552944245701</c:v>
                </c:pt>
                <c:pt idx="21">
                  <c:v>180.86932958581801</c:v>
                </c:pt>
                <c:pt idx="22">
                  <c:v>183.656051273515</c:v>
                </c:pt>
                <c:pt idx="23">
                  <c:v>183.262412369934</c:v>
                </c:pt>
                <c:pt idx="24">
                  <c:v>182.690123469474</c:v>
                </c:pt>
                <c:pt idx="25">
                  <c:v>183.054228031289</c:v>
                </c:pt>
                <c:pt idx="26">
                  <c:v>184.09394658854899</c:v>
                </c:pt>
                <c:pt idx="27">
                  <c:v>186.880674020165</c:v>
                </c:pt>
                <c:pt idx="28">
                  <c:v>186.487040860517</c:v>
                </c:pt>
                <c:pt idx="29">
                  <c:v>185.914757703986</c:v>
                </c:pt>
                <c:pt idx="30">
                  <c:v>186.27886226579699</c:v>
                </c:pt>
                <c:pt idx="31">
                  <c:v>187.31858082305499</c:v>
                </c:pt>
                <c:pt idx="32">
                  <c:v>190.105308254677</c:v>
                </c:pt>
                <c:pt idx="33">
                  <c:v>189.91013688125801</c:v>
                </c:pt>
                <c:pt idx="34">
                  <c:v>189.536315510945</c:v>
                </c:pt>
                <c:pt idx="35">
                  <c:v>190.098881858982</c:v>
                </c:pt>
                <c:pt idx="36">
                  <c:v>191.73398577491901</c:v>
                </c:pt>
                <c:pt idx="37">
                  <c:v>194.719174992766</c:v>
                </c:pt>
                <c:pt idx="38">
                  <c:v>194.524003619344</c:v>
                </c:pt>
                <c:pt idx="39">
                  <c:v>194.15018224903801</c:v>
                </c:pt>
                <c:pt idx="40">
                  <c:v>194.71274859707799</c:v>
                </c:pt>
                <c:pt idx="41">
                  <c:v>196.963854449536</c:v>
                </c:pt>
                <c:pt idx="42">
                  <c:v>200.15437764622999</c:v>
                </c:pt>
                <c:pt idx="43">
                  <c:v>200.16454025164799</c:v>
                </c:pt>
                <c:pt idx="44">
                  <c:v>199.99605286018601</c:v>
                </c:pt>
                <c:pt idx="45">
                  <c:v>200.763953187071</c:v>
                </c:pt>
                <c:pt idx="46">
                  <c:v>203.01505903953401</c:v>
                </c:pt>
                <c:pt idx="47">
                  <c:v>206.20558223622601</c:v>
                </c:pt>
                <c:pt idx="48">
                  <c:v>206.21574484164501</c:v>
                </c:pt>
                <c:pt idx="49">
                  <c:v>206.052712947244</c:v>
                </c:pt>
                <c:pt idx="50">
                  <c:v>206.82606877119301</c:v>
                </c:pt>
                <c:pt idx="51">
                  <c:v>209.093541114837</c:v>
                </c:pt>
                <c:pt idx="52">
                  <c:v>212.28951980859401</c:v>
                </c:pt>
                <c:pt idx="53">
                  <c:v>212.305137911071</c:v>
                </c:pt>
                <c:pt idx="54">
                  <c:v>212.14210601667099</c:v>
                </c:pt>
                <c:pt idx="55">
                  <c:v>212.91546184061201</c:v>
                </c:pt>
                <c:pt idx="56">
                  <c:v>218.37891287801699</c:v>
                </c:pt>
                <c:pt idx="57">
                  <c:v>218.39453097562</c:v>
                </c:pt>
                <c:pt idx="58">
                  <c:v>218.231499076332</c:v>
                </c:pt>
                <c:pt idx="59">
                  <c:v>219.00485489539099</c:v>
                </c:pt>
                <c:pt idx="60">
                  <c:v>221.272327224386</c:v>
                </c:pt>
                <c:pt idx="61">
                  <c:v>224.468305913254</c:v>
                </c:pt>
                <c:pt idx="62">
                  <c:v>224.48392401085499</c:v>
                </c:pt>
                <c:pt idx="63">
                  <c:v>224.32089211156099</c:v>
                </c:pt>
                <c:pt idx="64">
                  <c:v>225.09424793062999</c:v>
                </c:pt>
                <c:pt idx="65">
                  <c:v>227.36172025289201</c:v>
                </c:pt>
                <c:pt idx="66">
                  <c:v>230.557698939517</c:v>
                </c:pt>
                <c:pt idx="67">
                  <c:v>230.57331703487301</c:v>
                </c:pt>
                <c:pt idx="68">
                  <c:v>230.41028513333799</c:v>
                </c:pt>
                <c:pt idx="69">
                  <c:v>231.18364095015201</c:v>
                </c:pt>
                <c:pt idx="70">
                  <c:v>236.64709195904999</c:v>
                </c:pt>
                <c:pt idx="71">
                  <c:v>236.662710054402</c:v>
                </c:pt>
                <c:pt idx="72">
                  <c:v>236.49967815287499</c:v>
                </c:pt>
                <c:pt idx="73">
                  <c:v>237.27303201778901</c:v>
                </c:pt>
                <c:pt idx="74">
                  <c:v>239.54049848438501</c:v>
                </c:pt>
                <c:pt idx="75">
                  <c:v>242.736475219113</c:v>
                </c:pt>
                <c:pt idx="76">
                  <c:v>242.75209136257601</c:v>
                </c:pt>
                <c:pt idx="77">
                  <c:v>242.58905750915699</c:v>
                </c:pt>
                <c:pt idx="78">
                  <c:v>243.362411374083</c:v>
                </c:pt>
                <c:pt idx="79">
                  <c:v>245.629877840668</c:v>
                </c:pt>
                <c:pt idx="80">
                  <c:v>248.84147071886099</c:v>
                </c:pt>
                <c:pt idx="81">
                  <c:v>248.37461378202099</c:v>
                </c:pt>
                <c:pt idx="82">
                  <c:v>248.844144563529</c:v>
                </c:pt>
                <c:pt idx="83">
                  <c:v>250.20014177986101</c:v>
                </c:pt>
                <c:pt idx="84">
                  <c:v>253.09229543117399</c:v>
                </c:pt>
                <c:pt idx="85">
                  <c:v>252.804088491214</c:v>
                </c:pt>
                <c:pt idx="86">
                  <c:v>252.33723155438</c:v>
                </c:pt>
                <c:pt idx="87">
                  <c:v>252.80676233588599</c:v>
                </c:pt>
                <c:pt idx="88">
                  <c:v>254.162759552213</c:v>
                </c:pt>
                <c:pt idx="89">
                  <c:v>256.662385712662</c:v>
                </c:pt>
                <c:pt idx="90">
                  <c:v>255.98165128183999</c:v>
                </c:pt>
                <c:pt idx="91">
                  <c:v>255.12226685413199</c:v>
                </c:pt>
                <c:pt idx="92">
                  <c:v>255.19927014477199</c:v>
                </c:pt>
                <c:pt idx="93">
                  <c:v>255.377684888505</c:v>
                </c:pt>
                <c:pt idx="94">
                  <c:v>257.87731104895198</c:v>
                </c:pt>
                <c:pt idx="95">
                  <c:v>257.19657661812403</c:v>
                </c:pt>
                <c:pt idx="96">
                  <c:v>256.33719219042098</c:v>
                </c:pt>
                <c:pt idx="97">
                  <c:v>256.12872422999698</c:v>
                </c:pt>
                <c:pt idx="98">
                  <c:v>255.45072522052601</c:v>
                </c:pt>
                <c:pt idx="99">
                  <c:v>257.66488012990902</c:v>
                </c:pt>
                <c:pt idx="100">
                  <c:v>256.69867444801599</c:v>
                </c:pt>
                <c:pt idx="101">
                  <c:v>255.553818769239</c:v>
                </c:pt>
                <c:pt idx="102">
                  <c:v>255.34535080881099</c:v>
                </c:pt>
                <c:pt idx="103">
                  <c:v>254.667351799351</c:v>
                </c:pt>
                <c:pt idx="104">
                  <c:v>256.881506708735</c:v>
                </c:pt>
                <c:pt idx="105">
                  <c:v>255.84208898954</c:v>
                </c:pt>
                <c:pt idx="106">
                  <c:v>254.624021273458</c:v>
                </c:pt>
                <c:pt idx="107">
                  <c:v>254.34234127573001</c:v>
                </c:pt>
                <c:pt idx="108">
                  <c:v>253.44470615435199</c:v>
                </c:pt>
                <c:pt idx="109">
                  <c:v>255.58564902643101</c:v>
                </c:pt>
                <c:pt idx="110">
                  <c:v>254.54623130724499</c:v>
                </c:pt>
                <c:pt idx="111">
                  <c:v>253.32816359116299</c:v>
                </c:pt>
                <c:pt idx="112">
                  <c:v>253.04648359343099</c:v>
                </c:pt>
                <c:pt idx="113">
                  <c:v>252.148848462735</c:v>
                </c:pt>
                <c:pt idx="114">
                  <c:v>254.28979133170699</c:v>
                </c:pt>
                <c:pt idx="115">
                  <c:v>253.250373609409</c:v>
                </c:pt>
                <c:pt idx="116">
                  <c:v>252.03230589022101</c:v>
                </c:pt>
                <c:pt idx="117">
                  <c:v>251.75062588939301</c:v>
                </c:pt>
                <c:pt idx="118">
                  <c:v>250.852990758689</c:v>
                </c:pt>
                <c:pt idx="119">
                  <c:v>252.99393362766099</c:v>
                </c:pt>
                <c:pt idx="120">
                  <c:v>251.95451590536101</c:v>
                </c:pt>
                <c:pt idx="121">
                  <c:v>250.73644807115301</c:v>
                </c:pt>
                <c:pt idx="122">
                  <c:v>250.45476795528299</c:v>
                </c:pt>
                <c:pt idx="123">
                  <c:v>251.69807523342601</c:v>
                </c:pt>
                <c:pt idx="124">
                  <c:v>250.658657396102</c:v>
                </c:pt>
                <c:pt idx="125">
                  <c:v>249.44058956188701</c:v>
                </c:pt>
                <c:pt idx="126">
                  <c:v>249.15890944602199</c:v>
                </c:pt>
                <c:pt idx="127">
                  <c:v>248.261273970236</c:v>
                </c:pt>
                <c:pt idx="128">
                  <c:v>250.402216724168</c:v>
                </c:pt>
                <c:pt idx="129">
                  <c:v>249.362563110601</c:v>
                </c:pt>
                <c:pt idx="130">
                  <c:v>248.144259500148</c:v>
                </c:pt>
                <c:pt idx="131">
                  <c:v>247.862343608044</c:v>
                </c:pt>
                <c:pt idx="132">
                  <c:v>246.96400080352601</c:v>
                </c:pt>
                <c:pt idx="133">
                  <c:v>249.104707781223</c:v>
                </c:pt>
                <c:pt idx="134">
                  <c:v>248.06505416765199</c:v>
                </c:pt>
                <c:pt idx="135">
                  <c:v>246.84675055719899</c:v>
                </c:pt>
                <c:pt idx="136">
                  <c:v>246.564834665088</c:v>
                </c:pt>
                <c:pt idx="137">
                  <c:v>245.66649169905301</c:v>
                </c:pt>
                <c:pt idx="138">
                  <c:v>247.80719862290701</c:v>
                </c:pt>
                <c:pt idx="139">
                  <c:v>246.76754495549699</c:v>
                </c:pt>
                <c:pt idx="140">
                  <c:v>245.54924129119399</c:v>
                </c:pt>
                <c:pt idx="141">
                  <c:v>245.267325345252</c:v>
                </c:pt>
                <c:pt idx="142">
                  <c:v>244.36898237920599</c:v>
                </c:pt>
                <c:pt idx="143">
                  <c:v>246.509689303063</c:v>
                </c:pt>
                <c:pt idx="144">
                  <c:v>245.470035635649</c:v>
                </c:pt>
                <c:pt idx="145">
                  <c:v>244.25173195989399</c:v>
                </c:pt>
                <c:pt idx="146">
                  <c:v>243.96981600250101</c:v>
                </c:pt>
                <c:pt idx="147">
                  <c:v>243.07147300210499</c:v>
                </c:pt>
                <c:pt idx="148">
                  <c:v>245.212179914508</c:v>
                </c:pt>
                <c:pt idx="149">
                  <c:v>244.17252623564201</c:v>
                </c:pt>
                <c:pt idx="150">
                  <c:v>242.954222559887</c:v>
                </c:pt>
                <c:pt idx="151">
                  <c:v>242.672306602482</c:v>
                </c:pt>
                <c:pt idx="152">
                  <c:v>241.773963602094</c:v>
                </c:pt>
                <c:pt idx="153">
                  <c:v>243.91467047739499</c:v>
                </c:pt>
                <c:pt idx="154">
                  <c:v>242.87501676142</c:v>
                </c:pt>
                <c:pt idx="155">
                  <c:v>241.656713048564</c:v>
                </c:pt>
                <c:pt idx="156">
                  <c:v>241.37479705404999</c:v>
                </c:pt>
                <c:pt idx="157">
                  <c:v>240.47645394234701</c:v>
                </c:pt>
                <c:pt idx="158">
                  <c:v>242.617160817643</c:v>
                </c:pt>
                <c:pt idx="159">
                  <c:v>241.57750710167099</c:v>
                </c:pt>
                <c:pt idx="160">
                  <c:v>240.35920338881999</c:v>
                </c:pt>
                <c:pt idx="161">
                  <c:v>240.07728742594301</c:v>
                </c:pt>
                <c:pt idx="162">
                  <c:v>239.17894440913801</c:v>
                </c:pt>
                <c:pt idx="163">
                  <c:v>241.319651316072</c:v>
                </c:pt>
                <c:pt idx="164">
                  <c:v>240.279997631735</c:v>
                </c:pt>
                <c:pt idx="165">
                  <c:v>239.06169395051</c:v>
                </c:pt>
                <c:pt idx="166">
                  <c:v>238.779777987643</c:v>
                </c:pt>
                <c:pt idx="167">
                  <c:v>237.88143497083601</c:v>
                </c:pt>
                <c:pt idx="168">
                  <c:v>240.02214187777</c:v>
                </c:pt>
                <c:pt idx="169">
                  <c:v>238.98248815065199</c:v>
                </c:pt>
                <c:pt idx="170">
                  <c:v>237.76418442666201</c:v>
                </c:pt>
                <c:pt idx="171">
                  <c:v>237.48226842101201</c:v>
                </c:pt>
                <c:pt idx="172">
                  <c:v>236.583925275865</c:v>
                </c:pt>
                <c:pt idx="173">
                  <c:v>238.72463214002801</c:v>
                </c:pt>
                <c:pt idx="174">
                  <c:v>237.68497841291401</c:v>
                </c:pt>
                <c:pt idx="175">
                  <c:v>236.46667468891599</c:v>
                </c:pt>
                <c:pt idx="176">
                  <c:v>236.18475868326701</c:v>
                </c:pt>
                <c:pt idx="177">
                  <c:v>235.286415537164</c:v>
                </c:pt>
                <c:pt idx="178">
                  <c:v>237.427122400999</c:v>
                </c:pt>
                <c:pt idx="179">
                  <c:v>236.38746867356099</c:v>
                </c:pt>
                <c:pt idx="180">
                  <c:v>234.88724894328101</c:v>
                </c:pt>
                <c:pt idx="181">
                  <c:v>233.98890579716701</c:v>
                </c:pt>
                <c:pt idx="182">
                  <c:v>236.12961266100501</c:v>
                </c:pt>
                <c:pt idx="183">
                  <c:v>235.08995893356601</c:v>
                </c:pt>
                <c:pt idx="184">
                  <c:v>233.871655209252</c:v>
                </c:pt>
                <c:pt idx="185">
                  <c:v>233.58973914874699</c:v>
                </c:pt>
                <c:pt idx="186">
                  <c:v>232.69139583908</c:v>
                </c:pt>
                <c:pt idx="187">
                  <c:v>234.83210264839599</c:v>
                </c:pt>
                <c:pt idx="188">
                  <c:v>233.79244886643599</c:v>
                </c:pt>
                <c:pt idx="189">
                  <c:v>232.574145087587</c:v>
                </c:pt>
                <c:pt idx="190">
                  <c:v>232.29222902709299</c:v>
                </c:pt>
                <c:pt idx="191">
                  <c:v>231.39388571742299</c:v>
                </c:pt>
                <c:pt idx="192">
                  <c:v>233.53459252673099</c:v>
                </c:pt>
                <c:pt idx="193">
                  <c:v>232.34695554800101</c:v>
                </c:pt>
                <c:pt idx="194">
                  <c:v>230.98066857237799</c:v>
                </c:pt>
                <c:pt idx="195">
                  <c:v>230.550769315103</c:v>
                </c:pt>
                <c:pt idx="196">
                  <c:v>229.20847641510099</c:v>
                </c:pt>
                <c:pt idx="197">
                  <c:v>231.201200027639</c:v>
                </c:pt>
                <c:pt idx="198">
                  <c:v>230.01356304890399</c:v>
                </c:pt>
                <c:pt idx="199">
                  <c:v>228.64727607328101</c:v>
                </c:pt>
                <c:pt idx="200">
                  <c:v>228.217376816007</c:v>
                </c:pt>
                <c:pt idx="201">
                  <c:v>228.05695470058899</c:v>
                </c:pt>
                <c:pt idx="202">
                  <c:v>226.66660451486399</c:v>
                </c:pt>
                <c:pt idx="203">
                  <c:v>225.09760433225699</c:v>
                </c:pt>
                <c:pt idx="204">
                  <c:v>224.46499186799801</c:v>
                </c:pt>
                <c:pt idx="205">
                  <c:v>224.30456975256399</c:v>
                </c:pt>
                <c:pt idx="206">
                  <c:v>222.91421956684201</c:v>
                </c:pt>
                <c:pt idx="207">
                  <c:v>221.345219384236</c:v>
                </c:pt>
                <c:pt idx="208">
                  <c:v>220.712606919976</c:v>
                </c:pt>
                <c:pt idx="209">
                  <c:v>218.762174399006</c:v>
                </c:pt>
                <c:pt idx="210">
                  <c:v>220.55218480454701</c:v>
                </c:pt>
                <c:pt idx="211">
                  <c:v>219.161834618825</c:v>
                </c:pt>
                <c:pt idx="212">
                  <c:v>217.59283443621999</c:v>
                </c:pt>
                <c:pt idx="213">
                  <c:v>216.96022197195501</c:v>
                </c:pt>
                <c:pt idx="214">
                  <c:v>216.79979985653</c:v>
                </c:pt>
                <c:pt idx="215">
                  <c:v>215.40944967080401</c:v>
                </c:pt>
                <c:pt idx="216">
                  <c:v>213.840449488198</c:v>
                </c:pt>
                <c:pt idx="217">
                  <c:v>213.20783702393399</c:v>
                </c:pt>
                <c:pt idx="218">
                  <c:v>211.25740450296499</c:v>
                </c:pt>
                <c:pt idx="219">
                  <c:v>213.047414908512</c:v>
                </c:pt>
                <c:pt idx="220">
                  <c:v>211.65706472279001</c:v>
                </c:pt>
                <c:pt idx="221">
                  <c:v>210.08806454018199</c:v>
                </c:pt>
                <c:pt idx="222">
                  <c:v>209.455452075919</c:v>
                </c:pt>
                <c:pt idx="223">
                  <c:v>207.50501955495</c:v>
                </c:pt>
                <c:pt idx="224">
                  <c:v>209.29502996049499</c:v>
                </c:pt>
                <c:pt idx="225">
                  <c:v>207.90467977477101</c:v>
                </c:pt>
                <c:pt idx="226">
                  <c:v>206.33567959216001</c:v>
                </c:pt>
                <c:pt idx="227">
                  <c:v>205.703067127905</c:v>
                </c:pt>
                <c:pt idx="228">
                  <c:v>203.75263460693299</c:v>
                </c:pt>
                <c:pt idx="229">
                  <c:v>205.542645012478</c:v>
                </c:pt>
                <c:pt idx="230">
                  <c:v>204.15229482675201</c:v>
                </c:pt>
                <c:pt idx="231">
                  <c:v>202.583294644143</c:v>
                </c:pt>
                <c:pt idx="232">
                  <c:v>201.950682179876</c:v>
                </c:pt>
                <c:pt idx="233">
                  <c:v>200.00024965891001</c:v>
                </c:pt>
                <c:pt idx="234">
                  <c:v>201.79026006446099</c:v>
                </c:pt>
                <c:pt idx="235">
                  <c:v>200.39990987873099</c:v>
                </c:pt>
                <c:pt idx="236">
                  <c:v>198.83090969612201</c:v>
                </c:pt>
                <c:pt idx="237">
                  <c:v>198.198297231856</c:v>
                </c:pt>
                <c:pt idx="238">
                  <c:v>198.037875116435</c:v>
                </c:pt>
                <c:pt idx="239">
                  <c:v>196.64752493070901</c:v>
                </c:pt>
                <c:pt idx="240">
                  <c:v>195.078524748105</c:v>
                </c:pt>
                <c:pt idx="241">
                  <c:v>194.44591228384601</c:v>
                </c:pt>
                <c:pt idx="242">
                  <c:v>192.49547976287201</c:v>
                </c:pt>
                <c:pt idx="243">
                  <c:v>194.28549016841799</c:v>
                </c:pt>
                <c:pt idx="244">
                  <c:v>192.895139982698</c:v>
                </c:pt>
                <c:pt idx="245">
                  <c:v>191.32613980008401</c:v>
                </c:pt>
                <c:pt idx="246">
                  <c:v>190.69352733582599</c:v>
                </c:pt>
                <c:pt idx="247">
                  <c:v>188.743094814855</c:v>
                </c:pt>
                <c:pt idx="248">
                  <c:v>190.53310522040101</c:v>
                </c:pt>
                <c:pt idx="249">
                  <c:v>189.14275503468099</c:v>
                </c:pt>
                <c:pt idx="250">
                  <c:v>187.573754852071</c:v>
                </c:pt>
                <c:pt idx="251">
                  <c:v>186.941142387811</c:v>
                </c:pt>
                <c:pt idx="252">
                  <c:v>190.155559256142</c:v>
                </c:pt>
                <c:pt idx="253">
                  <c:v>189.619503481766</c:v>
                </c:pt>
                <c:pt idx="254">
                  <c:v>184.99070986683401</c:v>
                </c:pt>
                <c:pt idx="255">
                  <c:v>186.780720272384</c:v>
                </c:pt>
                <c:pt idx="256">
                  <c:v>185.39037008666</c:v>
                </c:pt>
                <c:pt idx="257">
                  <c:v>183.82136990404999</c:v>
                </c:pt>
                <c:pt idx="258">
                  <c:v>183.18875743979001</c:v>
                </c:pt>
                <c:pt idx="259">
                  <c:v>186.403174308118</c:v>
                </c:pt>
                <c:pt idx="260">
                  <c:v>185.86711853375101</c:v>
                </c:pt>
                <c:pt idx="261">
                  <c:v>181.23832491881899</c:v>
                </c:pt>
                <c:pt idx="262">
                  <c:v>183.02833532436699</c:v>
                </c:pt>
                <c:pt idx="263">
                  <c:v>181.63798513863799</c:v>
                </c:pt>
                <c:pt idx="264">
                  <c:v>180.06898495603301</c:v>
                </c:pt>
                <c:pt idx="265">
                  <c:v>179.43637249177499</c:v>
                </c:pt>
                <c:pt idx="266">
                  <c:v>182.65078936009601</c:v>
                </c:pt>
                <c:pt idx="267">
                  <c:v>182.11473358572701</c:v>
                </c:pt>
                <c:pt idx="268">
                  <c:v>177.485939970799</c:v>
                </c:pt>
                <c:pt idx="269">
                  <c:v>179.27595037634899</c:v>
                </c:pt>
                <c:pt idx="270">
                  <c:v>177.88560019061899</c:v>
                </c:pt>
                <c:pt idx="271">
                  <c:v>176.31660000800801</c:v>
                </c:pt>
                <c:pt idx="272">
                  <c:v>175.68398754374701</c:v>
                </c:pt>
                <c:pt idx="273">
                  <c:v>178.89840441207201</c:v>
                </c:pt>
                <c:pt idx="274">
                  <c:v>178.36234863770201</c:v>
                </c:pt>
                <c:pt idx="275">
                  <c:v>173.73355502278201</c:v>
                </c:pt>
                <c:pt idx="276">
                  <c:v>175.52356542832501</c:v>
                </c:pt>
                <c:pt idx="277">
                  <c:v>174.133215242603</c:v>
                </c:pt>
                <c:pt idx="278">
                  <c:v>172.564215059991</c:v>
                </c:pt>
                <c:pt idx="279">
                  <c:v>171.93160259573199</c:v>
                </c:pt>
                <c:pt idx="280">
                  <c:v>175.14601946405901</c:v>
                </c:pt>
                <c:pt idx="281">
                  <c:v>174.60996368968199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5125504"/>
        <c:axId val="179617152"/>
      </c:lineChart>
      <c:dateAx>
        <c:axId val="16512550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2C2C4D"/>
                    </a:solidFill>
                    <a:latin typeface="+mn-lt"/>
                  </a:rPr>
                  <a:t>Date</a:t>
                </a:r>
              </a:p>
            </c:rich>
          </c:tx>
          <c:layout/>
          <c:overlay val="0"/>
        </c:title>
        <c:numFmt formatCode="m/d/yyyy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  <a:endParaRPr lang="en-US"/>
          </a:p>
        </c:txPr>
        <c:crossAx val="179617152"/>
        <c:crosses val="autoZero"/>
        <c:auto val="1"/>
        <c:lblOffset val="100"/>
        <c:baseTimeUnit val="days"/>
      </c:dateAx>
      <c:valAx>
        <c:axId val="17961715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  <a:endParaRPr lang="en-US"/>
          </a:p>
        </c:txPr>
        <c:crossAx val="16512550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8D8D9F"/>
                </a:solidFill>
                <a:latin typeface="+mn-lt"/>
              </a:defRPr>
            </a:pPr>
            <a:r>
              <a:rPr lang="en-US" b="0">
                <a:solidFill>
                  <a:srgbClr val="8D8D9F"/>
                </a:solidFill>
                <a:latin typeface="+mn-lt"/>
              </a:rPr>
              <a:t>30 Day Prediction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cmpd="sng">
              <a:solidFill>
                <a:srgbClr val="1D2384"/>
              </a:solidFill>
            </a:ln>
          </c:spPr>
          <c:marker>
            <c:symbol val="none"/>
          </c:marker>
          <c:dLbls>
            <c:txPr>
              <a:bodyPr/>
              <a:lstStyle/>
              <a:p>
                <a:pPr lvl="0">
                  <a:defRPr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val>
            <c:numRef>
              <c:f>Sheet1!$C$254:$C$283</c:f>
              <c:numCache>
                <c:formatCode>#,##0.00;\(#,##0.00\)</c:formatCode>
                <c:ptCount val="30"/>
                <c:pt idx="0">
                  <c:v>190.155559256142</c:v>
                </c:pt>
                <c:pt idx="1">
                  <c:v>189.619503481766</c:v>
                </c:pt>
                <c:pt idx="2">
                  <c:v>184.99070986683401</c:v>
                </c:pt>
                <c:pt idx="3">
                  <c:v>186.780720272384</c:v>
                </c:pt>
                <c:pt idx="4">
                  <c:v>185.39037008666</c:v>
                </c:pt>
                <c:pt idx="5">
                  <c:v>183.82136990404999</c:v>
                </c:pt>
                <c:pt idx="6">
                  <c:v>183.18875743979001</c:v>
                </c:pt>
                <c:pt idx="7">
                  <c:v>186.403174308118</c:v>
                </c:pt>
                <c:pt idx="8">
                  <c:v>185.86711853375101</c:v>
                </c:pt>
                <c:pt idx="9">
                  <c:v>181.23832491881899</c:v>
                </c:pt>
                <c:pt idx="10">
                  <c:v>183.02833532436699</c:v>
                </c:pt>
                <c:pt idx="11">
                  <c:v>181.63798513863799</c:v>
                </c:pt>
                <c:pt idx="12">
                  <c:v>180.06898495603301</c:v>
                </c:pt>
                <c:pt idx="13">
                  <c:v>179.43637249177499</c:v>
                </c:pt>
                <c:pt idx="14">
                  <c:v>182.65078936009601</c:v>
                </c:pt>
                <c:pt idx="15">
                  <c:v>182.11473358572701</c:v>
                </c:pt>
                <c:pt idx="16">
                  <c:v>177.485939970799</c:v>
                </c:pt>
                <c:pt idx="17">
                  <c:v>179.27595037634899</c:v>
                </c:pt>
                <c:pt idx="18">
                  <c:v>177.88560019061899</c:v>
                </c:pt>
                <c:pt idx="19">
                  <c:v>176.31660000800801</c:v>
                </c:pt>
                <c:pt idx="20">
                  <c:v>175.68398754374701</c:v>
                </c:pt>
                <c:pt idx="21">
                  <c:v>178.89840441207201</c:v>
                </c:pt>
                <c:pt idx="22">
                  <c:v>178.36234863770201</c:v>
                </c:pt>
                <c:pt idx="23">
                  <c:v>173.73355502278201</c:v>
                </c:pt>
                <c:pt idx="24">
                  <c:v>175.52356542832501</c:v>
                </c:pt>
                <c:pt idx="25">
                  <c:v>174.133215242603</c:v>
                </c:pt>
                <c:pt idx="26">
                  <c:v>172.564215059991</c:v>
                </c:pt>
                <c:pt idx="27">
                  <c:v>171.93160259573199</c:v>
                </c:pt>
                <c:pt idx="28">
                  <c:v>175.14601946405901</c:v>
                </c:pt>
                <c:pt idx="29">
                  <c:v>174.60996368968199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1056384"/>
        <c:axId val="221062656"/>
      </c:lineChart>
      <c:catAx>
        <c:axId val="2210563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  <a:endParaRPr lang="en-US"/>
          </a:p>
        </c:txPr>
        <c:crossAx val="221062656"/>
        <c:crosses val="autoZero"/>
        <c:auto val="1"/>
        <c:lblAlgn val="ctr"/>
        <c:lblOffset val="100"/>
        <c:noMultiLvlLbl val="1"/>
      </c:catAx>
      <c:valAx>
        <c:axId val="22106265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2C2C4D"/>
                    </a:solidFill>
                    <a:latin typeface="+mn-lt"/>
                  </a:defRPr>
                </a:pPr>
                <a:r>
                  <a:rPr lang="en-US" b="0">
                    <a:solidFill>
                      <a:srgbClr val="2C2C4D"/>
                    </a:solidFill>
                    <a:latin typeface="+mn-lt"/>
                  </a:rPr>
                  <a:t>Prediction</a:t>
                </a:r>
              </a:p>
            </c:rich>
          </c:tx>
          <c:layout/>
          <c:overlay val="0"/>
        </c:title>
        <c:numFmt formatCode="#,##0.00;\(#,##0.00\)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2C2C4D"/>
                </a:solidFill>
                <a:latin typeface="+mn-lt"/>
              </a:defRPr>
            </a:pPr>
            <a:endParaRPr lang="en-US"/>
          </a:p>
        </c:txPr>
        <c:crossAx val="221056384"/>
        <c:crosses val="autoZero"/>
        <c:crossBetween val="between"/>
      </c:valAx>
    </c:plotArea>
    <c:legend>
      <c:legendPos val="r"/>
      <c:layout/>
      <c:overlay val="0"/>
      <c:txPr>
        <a:bodyPr/>
        <a:lstStyle/>
        <a:p>
          <a:pPr lvl="0">
            <a:defRPr b="0">
              <a:solidFill>
                <a:srgbClr val="41415F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476250</xdr:colOff>
      <xdr:row>2</xdr:row>
      <xdr:rowOff>190500</xdr:rowOff>
    </xdr:from>
    <xdr:ext cx="4848225" cy="2990850"/>
    <xdr:graphicFrame macro="">
      <xdr:nvGraphicFramePr>
        <xdr:cNvPr id="2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9</xdr:col>
      <xdr:colOff>657225</xdr:colOff>
      <xdr:row>1</xdr:row>
      <xdr:rowOff>171450</xdr:rowOff>
    </xdr:from>
    <xdr:ext cx="5010150" cy="3810000"/>
    <xdr:graphicFrame macro="">
      <xdr:nvGraphicFramePr>
        <xdr:cNvPr id="3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2C2C4D"/>
      </a:dk1>
      <a:lt1>
        <a:srgbClr val="FFFFFF"/>
      </a:lt1>
      <a:dk2>
        <a:srgbClr val="2C2C4D"/>
      </a:dk2>
      <a:lt2>
        <a:srgbClr val="FFFFFF"/>
      </a:lt2>
      <a:accent1>
        <a:srgbClr val="1D2384"/>
      </a:accent1>
      <a:accent2>
        <a:srgbClr val="E44819"/>
      </a:accent2>
      <a:accent3>
        <a:srgbClr val="F5A69B"/>
      </a:accent3>
      <a:accent4>
        <a:srgbClr val="A68057"/>
      </a:accent4>
      <a:accent5>
        <a:srgbClr val="F4AA11"/>
      </a:accent5>
      <a:accent6>
        <a:srgbClr val="D1EB60"/>
      </a:accent6>
      <a:hlink>
        <a:srgbClr val="19A86A"/>
      </a:hlink>
      <a:folHlink>
        <a:srgbClr val="19A86A"/>
      </a:folHlink>
    </a:clrScheme>
    <a:fontScheme name="Sheets">
      <a:majorFont>
        <a:latin typeface="Verdana"/>
        <a:ea typeface="Verdana"/>
        <a:cs typeface="Verdana"/>
      </a:majorFont>
      <a:minorFont>
        <a:latin typeface="Verdana"/>
        <a:ea typeface="Verdana"/>
        <a:cs typeface="Verdan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C1000"/>
  <sheetViews>
    <sheetView tabSelected="1" workbookViewId="0">
      <selection activeCell="H23" sqref="H23"/>
    </sheetView>
  </sheetViews>
  <sheetFormatPr defaultColWidth="11.25" defaultRowHeight="15.75" customHeight="1" x14ac:dyDescent="0.2"/>
  <cols>
    <col min="3" max="3" width="14.5" customWidth="1"/>
  </cols>
  <sheetData>
    <row r="1" spans="1:3" x14ac:dyDescent="0.2">
      <c r="A1" s="1" t="str">
        <f ca="1">IFERROR(__xludf.DUMMYFUNCTION("GOOGLEFINANCE(""TSLA"", ""price"", DATE(2023,3,9), DATE(2024,3,9))"),"Date")</f>
        <v>Date</v>
      </c>
      <c r="B1" s="2" t="str">
        <f ca="1">IFERROR(__xludf.DUMMYFUNCTION("""COMPUTED_VALUE"""),"Close")</f>
        <v>Close</v>
      </c>
      <c r="C1" s="3" t="s">
        <v>0</v>
      </c>
    </row>
    <row r="2" spans="1:3" x14ac:dyDescent="0.2">
      <c r="A2" s="1">
        <f ca="1">IFERROR(__xludf.DUMMYFUNCTION("""COMPUTED_VALUE"""),44994.6666666666)</f>
        <v>44994.666666666599</v>
      </c>
      <c r="B2" s="2">
        <f ca="1">IFERROR(__xludf.DUMMYFUNCTION("""COMPUTED_VALUE"""),172.92)</f>
        <v>172.92</v>
      </c>
      <c r="C2" s="3">
        <v>166.56715312647901</v>
      </c>
    </row>
    <row r="3" spans="1:3" x14ac:dyDescent="0.2">
      <c r="A3" s="1">
        <f ca="1">IFERROR(__xludf.DUMMYFUNCTION("""COMPUTED_VALUE"""),44995.6666666666)</f>
        <v>44995.666666666599</v>
      </c>
      <c r="B3" s="2">
        <f ca="1">IFERROR(__xludf.DUMMYFUNCTION("""COMPUTED_VALUE"""),173.44)</f>
        <v>173.44</v>
      </c>
      <c r="C3" s="3">
        <v>166.931251962484</v>
      </c>
    </row>
    <row r="4" spans="1:3" x14ac:dyDescent="0.2">
      <c r="A4" s="1">
        <f ca="1">IFERROR(__xludf.DUMMYFUNCTION("""COMPUTED_VALUE"""),44998.6666666666)</f>
        <v>44998.666666666599</v>
      </c>
      <c r="B4" s="2">
        <f ca="1">IFERROR(__xludf.DUMMYFUNCTION("""COMPUTED_VALUE"""),174.48)</f>
        <v>174.48</v>
      </c>
      <c r="C4" s="3">
        <v>167.97095334231</v>
      </c>
    </row>
    <row r="5" spans="1:3" x14ac:dyDescent="0.2">
      <c r="A5" s="1">
        <f ca="1">IFERROR(__xludf.DUMMYFUNCTION("""COMPUTED_VALUE"""),44999.6666666666)</f>
        <v>44999.666666666599</v>
      </c>
      <c r="B5" s="2">
        <f ca="1">IFERROR(__xludf.DUMMYFUNCTION("""COMPUTED_VALUE"""),183.26)</f>
        <v>183.26</v>
      </c>
      <c r="C5" s="3">
        <v>170.75767504811901</v>
      </c>
    </row>
    <row r="6" spans="1:3" x14ac:dyDescent="0.2">
      <c r="A6" s="1">
        <f ca="1">IFERROR(__xludf.DUMMYFUNCTION("""COMPUTED_VALUE"""),45000.6666666666)</f>
        <v>45000.666666666599</v>
      </c>
      <c r="B6" s="2">
        <f ca="1">IFERROR(__xludf.DUMMYFUNCTION("""COMPUTED_VALUE"""),180.45)</f>
        <v>180.45</v>
      </c>
      <c r="C6" s="3">
        <v>170.364036162659</v>
      </c>
    </row>
    <row r="7" spans="1:3" x14ac:dyDescent="0.2">
      <c r="A7" s="1">
        <f ca="1">IFERROR(__xludf.DUMMYFUNCTION("""COMPUTED_VALUE"""),45001.6666666666)</f>
        <v>45001.666666666599</v>
      </c>
      <c r="B7" s="2">
        <f ca="1">IFERROR(__xludf.DUMMYFUNCTION("""COMPUTED_VALUE"""),184.13)</f>
        <v>184.13</v>
      </c>
      <c r="C7" s="3">
        <v>169.79174728031799</v>
      </c>
    </row>
    <row r="8" spans="1:3" x14ac:dyDescent="0.2">
      <c r="A8" s="1">
        <f ca="1">IFERROR(__xludf.DUMMYFUNCTION("""COMPUTED_VALUE"""),45002.6666666666)</f>
        <v>45002.666666666599</v>
      </c>
      <c r="B8" s="2">
        <f ca="1">IFERROR(__xludf.DUMMYFUNCTION("""COMPUTED_VALUE"""),180.13)</f>
        <v>180.13</v>
      </c>
      <c r="C8" s="3">
        <v>170.15584611632499</v>
      </c>
    </row>
    <row r="9" spans="1:3" x14ac:dyDescent="0.2">
      <c r="A9" s="1">
        <f ca="1">IFERROR(__xludf.DUMMYFUNCTION("""COMPUTED_VALUE"""),45005.6666666666)</f>
        <v>45005.666666666599</v>
      </c>
      <c r="B9" s="2">
        <f ca="1">IFERROR(__xludf.DUMMYFUNCTION("""COMPUTED_VALUE"""),183.25)</f>
        <v>183.25</v>
      </c>
      <c r="C9" s="3">
        <v>171.19554749614301</v>
      </c>
    </row>
    <row r="10" spans="1:3" x14ac:dyDescent="0.2">
      <c r="A10" s="1">
        <f ca="1">IFERROR(__xludf.DUMMYFUNCTION("""COMPUTED_VALUE"""),45006.6666666666)</f>
        <v>45006.666666666599</v>
      </c>
      <c r="B10" s="2">
        <f ca="1">IFERROR(__xludf.DUMMYFUNCTION("""COMPUTED_VALUE"""),197.58)</f>
        <v>197.58</v>
      </c>
      <c r="C10" s="3">
        <v>173.98226920195799</v>
      </c>
    </row>
    <row r="11" spans="1:3" x14ac:dyDescent="0.2">
      <c r="A11" s="1">
        <f ca="1">IFERROR(__xludf.DUMMYFUNCTION("""COMPUTED_VALUE"""),45007.6666666666)</f>
        <v>45007.666666666599</v>
      </c>
      <c r="B11" s="2">
        <f ca="1">IFERROR(__xludf.DUMMYFUNCTION("""COMPUTED_VALUE"""),191.15)</f>
        <v>191.15</v>
      </c>
      <c r="C11" s="3">
        <v>173.58863029743301</v>
      </c>
    </row>
    <row r="12" spans="1:3" x14ac:dyDescent="0.2">
      <c r="A12" s="1">
        <f ca="1">IFERROR(__xludf.DUMMYFUNCTION("""COMPUTED_VALUE"""),45008.6666666666)</f>
        <v>45008.666666666599</v>
      </c>
      <c r="B12" s="2">
        <f ca="1">IFERROR(__xludf.DUMMYFUNCTION("""COMPUTED_VALUE"""),192.22)</f>
        <v>192.22</v>
      </c>
      <c r="C12" s="3">
        <v>173.01634139602101</v>
      </c>
    </row>
    <row r="13" spans="1:3" x14ac:dyDescent="0.2">
      <c r="A13" s="1">
        <f ca="1">IFERROR(__xludf.DUMMYFUNCTION("""COMPUTED_VALUE"""),45009.6666666666)</f>
        <v>45009.666666666599</v>
      </c>
      <c r="B13" s="2">
        <f ca="1">IFERROR(__xludf.DUMMYFUNCTION("""COMPUTED_VALUE"""),190.41)</f>
        <v>190.41</v>
      </c>
      <c r="C13" s="3">
        <v>173.38044021295599</v>
      </c>
    </row>
    <row r="14" spans="1:3" x14ac:dyDescent="0.2">
      <c r="A14" s="1">
        <f ca="1">IFERROR(__xludf.DUMMYFUNCTION("""COMPUTED_VALUE"""),45012.6666666666)</f>
        <v>45012.666666666599</v>
      </c>
      <c r="B14" s="2">
        <f ca="1">IFERROR(__xludf.DUMMYFUNCTION("""COMPUTED_VALUE"""),191.81)</f>
        <v>191.81</v>
      </c>
      <c r="C14" s="3">
        <v>174.42014153557801</v>
      </c>
    </row>
    <row r="15" spans="1:3" x14ac:dyDescent="0.2">
      <c r="A15" s="1">
        <f ca="1">IFERROR(__xludf.DUMMYFUNCTION("""COMPUTED_VALUE"""),45013.6666666666)</f>
        <v>45013.666666666599</v>
      </c>
      <c r="B15" s="2">
        <f ca="1">IFERROR(__xludf.DUMMYFUNCTION("""COMPUTED_VALUE"""),189.19)</f>
        <v>189.19</v>
      </c>
      <c r="C15" s="3">
        <v>177.20686322232001</v>
      </c>
    </row>
    <row r="16" spans="1:3" x14ac:dyDescent="0.2">
      <c r="A16" s="1">
        <f ca="1">IFERROR(__xludf.DUMMYFUNCTION("""COMPUTED_VALUE"""),45014.6666666666)</f>
        <v>45014.666666666599</v>
      </c>
      <c r="B16" s="2">
        <f ca="1">IFERROR(__xludf.DUMMYFUNCTION("""COMPUTED_VALUE"""),193.88)</f>
        <v>193.88</v>
      </c>
      <c r="C16" s="3">
        <v>176.813224317791</v>
      </c>
    </row>
    <row r="17" spans="1:3" x14ac:dyDescent="0.2">
      <c r="A17" s="1">
        <f ca="1">IFERROR(__xludf.DUMMYFUNCTION("""COMPUTED_VALUE"""),45015.6666666666)</f>
        <v>45015.666666666599</v>
      </c>
      <c r="B17" s="2">
        <f ca="1">IFERROR(__xludf.DUMMYFUNCTION("""COMPUTED_VALUE"""),195.28)</f>
        <v>195.28</v>
      </c>
      <c r="C17" s="3">
        <v>176.240935416383</v>
      </c>
    </row>
    <row r="18" spans="1:3" x14ac:dyDescent="0.2">
      <c r="A18" s="1">
        <f ca="1">IFERROR(__xludf.DUMMYFUNCTION("""COMPUTED_VALUE"""),45016.6666666666)</f>
        <v>45016.666666666599</v>
      </c>
      <c r="B18" s="2">
        <f ca="1">IFERROR(__xludf.DUMMYFUNCTION("""COMPUTED_VALUE"""),207.46)</f>
        <v>207.46</v>
      </c>
      <c r="C18" s="3">
        <v>176.60503423332599</v>
      </c>
    </row>
    <row r="19" spans="1:3" x14ac:dyDescent="0.2">
      <c r="A19" s="1">
        <f ca="1">IFERROR(__xludf.DUMMYFUNCTION("""COMPUTED_VALUE"""),45019.6666666666)</f>
        <v>45019.666666666599</v>
      </c>
      <c r="B19" s="2">
        <f ca="1">IFERROR(__xludf.DUMMYFUNCTION("""COMPUTED_VALUE"""),194.77)</f>
        <v>194.77</v>
      </c>
      <c r="C19" s="3">
        <v>177.644735558793</v>
      </c>
    </row>
    <row r="20" spans="1:3" x14ac:dyDescent="0.2">
      <c r="A20" s="1">
        <f ca="1">IFERROR(__xludf.DUMMYFUNCTION("""COMPUTED_VALUE"""),45020.6666666666)</f>
        <v>45020.666666666599</v>
      </c>
      <c r="B20" s="2">
        <f ca="1">IFERROR(__xludf.DUMMYFUNCTION("""COMPUTED_VALUE"""),192.58)</f>
        <v>192.58</v>
      </c>
      <c r="C20" s="3">
        <v>180.431457246489</v>
      </c>
    </row>
    <row r="21" spans="1:3" x14ac:dyDescent="0.2">
      <c r="A21" s="1">
        <f ca="1">IFERROR(__xludf.DUMMYFUNCTION("""COMPUTED_VALUE"""),45021.6666666666)</f>
        <v>45021.666666666599</v>
      </c>
      <c r="B21" s="2">
        <f ca="1">IFERROR(__xludf.DUMMYFUNCTION("""COMPUTED_VALUE"""),185.52)</f>
        <v>185.52</v>
      </c>
      <c r="C21" s="3">
        <v>180.03781834290999</v>
      </c>
    </row>
    <row r="22" spans="1:3" x14ac:dyDescent="0.2">
      <c r="A22" s="1">
        <f ca="1">IFERROR(__xludf.DUMMYFUNCTION("""COMPUTED_VALUE"""),45022.6666666666)</f>
        <v>45022.666666666599</v>
      </c>
      <c r="B22" s="2">
        <f ca="1">IFERROR(__xludf.DUMMYFUNCTION("""COMPUTED_VALUE"""),185.06)</f>
        <v>185.06</v>
      </c>
      <c r="C22" s="3">
        <v>179.46552944245701</v>
      </c>
    </row>
    <row r="23" spans="1:3" x14ac:dyDescent="0.2">
      <c r="A23" s="1">
        <f ca="1">IFERROR(__xludf.DUMMYFUNCTION("""COMPUTED_VALUE"""),45026.6666666666)</f>
        <v>45026.666666666599</v>
      </c>
      <c r="B23" s="2">
        <f ca="1">IFERROR(__xludf.DUMMYFUNCTION("""COMPUTED_VALUE"""),184.51)</f>
        <v>184.51</v>
      </c>
      <c r="C23" s="3">
        <v>180.86932958581801</v>
      </c>
    </row>
    <row r="24" spans="1:3" x14ac:dyDescent="0.2">
      <c r="A24" s="1">
        <f ca="1">IFERROR(__xludf.DUMMYFUNCTION("""COMPUTED_VALUE"""),45027.6666666666)</f>
        <v>45027.666666666599</v>
      </c>
      <c r="B24" s="2">
        <f ca="1">IFERROR(__xludf.DUMMYFUNCTION("""COMPUTED_VALUE"""),186.79)</f>
        <v>186.79</v>
      </c>
      <c r="C24" s="3">
        <v>183.656051273515</v>
      </c>
    </row>
    <row r="25" spans="1:3" x14ac:dyDescent="0.2">
      <c r="A25" s="1">
        <f ca="1">IFERROR(__xludf.DUMMYFUNCTION("""COMPUTED_VALUE"""),45028.6666666666)</f>
        <v>45028.666666666599</v>
      </c>
      <c r="B25" s="2">
        <f ca="1">IFERROR(__xludf.DUMMYFUNCTION("""COMPUTED_VALUE"""),180.54)</f>
        <v>180.54</v>
      </c>
      <c r="C25" s="3">
        <v>183.262412369934</v>
      </c>
    </row>
    <row r="26" spans="1:3" x14ac:dyDescent="0.2">
      <c r="A26" s="1">
        <f ca="1">IFERROR(__xludf.DUMMYFUNCTION("""COMPUTED_VALUE"""),45029.6666666666)</f>
        <v>45029.666666666599</v>
      </c>
      <c r="B26" s="2">
        <f ca="1">IFERROR(__xludf.DUMMYFUNCTION("""COMPUTED_VALUE"""),185.9)</f>
        <v>185.9</v>
      </c>
      <c r="C26" s="3">
        <v>182.690123469474</v>
      </c>
    </row>
    <row r="27" spans="1:3" x14ac:dyDescent="0.2">
      <c r="A27" s="1">
        <f ca="1">IFERROR(__xludf.DUMMYFUNCTION("""COMPUTED_VALUE"""),45030.6666666666)</f>
        <v>45030.666666666599</v>
      </c>
      <c r="B27" s="2">
        <f ca="1">IFERROR(__xludf.DUMMYFUNCTION("""COMPUTED_VALUE"""),185)</f>
        <v>185</v>
      </c>
      <c r="C27" s="3">
        <v>183.054228031289</v>
      </c>
    </row>
    <row r="28" spans="1:3" x14ac:dyDescent="0.2">
      <c r="A28" s="1">
        <f ca="1">IFERROR(__xludf.DUMMYFUNCTION("""COMPUTED_VALUE"""),45033.6666666666)</f>
        <v>45033.666666666599</v>
      </c>
      <c r="B28" s="2">
        <f ca="1">IFERROR(__xludf.DUMMYFUNCTION("""COMPUTED_VALUE"""),187.04)</f>
        <v>187.04</v>
      </c>
      <c r="C28" s="3">
        <v>184.09394658854899</v>
      </c>
    </row>
    <row r="29" spans="1:3" x14ac:dyDescent="0.2">
      <c r="A29" s="1">
        <f ca="1">IFERROR(__xludf.DUMMYFUNCTION("""COMPUTED_VALUE"""),45034.6666666666)</f>
        <v>45034.666666666599</v>
      </c>
      <c r="B29" s="2">
        <f ca="1">IFERROR(__xludf.DUMMYFUNCTION("""COMPUTED_VALUE"""),184.31)</f>
        <v>184.31</v>
      </c>
      <c r="C29" s="3">
        <v>186.880674020165</v>
      </c>
    </row>
    <row r="30" spans="1:3" x14ac:dyDescent="0.2">
      <c r="A30" s="1">
        <f ca="1">IFERROR(__xludf.DUMMYFUNCTION("""COMPUTED_VALUE"""),45035.6666666666)</f>
        <v>45035.666666666599</v>
      </c>
      <c r="B30" s="2">
        <f ca="1">IFERROR(__xludf.DUMMYFUNCTION("""COMPUTED_VALUE"""),180.59)</f>
        <v>180.59</v>
      </c>
      <c r="C30" s="3">
        <v>186.487040860517</v>
      </c>
    </row>
    <row r="31" spans="1:3" x14ac:dyDescent="0.2">
      <c r="A31" s="1">
        <f ca="1">IFERROR(__xludf.DUMMYFUNCTION("""COMPUTED_VALUE"""),45036.6666666666)</f>
        <v>45036.666666666599</v>
      </c>
      <c r="B31" s="2">
        <f ca="1">IFERROR(__xludf.DUMMYFUNCTION("""COMPUTED_VALUE"""),162.99)</f>
        <v>162.99</v>
      </c>
      <c r="C31" s="3">
        <v>185.914757703986</v>
      </c>
    </row>
    <row r="32" spans="1:3" x14ac:dyDescent="0.2">
      <c r="A32" s="1">
        <f ca="1">IFERROR(__xludf.DUMMYFUNCTION("""COMPUTED_VALUE"""),45037.6666666666)</f>
        <v>45037.666666666599</v>
      </c>
      <c r="B32" s="2">
        <f ca="1">IFERROR(__xludf.DUMMYFUNCTION("""COMPUTED_VALUE"""),165.08)</f>
        <v>165.08</v>
      </c>
      <c r="C32" s="3">
        <v>186.27886226579699</v>
      </c>
    </row>
    <row r="33" spans="1:3" x14ac:dyDescent="0.2">
      <c r="A33" s="1">
        <f ca="1">IFERROR(__xludf.DUMMYFUNCTION("""COMPUTED_VALUE"""),45040.6666666666)</f>
        <v>45040.666666666599</v>
      </c>
      <c r="B33" s="2">
        <f ca="1">IFERROR(__xludf.DUMMYFUNCTION("""COMPUTED_VALUE"""),162.55)</f>
        <v>162.55000000000001</v>
      </c>
      <c r="C33" s="3">
        <v>187.31858082305499</v>
      </c>
    </row>
    <row r="34" spans="1:3" x14ac:dyDescent="0.2">
      <c r="A34" s="1">
        <f ca="1">IFERROR(__xludf.DUMMYFUNCTION("""COMPUTED_VALUE"""),45041.6666666666)</f>
        <v>45041.666666666599</v>
      </c>
      <c r="B34" s="2">
        <f ca="1">IFERROR(__xludf.DUMMYFUNCTION("""COMPUTED_VALUE"""),160.67)</f>
        <v>160.66999999999999</v>
      </c>
      <c r="C34" s="3">
        <v>190.105308254677</v>
      </c>
    </row>
    <row r="35" spans="1:3" x14ac:dyDescent="0.2">
      <c r="A35" s="1">
        <f ca="1">IFERROR(__xludf.DUMMYFUNCTION("""COMPUTED_VALUE"""),45042.6666666666)</f>
        <v>45042.666666666599</v>
      </c>
      <c r="B35" s="2">
        <f ca="1">IFERROR(__xludf.DUMMYFUNCTION("""COMPUTED_VALUE"""),153.75)</f>
        <v>153.75</v>
      </c>
      <c r="C35" s="3">
        <v>189.91013688125801</v>
      </c>
    </row>
    <row r="36" spans="1:3" x14ac:dyDescent="0.2">
      <c r="A36" s="1">
        <f ca="1">IFERROR(__xludf.DUMMYFUNCTION("""COMPUTED_VALUE"""),45043.6666666666)</f>
        <v>45043.666666666599</v>
      </c>
      <c r="B36" s="2">
        <f ca="1">IFERROR(__xludf.DUMMYFUNCTION("""COMPUTED_VALUE"""),160.19)</f>
        <v>160.19</v>
      </c>
      <c r="C36" s="3">
        <v>189.536315510945</v>
      </c>
    </row>
    <row r="37" spans="1:3" x14ac:dyDescent="0.2">
      <c r="A37" s="1">
        <f ca="1">IFERROR(__xludf.DUMMYFUNCTION("""COMPUTED_VALUE"""),45044.6666666666)</f>
        <v>45044.666666666599</v>
      </c>
      <c r="B37" s="2">
        <f ca="1">IFERROR(__xludf.DUMMYFUNCTION("""COMPUTED_VALUE"""),164.31)</f>
        <v>164.31</v>
      </c>
      <c r="C37" s="3">
        <v>190.098881858982</v>
      </c>
    </row>
    <row r="38" spans="1:3" x14ac:dyDescent="0.2">
      <c r="A38" s="1">
        <f ca="1">IFERROR(__xludf.DUMMYFUNCTION("""COMPUTED_VALUE"""),45047.6666666666)</f>
        <v>45047.666666666599</v>
      </c>
      <c r="B38" s="2">
        <f ca="1">IFERROR(__xludf.DUMMYFUNCTION("""COMPUTED_VALUE"""),161.83)</f>
        <v>161.83000000000001</v>
      </c>
      <c r="C38" s="3">
        <v>191.73398577491901</v>
      </c>
    </row>
    <row r="39" spans="1:3" x14ac:dyDescent="0.2">
      <c r="A39" s="1">
        <f ca="1">IFERROR(__xludf.DUMMYFUNCTION("""COMPUTED_VALUE"""),45048.6666666666)</f>
        <v>45048.666666666599</v>
      </c>
      <c r="B39" s="2">
        <f ca="1">IFERROR(__xludf.DUMMYFUNCTION("""COMPUTED_VALUE"""),160.31)</f>
        <v>160.31</v>
      </c>
      <c r="C39" s="3">
        <v>194.719174992766</v>
      </c>
    </row>
    <row r="40" spans="1:3" x14ac:dyDescent="0.2">
      <c r="A40" s="1">
        <f ca="1">IFERROR(__xludf.DUMMYFUNCTION("""COMPUTED_VALUE"""),45049.6666666666)</f>
        <v>45049.666666666599</v>
      </c>
      <c r="B40" s="2">
        <f ca="1">IFERROR(__xludf.DUMMYFUNCTION("""COMPUTED_VALUE"""),160.61)</f>
        <v>160.61000000000001</v>
      </c>
      <c r="C40" s="3">
        <v>194.524003619344</v>
      </c>
    </row>
    <row r="41" spans="1:3" x14ac:dyDescent="0.2">
      <c r="A41" s="1">
        <f ca="1">IFERROR(__xludf.DUMMYFUNCTION("""COMPUTED_VALUE"""),45050.6666666666)</f>
        <v>45050.666666666599</v>
      </c>
      <c r="B41" s="2">
        <f ca="1">IFERROR(__xludf.DUMMYFUNCTION("""COMPUTED_VALUE"""),161.2)</f>
        <v>161.19999999999999</v>
      </c>
      <c r="C41" s="3">
        <v>194.15018224903801</v>
      </c>
    </row>
    <row r="42" spans="1:3" x14ac:dyDescent="0.2">
      <c r="A42" s="1">
        <f ca="1">IFERROR(__xludf.DUMMYFUNCTION("""COMPUTED_VALUE"""),45051.6666666666)</f>
        <v>45051.666666666599</v>
      </c>
      <c r="B42" s="2">
        <f ca="1">IFERROR(__xludf.DUMMYFUNCTION("""COMPUTED_VALUE"""),170.06)</f>
        <v>170.06</v>
      </c>
      <c r="C42" s="3">
        <v>194.71274859707799</v>
      </c>
    </row>
    <row r="43" spans="1:3" x14ac:dyDescent="0.2">
      <c r="A43" s="1">
        <f ca="1">IFERROR(__xludf.DUMMYFUNCTION("""COMPUTED_VALUE"""),45054.6666666666)</f>
        <v>45054.666666666599</v>
      </c>
      <c r="B43" s="2">
        <f ca="1">IFERROR(__xludf.DUMMYFUNCTION("""COMPUTED_VALUE"""),171.79)</f>
        <v>171.79</v>
      </c>
      <c r="C43" s="3">
        <v>196.963854449536</v>
      </c>
    </row>
    <row r="44" spans="1:3" x14ac:dyDescent="0.2">
      <c r="A44" s="1">
        <f ca="1">IFERROR(__xludf.DUMMYFUNCTION("""COMPUTED_VALUE"""),45055.6666666666)</f>
        <v>45055.666666666599</v>
      </c>
      <c r="B44" s="2">
        <f ca="1">IFERROR(__xludf.DUMMYFUNCTION("""COMPUTED_VALUE"""),169.15)</f>
        <v>169.15</v>
      </c>
      <c r="C44" s="3">
        <v>200.15437764622999</v>
      </c>
    </row>
    <row r="45" spans="1:3" x14ac:dyDescent="0.2">
      <c r="A45" s="1">
        <f ca="1">IFERROR(__xludf.DUMMYFUNCTION("""COMPUTED_VALUE"""),45056.6666666666)</f>
        <v>45056.666666666599</v>
      </c>
      <c r="B45" s="2">
        <f ca="1">IFERROR(__xludf.DUMMYFUNCTION("""COMPUTED_VALUE"""),168.54)</f>
        <v>168.54</v>
      </c>
      <c r="C45" s="3">
        <v>200.16454025164799</v>
      </c>
    </row>
    <row r="46" spans="1:3" x14ac:dyDescent="0.2">
      <c r="A46" s="1">
        <f ca="1">IFERROR(__xludf.DUMMYFUNCTION("""COMPUTED_VALUE"""),45057.6666666666)</f>
        <v>45057.666666666599</v>
      </c>
      <c r="B46" s="2">
        <f ca="1">IFERROR(__xludf.DUMMYFUNCTION("""COMPUTED_VALUE"""),172.08)</f>
        <v>172.08</v>
      </c>
      <c r="C46" s="3">
        <v>199.99605286018601</v>
      </c>
    </row>
    <row r="47" spans="1:3" x14ac:dyDescent="0.2">
      <c r="A47" s="1">
        <f ca="1">IFERROR(__xludf.DUMMYFUNCTION("""COMPUTED_VALUE"""),45058.6666666666)</f>
        <v>45058.666666666599</v>
      </c>
      <c r="B47" s="2">
        <f ca="1">IFERROR(__xludf.DUMMYFUNCTION("""COMPUTED_VALUE"""),167.98)</f>
        <v>167.98</v>
      </c>
      <c r="C47" s="3">
        <v>200.763953187071</v>
      </c>
    </row>
    <row r="48" spans="1:3" x14ac:dyDescent="0.2">
      <c r="A48" s="1">
        <f ca="1">IFERROR(__xludf.DUMMYFUNCTION("""COMPUTED_VALUE"""),45061.6666666666)</f>
        <v>45061.666666666599</v>
      </c>
      <c r="B48" s="2">
        <f ca="1">IFERROR(__xludf.DUMMYFUNCTION("""COMPUTED_VALUE"""),166.35)</f>
        <v>166.35</v>
      </c>
      <c r="C48" s="3">
        <v>203.01505903953401</v>
      </c>
    </row>
    <row r="49" spans="1:3" x14ac:dyDescent="0.2">
      <c r="A49" s="1">
        <f ca="1">IFERROR(__xludf.DUMMYFUNCTION("""COMPUTED_VALUE"""),45062.6666666666)</f>
        <v>45062.666666666599</v>
      </c>
      <c r="B49" s="2">
        <f ca="1">IFERROR(__xludf.DUMMYFUNCTION("""COMPUTED_VALUE"""),166.52)</f>
        <v>166.52</v>
      </c>
      <c r="C49" s="3">
        <v>206.20558223622601</v>
      </c>
    </row>
    <row r="50" spans="1:3" x14ac:dyDescent="0.2">
      <c r="A50" s="1">
        <f ca="1">IFERROR(__xludf.DUMMYFUNCTION("""COMPUTED_VALUE"""),45063.6666666666)</f>
        <v>45063.666666666599</v>
      </c>
      <c r="B50" s="2">
        <f ca="1">IFERROR(__xludf.DUMMYFUNCTION("""COMPUTED_VALUE"""),173.86)</f>
        <v>173.86</v>
      </c>
      <c r="C50" s="3">
        <v>206.21574484164501</v>
      </c>
    </row>
    <row r="51" spans="1:3" x14ac:dyDescent="0.2">
      <c r="A51" s="1">
        <f ca="1">IFERROR(__xludf.DUMMYFUNCTION("""COMPUTED_VALUE"""),45064.6666666666)</f>
        <v>45064.666666666599</v>
      </c>
      <c r="B51" s="2">
        <f ca="1">IFERROR(__xludf.DUMMYFUNCTION("""COMPUTED_VALUE"""),176.89)</f>
        <v>176.89</v>
      </c>
      <c r="C51" s="3">
        <v>206.052712947244</v>
      </c>
    </row>
    <row r="52" spans="1:3" x14ac:dyDescent="0.2">
      <c r="A52" s="1">
        <f ca="1">IFERROR(__xludf.DUMMYFUNCTION("""COMPUTED_VALUE"""),45065.6666666666)</f>
        <v>45065.666666666599</v>
      </c>
      <c r="B52" s="2">
        <f ca="1">IFERROR(__xludf.DUMMYFUNCTION("""COMPUTED_VALUE"""),180.14)</f>
        <v>180.14</v>
      </c>
      <c r="C52" s="3">
        <v>206.82606877119301</v>
      </c>
    </row>
    <row r="53" spans="1:3" x14ac:dyDescent="0.2">
      <c r="A53" s="1">
        <f ca="1">IFERROR(__xludf.DUMMYFUNCTION("""COMPUTED_VALUE"""),45068.6666666666)</f>
        <v>45068.666666666599</v>
      </c>
      <c r="B53" s="2">
        <f ca="1">IFERROR(__xludf.DUMMYFUNCTION("""COMPUTED_VALUE"""),188.87)</f>
        <v>188.87</v>
      </c>
      <c r="C53" s="3">
        <v>209.093541114837</v>
      </c>
    </row>
    <row r="54" spans="1:3" x14ac:dyDescent="0.2">
      <c r="A54" s="1">
        <f ca="1">IFERROR(__xludf.DUMMYFUNCTION("""COMPUTED_VALUE"""),45069.6666666666)</f>
        <v>45069.666666666599</v>
      </c>
      <c r="B54" s="2">
        <f ca="1">IFERROR(__xludf.DUMMYFUNCTION("""COMPUTED_VALUE"""),185.77)</f>
        <v>185.77</v>
      </c>
      <c r="C54" s="3">
        <v>212.28951980859401</v>
      </c>
    </row>
    <row r="55" spans="1:3" x14ac:dyDescent="0.2">
      <c r="A55" s="1">
        <f ca="1">IFERROR(__xludf.DUMMYFUNCTION("""COMPUTED_VALUE"""),45070.6666666666)</f>
        <v>45070.666666666599</v>
      </c>
      <c r="B55" s="2">
        <f ca="1">IFERROR(__xludf.DUMMYFUNCTION("""COMPUTED_VALUE"""),182.9)</f>
        <v>182.9</v>
      </c>
      <c r="C55" s="3">
        <v>212.305137911071</v>
      </c>
    </row>
    <row r="56" spans="1:3" x14ac:dyDescent="0.2">
      <c r="A56" s="1">
        <f ca="1">IFERROR(__xludf.DUMMYFUNCTION("""COMPUTED_VALUE"""),45071.6666666666)</f>
        <v>45071.666666666599</v>
      </c>
      <c r="B56" s="2">
        <f ca="1">IFERROR(__xludf.DUMMYFUNCTION("""COMPUTED_VALUE"""),184.47)</f>
        <v>184.47</v>
      </c>
      <c r="C56" s="3">
        <v>212.14210601667099</v>
      </c>
    </row>
    <row r="57" spans="1:3" x14ac:dyDescent="0.2">
      <c r="A57" s="1">
        <f ca="1">IFERROR(__xludf.DUMMYFUNCTION("""COMPUTED_VALUE"""),45072.6666666666)</f>
        <v>45072.666666666599</v>
      </c>
      <c r="B57" s="2">
        <f ca="1">IFERROR(__xludf.DUMMYFUNCTION("""COMPUTED_VALUE"""),193.17)</f>
        <v>193.17</v>
      </c>
      <c r="C57" s="3">
        <v>212.91546184061201</v>
      </c>
    </row>
    <row r="58" spans="1:3" x14ac:dyDescent="0.2">
      <c r="A58" s="1">
        <f ca="1">IFERROR(__xludf.DUMMYFUNCTION("""COMPUTED_VALUE"""),45076.6666666666)</f>
        <v>45076.666666666599</v>
      </c>
      <c r="B58" s="2">
        <f ca="1">IFERROR(__xludf.DUMMYFUNCTION("""COMPUTED_VALUE"""),201.16)</f>
        <v>201.16</v>
      </c>
      <c r="C58" s="3">
        <v>218.37891287801699</v>
      </c>
    </row>
    <row r="59" spans="1:3" x14ac:dyDescent="0.2">
      <c r="A59" s="1">
        <f ca="1">IFERROR(__xludf.DUMMYFUNCTION("""COMPUTED_VALUE"""),45077.6666666666)</f>
        <v>45077.666666666599</v>
      </c>
      <c r="B59" s="2">
        <f ca="1">IFERROR(__xludf.DUMMYFUNCTION("""COMPUTED_VALUE"""),203.93)</f>
        <v>203.93</v>
      </c>
      <c r="C59" s="3">
        <v>218.39453097562</v>
      </c>
    </row>
    <row r="60" spans="1:3" x14ac:dyDescent="0.2">
      <c r="A60" s="1">
        <f ca="1">IFERROR(__xludf.DUMMYFUNCTION("""COMPUTED_VALUE"""),45078.6666666666)</f>
        <v>45078.666666666599</v>
      </c>
      <c r="B60" s="2">
        <f ca="1">IFERROR(__xludf.DUMMYFUNCTION("""COMPUTED_VALUE"""),207.52)</f>
        <v>207.52</v>
      </c>
      <c r="C60" s="3">
        <v>218.231499076332</v>
      </c>
    </row>
    <row r="61" spans="1:3" x14ac:dyDescent="0.2">
      <c r="A61" s="1">
        <f ca="1">IFERROR(__xludf.DUMMYFUNCTION("""COMPUTED_VALUE"""),45079.6666666666)</f>
        <v>45079.666666666599</v>
      </c>
      <c r="B61" s="2">
        <f ca="1">IFERROR(__xludf.DUMMYFUNCTION("""COMPUTED_VALUE"""),213.97)</f>
        <v>213.97</v>
      </c>
      <c r="C61" s="3">
        <v>219.00485489539099</v>
      </c>
    </row>
    <row r="62" spans="1:3" x14ac:dyDescent="0.2">
      <c r="A62" s="1">
        <f ca="1">IFERROR(__xludf.DUMMYFUNCTION("""COMPUTED_VALUE"""),45082.6666666666)</f>
        <v>45082.666666666599</v>
      </c>
      <c r="B62" s="2">
        <f ca="1">IFERROR(__xludf.DUMMYFUNCTION("""COMPUTED_VALUE"""),217.61)</f>
        <v>217.61</v>
      </c>
      <c r="C62" s="3">
        <v>221.272327224386</v>
      </c>
    </row>
    <row r="63" spans="1:3" x14ac:dyDescent="0.2">
      <c r="A63" s="1">
        <f ca="1">IFERROR(__xludf.DUMMYFUNCTION("""COMPUTED_VALUE"""),45083.6666666666)</f>
        <v>45083.666666666599</v>
      </c>
      <c r="B63" s="2">
        <f ca="1">IFERROR(__xludf.DUMMYFUNCTION("""COMPUTED_VALUE"""),221.31)</f>
        <v>221.31</v>
      </c>
      <c r="C63" s="3">
        <v>224.468305913254</v>
      </c>
    </row>
    <row r="64" spans="1:3" x14ac:dyDescent="0.2">
      <c r="A64" s="1">
        <f ca="1">IFERROR(__xludf.DUMMYFUNCTION("""COMPUTED_VALUE"""),45084.6666666666)</f>
        <v>45084.666666666599</v>
      </c>
      <c r="B64" s="2">
        <f ca="1">IFERROR(__xludf.DUMMYFUNCTION("""COMPUTED_VALUE"""),224.57)</f>
        <v>224.57</v>
      </c>
      <c r="C64" s="3">
        <v>224.48392401085499</v>
      </c>
    </row>
    <row r="65" spans="1:3" x14ac:dyDescent="0.2">
      <c r="A65" s="1">
        <f ca="1">IFERROR(__xludf.DUMMYFUNCTION("""COMPUTED_VALUE"""),45085.6666666666)</f>
        <v>45085.666666666599</v>
      </c>
      <c r="B65" s="2">
        <f ca="1">IFERROR(__xludf.DUMMYFUNCTION("""COMPUTED_VALUE"""),234.86)</f>
        <v>234.86</v>
      </c>
      <c r="C65" s="3">
        <v>224.32089211156099</v>
      </c>
    </row>
    <row r="66" spans="1:3" x14ac:dyDescent="0.2">
      <c r="A66" s="1">
        <f ca="1">IFERROR(__xludf.DUMMYFUNCTION("""COMPUTED_VALUE"""),45086.6666666666)</f>
        <v>45086.666666666599</v>
      </c>
      <c r="B66" s="2">
        <f ca="1">IFERROR(__xludf.DUMMYFUNCTION("""COMPUTED_VALUE"""),244.4)</f>
        <v>244.4</v>
      </c>
      <c r="C66" s="3">
        <v>225.09424793062999</v>
      </c>
    </row>
    <row r="67" spans="1:3" x14ac:dyDescent="0.2">
      <c r="A67" s="1">
        <f ca="1">IFERROR(__xludf.DUMMYFUNCTION("""COMPUTED_VALUE"""),45089.6666666666)</f>
        <v>45089.666666666599</v>
      </c>
      <c r="B67" s="2">
        <f ca="1">IFERROR(__xludf.DUMMYFUNCTION("""COMPUTED_VALUE"""),249.83)</f>
        <v>249.83</v>
      </c>
      <c r="C67" s="3">
        <v>227.36172025289201</v>
      </c>
    </row>
    <row r="68" spans="1:3" x14ac:dyDescent="0.2">
      <c r="A68" s="1">
        <f ca="1">IFERROR(__xludf.DUMMYFUNCTION("""COMPUTED_VALUE"""),45090.6666666666)</f>
        <v>45090.666666666599</v>
      </c>
      <c r="B68" s="2">
        <f ca="1">IFERROR(__xludf.DUMMYFUNCTION("""COMPUTED_VALUE"""),258.71)</f>
        <v>258.70999999999998</v>
      </c>
      <c r="C68" s="3">
        <v>230.557698939517</v>
      </c>
    </row>
    <row r="69" spans="1:3" x14ac:dyDescent="0.2">
      <c r="A69" s="1">
        <f ca="1">IFERROR(__xludf.DUMMYFUNCTION("""COMPUTED_VALUE"""),45091.6666666666)</f>
        <v>45091.666666666599</v>
      </c>
      <c r="B69" s="2">
        <f ca="1">IFERROR(__xludf.DUMMYFUNCTION("""COMPUTED_VALUE"""),256.79)</f>
        <v>256.79000000000002</v>
      </c>
      <c r="C69" s="3">
        <v>230.57331703487301</v>
      </c>
    </row>
    <row r="70" spans="1:3" x14ac:dyDescent="0.2">
      <c r="A70" s="1">
        <f ca="1">IFERROR(__xludf.DUMMYFUNCTION("""COMPUTED_VALUE"""),45092.6666666666)</f>
        <v>45092.666666666599</v>
      </c>
      <c r="B70" s="2">
        <f ca="1">IFERROR(__xludf.DUMMYFUNCTION("""COMPUTED_VALUE"""),255.9)</f>
        <v>255.9</v>
      </c>
      <c r="C70" s="3">
        <v>230.41028513333799</v>
      </c>
    </row>
    <row r="71" spans="1:3" x14ac:dyDescent="0.2">
      <c r="A71" s="1">
        <f ca="1">IFERROR(__xludf.DUMMYFUNCTION("""COMPUTED_VALUE"""),45093.6666666666)</f>
        <v>45093.666666666599</v>
      </c>
      <c r="B71" s="2">
        <f ca="1">IFERROR(__xludf.DUMMYFUNCTION("""COMPUTED_VALUE"""),260.54)</f>
        <v>260.54000000000002</v>
      </c>
      <c r="C71" s="3">
        <v>231.18364095015201</v>
      </c>
    </row>
    <row r="72" spans="1:3" x14ac:dyDescent="0.2">
      <c r="A72" s="1">
        <f ca="1">IFERROR(__xludf.DUMMYFUNCTION("""COMPUTED_VALUE"""),45097.6666666666)</f>
        <v>45097.666666666599</v>
      </c>
      <c r="B72" s="2">
        <f ca="1">IFERROR(__xludf.DUMMYFUNCTION("""COMPUTED_VALUE"""),274.45)</f>
        <v>274.45</v>
      </c>
      <c r="C72" s="3">
        <v>236.64709195904999</v>
      </c>
    </row>
    <row r="73" spans="1:3" x14ac:dyDescent="0.2">
      <c r="A73" s="1">
        <f ca="1">IFERROR(__xludf.DUMMYFUNCTION("""COMPUTED_VALUE"""),45098.6666666666)</f>
        <v>45098.666666666599</v>
      </c>
      <c r="B73" s="2">
        <f ca="1">IFERROR(__xludf.DUMMYFUNCTION("""COMPUTED_VALUE"""),259.46)</f>
        <v>259.45999999999998</v>
      </c>
      <c r="C73" s="3">
        <v>236.662710054402</v>
      </c>
    </row>
    <row r="74" spans="1:3" x14ac:dyDescent="0.2">
      <c r="A74" s="1">
        <f ca="1">IFERROR(__xludf.DUMMYFUNCTION("""COMPUTED_VALUE"""),45099.6666666666)</f>
        <v>45099.666666666599</v>
      </c>
      <c r="B74" s="2">
        <f ca="1">IFERROR(__xludf.DUMMYFUNCTION("""COMPUTED_VALUE"""),264.61)</f>
        <v>264.61</v>
      </c>
      <c r="C74" s="3">
        <v>236.49967815287499</v>
      </c>
    </row>
    <row r="75" spans="1:3" x14ac:dyDescent="0.2">
      <c r="A75" s="1">
        <f ca="1">IFERROR(__xludf.DUMMYFUNCTION("""COMPUTED_VALUE"""),45100.6666666666)</f>
        <v>45100.666666666599</v>
      </c>
      <c r="B75" s="2">
        <f ca="1">IFERROR(__xludf.DUMMYFUNCTION("""COMPUTED_VALUE"""),256.6)</f>
        <v>256.60000000000002</v>
      </c>
      <c r="C75" s="3">
        <v>237.27303201778901</v>
      </c>
    </row>
    <row r="76" spans="1:3" x14ac:dyDescent="0.2">
      <c r="A76" s="1">
        <f ca="1">IFERROR(__xludf.DUMMYFUNCTION("""COMPUTED_VALUE"""),45103.6666666666)</f>
        <v>45103.666666666599</v>
      </c>
      <c r="B76" s="2">
        <f ca="1">IFERROR(__xludf.DUMMYFUNCTION("""COMPUTED_VALUE"""),241.05)</f>
        <v>241.05</v>
      </c>
      <c r="C76" s="3">
        <v>239.54049848438501</v>
      </c>
    </row>
    <row r="77" spans="1:3" x14ac:dyDescent="0.2">
      <c r="A77" s="1">
        <f ca="1">IFERROR(__xludf.DUMMYFUNCTION("""COMPUTED_VALUE"""),45104.6666666666)</f>
        <v>45104.666666666599</v>
      </c>
      <c r="B77" s="2">
        <f ca="1">IFERROR(__xludf.DUMMYFUNCTION("""COMPUTED_VALUE"""),250.21)</f>
        <v>250.21</v>
      </c>
      <c r="C77" s="3">
        <v>242.736475219113</v>
      </c>
    </row>
    <row r="78" spans="1:3" x14ac:dyDescent="0.2">
      <c r="A78" s="1">
        <f ca="1">IFERROR(__xludf.DUMMYFUNCTION("""COMPUTED_VALUE"""),45105.6666666666)</f>
        <v>45105.666666666599</v>
      </c>
      <c r="B78" s="2">
        <f ca="1">IFERROR(__xludf.DUMMYFUNCTION("""COMPUTED_VALUE"""),256.24)</f>
        <v>256.24</v>
      </c>
      <c r="C78" s="3">
        <v>242.75209136257601</v>
      </c>
    </row>
    <row r="79" spans="1:3" x14ac:dyDescent="0.2">
      <c r="A79" s="1">
        <f ca="1">IFERROR(__xludf.DUMMYFUNCTION("""COMPUTED_VALUE"""),45106.6666666666)</f>
        <v>45106.666666666599</v>
      </c>
      <c r="B79" s="2">
        <f ca="1">IFERROR(__xludf.DUMMYFUNCTION("""COMPUTED_VALUE"""),257.5)</f>
        <v>257.5</v>
      </c>
      <c r="C79" s="3">
        <v>242.58905750915699</v>
      </c>
    </row>
    <row r="80" spans="1:3" x14ac:dyDescent="0.2">
      <c r="A80" s="1">
        <f ca="1">IFERROR(__xludf.DUMMYFUNCTION("""COMPUTED_VALUE"""),45107.6666666666)</f>
        <v>45107.666666666599</v>
      </c>
      <c r="B80" s="2">
        <f ca="1">IFERROR(__xludf.DUMMYFUNCTION("""COMPUTED_VALUE"""),261.77)</f>
        <v>261.77</v>
      </c>
      <c r="C80" s="3">
        <v>243.362411374083</v>
      </c>
    </row>
    <row r="81" spans="1:3" x14ac:dyDescent="0.2">
      <c r="A81" s="1">
        <f ca="1">IFERROR(__xludf.DUMMYFUNCTION("""COMPUTED_VALUE"""),45110.5451388888)</f>
        <v>45110.545138888803</v>
      </c>
      <c r="B81" s="2">
        <f ca="1">IFERROR(__xludf.DUMMYFUNCTION("""COMPUTED_VALUE"""),279.82)</f>
        <v>279.82</v>
      </c>
      <c r="C81" s="3">
        <v>245.629877840668</v>
      </c>
    </row>
    <row r="82" spans="1:3" x14ac:dyDescent="0.2">
      <c r="A82" s="1">
        <f ca="1">IFERROR(__xludf.DUMMYFUNCTION("""COMPUTED_VALUE"""),45112.6666666666)</f>
        <v>45112.666666666599</v>
      </c>
      <c r="B82" s="2">
        <f ca="1">IFERROR(__xludf.DUMMYFUNCTION("""COMPUTED_VALUE"""),282.48)</f>
        <v>282.48</v>
      </c>
      <c r="C82" s="3">
        <v>248.84147071886099</v>
      </c>
    </row>
    <row r="83" spans="1:3" x14ac:dyDescent="0.2">
      <c r="A83" s="1">
        <f ca="1">IFERROR(__xludf.DUMMYFUNCTION("""COMPUTED_VALUE"""),45113.6666666666)</f>
        <v>45113.666666666599</v>
      </c>
      <c r="B83" s="2">
        <f ca="1">IFERROR(__xludf.DUMMYFUNCTION("""COMPUTED_VALUE"""),276.54)</f>
        <v>276.54000000000002</v>
      </c>
      <c r="C83" s="3">
        <v>248.37461378202099</v>
      </c>
    </row>
    <row r="84" spans="1:3" x14ac:dyDescent="0.2">
      <c r="A84" s="1">
        <f ca="1">IFERROR(__xludf.DUMMYFUNCTION("""COMPUTED_VALUE"""),45114.6666666666)</f>
        <v>45114.666666666599</v>
      </c>
      <c r="B84" s="2">
        <f ca="1">IFERROR(__xludf.DUMMYFUNCTION("""COMPUTED_VALUE"""),274.43)</f>
        <v>274.43</v>
      </c>
      <c r="C84" s="3">
        <v>248.844144563529</v>
      </c>
    </row>
    <row r="85" spans="1:3" x14ac:dyDescent="0.2">
      <c r="A85" s="1">
        <f ca="1">IFERROR(__xludf.DUMMYFUNCTION("""COMPUTED_VALUE"""),45117.6666666666)</f>
        <v>45117.666666666599</v>
      </c>
      <c r="B85" s="2">
        <f ca="1">IFERROR(__xludf.DUMMYFUNCTION("""COMPUTED_VALUE"""),269.61)</f>
        <v>269.61</v>
      </c>
      <c r="C85" s="3">
        <v>250.20014177986101</v>
      </c>
    </row>
    <row r="86" spans="1:3" x14ac:dyDescent="0.2">
      <c r="A86" s="1">
        <f ca="1">IFERROR(__xludf.DUMMYFUNCTION("""COMPUTED_VALUE"""),45118.6666666666)</f>
        <v>45118.666666666599</v>
      </c>
      <c r="B86" s="2">
        <f ca="1">IFERROR(__xludf.DUMMYFUNCTION("""COMPUTED_VALUE"""),269.79)</f>
        <v>269.79000000000002</v>
      </c>
      <c r="C86" s="3">
        <v>253.09229543117399</v>
      </c>
    </row>
    <row r="87" spans="1:3" x14ac:dyDescent="0.2">
      <c r="A87" s="1">
        <f ca="1">IFERROR(__xludf.DUMMYFUNCTION("""COMPUTED_VALUE"""),45119.6666666666)</f>
        <v>45119.666666666599</v>
      </c>
      <c r="B87" s="2">
        <f ca="1">IFERROR(__xludf.DUMMYFUNCTION("""COMPUTED_VALUE"""),271.99)</f>
        <v>271.99</v>
      </c>
      <c r="C87" s="3">
        <v>252.804088491214</v>
      </c>
    </row>
    <row r="88" spans="1:3" x14ac:dyDescent="0.2">
      <c r="A88" s="1">
        <f ca="1">IFERROR(__xludf.DUMMYFUNCTION("""COMPUTED_VALUE"""),45120.6666666666)</f>
        <v>45120.666666666599</v>
      </c>
      <c r="B88" s="2">
        <f ca="1">IFERROR(__xludf.DUMMYFUNCTION("""COMPUTED_VALUE"""),277.9)</f>
        <v>277.89999999999998</v>
      </c>
      <c r="C88" s="3">
        <v>252.33723155438</v>
      </c>
    </row>
    <row r="89" spans="1:3" x14ac:dyDescent="0.2">
      <c r="A89" s="1">
        <f ca="1">IFERROR(__xludf.DUMMYFUNCTION("""COMPUTED_VALUE"""),45121.6666666666)</f>
        <v>45121.666666666599</v>
      </c>
      <c r="B89" s="2">
        <f ca="1">IFERROR(__xludf.DUMMYFUNCTION("""COMPUTED_VALUE"""),281.38)</f>
        <v>281.38</v>
      </c>
      <c r="C89" s="3">
        <v>252.80676233588599</v>
      </c>
    </row>
    <row r="90" spans="1:3" x14ac:dyDescent="0.2">
      <c r="A90" s="1">
        <f ca="1">IFERROR(__xludf.DUMMYFUNCTION("""COMPUTED_VALUE"""),45124.6666666666)</f>
        <v>45124.666666666599</v>
      </c>
      <c r="B90" s="2">
        <f ca="1">IFERROR(__xludf.DUMMYFUNCTION("""COMPUTED_VALUE"""),290.38)</f>
        <v>290.38</v>
      </c>
      <c r="C90" s="3">
        <v>254.162759552213</v>
      </c>
    </row>
    <row r="91" spans="1:3" x14ac:dyDescent="0.2">
      <c r="A91" s="1">
        <f ca="1">IFERROR(__xludf.DUMMYFUNCTION("""COMPUTED_VALUE"""),45125.6666666666)</f>
        <v>45125.666666666599</v>
      </c>
      <c r="B91" s="2">
        <f ca="1">IFERROR(__xludf.DUMMYFUNCTION("""COMPUTED_VALUE"""),293.34)</f>
        <v>293.33999999999997</v>
      </c>
      <c r="C91" s="3">
        <v>256.662385712662</v>
      </c>
    </row>
    <row r="92" spans="1:3" x14ac:dyDescent="0.2">
      <c r="A92" s="1">
        <f ca="1">IFERROR(__xludf.DUMMYFUNCTION("""COMPUTED_VALUE"""),45126.6666666666)</f>
        <v>45126.666666666599</v>
      </c>
      <c r="B92" s="2">
        <f ca="1">IFERROR(__xludf.DUMMYFUNCTION("""COMPUTED_VALUE"""),291.26)</f>
        <v>291.26</v>
      </c>
      <c r="C92" s="3">
        <v>255.98165128183999</v>
      </c>
    </row>
    <row r="93" spans="1:3" x14ac:dyDescent="0.2">
      <c r="A93" s="1">
        <f ca="1">IFERROR(__xludf.DUMMYFUNCTION("""COMPUTED_VALUE"""),45127.6666666666)</f>
        <v>45127.666666666599</v>
      </c>
      <c r="B93" s="2">
        <f ca="1">IFERROR(__xludf.DUMMYFUNCTION("""COMPUTED_VALUE"""),262.9)</f>
        <v>262.89999999999998</v>
      </c>
      <c r="C93" s="3">
        <v>255.12226685413199</v>
      </c>
    </row>
    <row r="94" spans="1:3" x14ac:dyDescent="0.2">
      <c r="A94" s="1">
        <f ca="1">IFERROR(__xludf.DUMMYFUNCTION("""COMPUTED_VALUE"""),45128.6666666666)</f>
        <v>45128.666666666599</v>
      </c>
      <c r="B94" s="2">
        <f ca="1">IFERROR(__xludf.DUMMYFUNCTION("""COMPUTED_VALUE"""),260.02)</f>
        <v>260.02</v>
      </c>
      <c r="C94" s="3">
        <v>255.19927014477199</v>
      </c>
    </row>
    <row r="95" spans="1:3" x14ac:dyDescent="0.2">
      <c r="A95" s="1">
        <f ca="1">IFERROR(__xludf.DUMMYFUNCTION("""COMPUTED_VALUE"""),45131.6666666666)</f>
        <v>45131.666666666599</v>
      </c>
      <c r="B95" s="2">
        <f ca="1">IFERROR(__xludf.DUMMYFUNCTION("""COMPUTED_VALUE"""),269.06)</f>
        <v>269.06</v>
      </c>
      <c r="C95" s="3">
        <v>255.377684888505</v>
      </c>
    </row>
    <row r="96" spans="1:3" x14ac:dyDescent="0.2">
      <c r="A96" s="1">
        <f ca="1">IFERROR(__xludf.DUMMYFUNCTION("""COMPUTED_VALUE"""),45132.6666666666)</f>
        <v>45132.666666666599</v>
      </c>
      <c r="B96" s="2">
        <f ca="1">IFERROR(__xludf.DUMMYFUNCTION("""COMPUTED_VALUE"""),265.28)</f>
        <v>265.27999999999997</v>
      </c>
      <c r="C96" s="3">
        <v>257.87731104895198</v>
      </c>
    </row>
    <row r="97" spans="1:3" x14ac:dyDescent="0.2">
      <c r="A97" s="1">
        <f ca="1">IFERROR(__xludf.DUMMYFUNCTION("""COMPUTED_VALUE"""),45133.6666666666)</f>
        <v>45133.666666666599</v>
      </c>
      <c r="B97" s="2">
        <f ca="1">IFERROR(__xludf.DUMMYFUNCTION("""COMPUTED_VALUE"""),264.35)</f>
        <v>264.35000000000002</v>
      </c>
      <c r="C97" s="3">
        <v>257.19657661812403</v>
      </c>
    </row>
    <row r="98" spans="1:3" x14ac:dyDescent="0.2">
      <c r="A98" s="1">
        <f ca="1">IFERROR(__xludf.DUMMYFUNCTION("""COMPUTED_VALUE"""),45134.6666666666)</f>
        <v>45134.666666666599</v>
      </c>
      <c r="B98" s="2">
        <f ca="1">IFERROR(__xludf.DUMMYFUNCTION("""COMPUTED_VALUE"""),255.71)</f>
        <v>255.71</v>
      </c>
      <c r="C98" s="3">
        <v>256.33719219042098</v>
      </c>
    </row>
    <row r="99" spans="1:3" x14ac:dyDescent="0.2">
      <c r="A99" s="1">
        <f ca="1">IFERROR(__xludf.DUMMYFUNCTION("""COMPUTED_VALUE"""),45135.6666666666)</f>
        <v>45135.666666666599</v>
      </c>
      <c r="B99" s="2">
        <f ca="1">IFERROR(__xludf.DUMMYFUNCTION("""COMPUTED_VALUE"""),266.44)</f>
        <v>266.44</v>
      </c>
      <c r="C99" s="3">
        <v>256.12872422999698</v>
      </c>
    </row>
    <row r="100" spans="1:3" x14ac:dyDescent="0.2">
      <c r="A100" s="1">
        <f ca="1">IFERROR(__xludf.DUMMYFUNCTION("""COMPUTED_VALUE"""),45138.6666666666)</f>
        <v>45138.666666666599</v>
      </c>
      <c r="B100" s="2">
        <f ca="1">IFERROR(__xludf.DUMMYFUNCTION("""COMPUTED_VALUE"""),267.43)</f>
        <v>267.43</v>
      </c>
      <c r="C100" s="3">
        <v>255.45072522052601</v>
      </c>
    </row>
    <row r="101" spans="1:3" x14ac:dyDescent="0.2">
      <c r="A101" s="1">
        <f ca="1">IFERROR(__xludf.DUMMYFUNCTION("""COMPUTED_VALUE"""),45139.6666666666)</f>
        <v>45139.666666666599</v>
      </c>
      <c r="B101" s="2">
        <f ca="1">IFERROR(__xludf.DUMMYFUNCTION("""COMPUTED_VALUE"""),261.07)</f>
        <v>261.07</v>
      </c>
      <c r="C101" s="3">
        <v>257.66488012990902</v>
      </c>
    </row>
    <row r="102" spans="1:3" x14ac:dyDescent="0.2">
      <c r="A102" s="1">
        <f ca="1">IFERROR(__xludf.DUMMYFUNCTION("""COMPUTED_VALUE"""),45140.6666666666)</f>
        <v>45140.666666666599</v>
      </c>
      <c r="B102" s="2">
        <f ca="1">IFERROR(__xludf.DUMMYFUNCTION("""COMPUTED_VALUE"""),254.11)</f>
        <v>254.11</v>
      </c>
      <c r="C102" s="3">
        <v>256.69867444801599</v>
      </c>
    </row>
    <row r="103" spans="1:3" x14ac:dyDescent="0.2">
      <c r="A103" s="1">
        <f ca="1">IFERROR(__xludf.DUMMYFUNCTION("""COMPUTED_VALUE"""),45141.6666666666)</f>
        <v>45141.666666666599</v>
      </c>
      <c r="B103" s="2">
        <f ca="1">IFERROR(__xludf.DUMMYFUNCTION("""COMPUTED_VALUE"""),259.32)</f>
        <v>259.32</v>
      </c>
      <c r="C103" s="3">
        <v>255.553818769239</v>
      </c>
    </row>
    <row r="104" spans="1:3" x14ac:dyDescent="0.2">
      <c r="A104" s="1">
        <f ca="1">IFERROR(__xludf.DUMMYFUNCTION("""COMPUTED_VALUE"""),45142.6666666666)</f>
        <v>45142.666666666599</v>
      </c>
      <c r="B104" s="2">
        <f ca="1">IFERROR(__xludf.DUMMYFUNCTION("""COMPUTED_VALUE"""),253.86)</f>
        <v>253.86</v>
      </c>
      <c r="C104" s="3">
        <v>255.34535080881099</v>
      </c>
    </row>
    <row r="105" spans="1:3" x14ac:dyDescent="0.2">
      <c r="A105" s="1">
        <f ca="1">IFERROR(__xludf.DUMMYFUNCTION("""COMPUTED_VALUE"""),45145.6666666666)</f>
        <v>45145.666666666599</v>
      </c>
      <c r="B105" s="2">
        <f ca="1">IFERROR(__xludf.DUMMYFUNCTION("""COMPUTED_VALUE"""),251.45)</f>
        <v>251.45</v>
      </c>
      <c r="C105" s="3">
        <v>254.667351799351</v>
      </c>
    </row>
    <row r="106" spans="1:3" x14ac:dyDescent="0.2">
      <c r="A106" s="1">
        <f ca="1">IFERROR(__xludf.DUMMYFUNCTION("""COMPUTED_VALUE"""),45146.6666666666)</f>
        <v>45146.666666666599</v>
      </c>
      <c r="B106" s="2">
        <f ca="1">IFERROR(__xludf.DUMMYFUNCTION("""COMPUTED_VALUE"""),249.7)</f>
        <v>249.7</v>
      </c>
      <c r="C106" s="3">
        <v>256.881506708735</v>
      </c>
    </row>
    <row r="107" spans="1:3" x14ac:dyDescent="0.2">
      <c r="A107" s="1">
        <f ca="1">IFERROR(__xludf.DUMMYFUNCTION("""COMPUTED_VALUE"""),45147.6666666666)</f>
        <v>45147.666666666599</v>
      </c>
      <c r="B107" s="2">
        <f ca="1">IFERROR(__xludf.DUMMYFUNCTION("""COMPUTED_VALUE"""),242.19)</f>
        <v>242.19</v>
      </c>
      <c r="C107" s="3">
        <v>255.84208898954</v>
      </c>
    </row>
    <row r="108" spans="1:3" x14ac:dyDescent="0.2">
      <c r="A108" s="1">
        <f ca="1">IFERROR(__xludf.DUMMYFUNCTION("""COMPUTED_VALUE"""),45148.6666666666)</f>
        <v>45148.666666666599</v>
      </c>
      <c r="B108" s="2">
        <f ca="1">IFERROR(__xludf.DUMMYFUNCTION("""COMPUTED_VALUE"""),245.34)</f>
        <v>245.34</v>
      </c>
      <c r="C108" s="3">
        <v>254.624021273458</v>
      </c>
    </row>
    <row r="109" spans="1:3" x14ac:dyDescent="0.2">
      <c r="A109" s="1">
        <f ca="1">IFERROR(__xludf.DUMMYFUNCTION("""COMPUTED_VALUE"""),45149.6666666666)</f>
        <v>45149.666666666599</v>
      </c>
      <c r="B109" s="2">
        <f ca="1">IFERROR(__xludf.DUMMYFUNCTION("""COMPUTED_VALUE"""),242.65)</f>
        <v>242.65</v>
      </c>
      <c r="C109" s="3">
        <v>254.34234127573001</v>
      </c>
    </row>
    <row r="110" spans="1:3" x14ac:dyDescent="0.2">
      <c r="A110" s="1">
        <f ca="1">IFERROR(__xludf.DUMMYFUNCTION("""COMPUTED_VALUE"""),45152.6666666666)</f>
        <v>45152.666666666599</v>
      </c>
      <c r="B110" s="2">
        <f ca="1">IFERROR(__xludf.DUMMYFUNCTION("""COMPUTED_VALUE"""),239.76)</f>
        <v>239.76</v>
      </c>
      <c r="C110" s="3">
        <v>253.44470615435199</v>
      </c>
    </row>
    <row r="111" spans="1:3" x14ac:dyDescent="0.2">
      <c r="A111" s="1">
        <f ca="1">IFERROR(__xludf.DUMMYFUNCTION("""COMPUTED_VALUE"""),45153.6666666666)</f>
        <v>45153.666666666599</v>
      </c>
      <c r="B111" s="2">
        <f ca="1">IFERROR(__xludf.DUMMYFUNCTION("""COMPUTED_VALUE"""),232.96)</f>
        <v>232.96</v>
      </c>
      <c r="C111" s="3">
        <v>255.58564902643101</v>
      </c>
    </row>
    <row r="112" spans="1:3" x14ac:dyDescent="0.2">
      <c r="A112" s="1">
        <f ca="1">IFERROR(__xludf.DUMMYFUNCTION("""COMPUTED_VALUE"""),45154.6666666666)</f>
        <v>45154.666666666599</v>
      </c>
      <c r="B112" s="2">
        <f ca="1">IFERROR(__xludf.DUMMYFUNCTION("""COMPUTED_VALUE"""),225.6)</f>
        <v>225.6</v>
      </c>
      <c r="C112" s="3">
        <v>254.54623130724499</v>
      </c>
    </row>
    <row r="113" spans="1:3" x14ac:dyDescent="0.2">
      <c r="A113" s="1">
        <f ca="1">IFERROR(__xludf.DUMMYFUNCTION("""COMPUTED_VALUE"""),45155.6666666666)</f>
        <v>45155.666666666599</v>
      </c>
      <c r="B113" s="2">
        <f ca="1">IFERROR(__xludf.DUMMYFUNCTION("""COMPUTED_VALUE"""),219.22)</f>
        <v>219.22</v>
      </c>
      <c r="C113" s="3">
        <v>253.32816359116299</v>
      </c>
    </row>
    <row r="114" spans="1:3" x14ac:dyDescent="0.2">
      <c r="A114" s="1">
        <f ca="1">IFERROR(__xludf.DUMMYFUNCTION("""COMPUTED_VALUE"""),45156.6666666666)</f>
        <v>45156.666666666599</v>
      </c>
      <c r="B114" s="2">
        <f ca="1">IFERROR(__xludf.DUMMYFUNCTION("""COMPUTED_VALUE"""),215.49)</f>
        <v>215.49</v>
      </c>
      <c r="C114" s="3">
        <v>253.04648359343099</v>
      </c>
    </row>
    <row r="115" spans="1:3" x14ac:dyDescent="0.2">
      <c r="A115" s="1">
        <f ca="1">IFERROR(__xludf.DUMMYFUNCTION("""COMPUTED_VALUE"""),45159.6666666666)</f>
        <v>45159.666666666599</v>
      </c>
      <c r="B115" s="2">
        <f ca="1">IFERROR(__xludf.DUMMYFUNCTION("""COMPUTED_VALUE"""),231.28)</f>
        <v>231.28</v>
      </c>
      <c r="C115" s="3">
        <v>252.148848462735</v>
      </c>
    </row>
    <row r="116" spans="1:3" x14ac:dyDescent="0.2">
      <c r="A116" s="1">
        <f ca="1">IFERROR(__xludf.DUMMYFUNCTION("""COMPUTED_VALUE"""),45160.6666666666)</f>
        <v>45160.666666666599</v>
      </c>
      <c r="B116" s="2">
        <f ca="1">IFERROR(__xludf.DUMMYFUNCTION("""COMPUTED_VALUE"""),233.19)</f>
        <v>233.19</v>
      </c>
      <c r="C116" s="3">
        <v>254.28979133170699</v>
      </c>
    </row>
    <row r="117" spans="1:3" x14ac:dyDescent="0.2">
      <c r="A117" s="1">
        <f ca="1">IFERROR(__xludf.DUMMYFUNCTION("""COMPUTED_VALUE"""),45161.6666666666)</f>
        <v>45161.666666666599</v>
      </c>
      <c r="B117" s="2">
        <f ca="1">IFERROR(__xludf.DUMMYFUNCTION("""COMPUTED_VALUE"""),236.86)</f>
        <v>236.86</v>
      </c>
      <c r="C117" s="3">
        <v>253.250373609409</v>
      </c>
    </row>
    <row r="118" spans="1:3" x14ac:dyDescent="0.2">
      <c r="A118" s="1">
        <f ca="1">IFERROR(__xludf.DUMMYFUNCTION("""COMPUTED_VALUE"""),45162.6666666666)</f>
        <v>45162.666666666599</v>
      </c>
      <c r="B118" s="2">
        <f ca="1">IFERROR(__xludf.DUMMYFUNCTION("""COMPUTED_VALUE"""),230.04)</f>
        <v>230.04</v>
      </c>
      <c r="C118" s="3">
        <v>252.03230589022101</v>
      </c>
    </row>
    <row r="119" spans="1:3" x14ac:dyDescent="0.2">
      <c r="A119" s="1">
        <f ca="1">IFERROR(__xludf.DUMMYFUNCTION("""COMPUTED_VALUE"""),45163.6666666666)</f>
        <v>45163.666666666599</v>
      </c>
      <c r="B119" s="2">
        <f ca="1">IFERROR(__xludf.DUMMYFUNCTION("""COMPUTED_VALUE"""),238.59)</f>
        <v>238.59</v>
      </c>
      <c r="C119" s="3">
        <v>251.75062588939301</v>
      </c>
    </row>
    <row r="120" spans="1:3" x14ac:dyDescent="0.2">
      <c r="A120" s="1">
        <f ca="1">IFERROR(__xludf.DUMMYFUNCTION("""COMPUTED_VALUE"""),45166.6666666666)</f>
        <v>45166.666666666599</v>
      </c>
      <c r="B120" s="2">
        <f ca="1">IFERROR(__xludf.DUMMYFUNCTION("""COMPUTED_VALUE"""),238.82)</f>
        <v>238.82</v>
      </c>
      <c r="C120" s="3">
        <v>250.852990758689</v>
      </c>
    </row>
    <row r="121" spans="1:3" x14ac:dyDescent="0.2">
      <c r="A121" s="1">
        <f ca="1">IFERROR(__xludf.DUMMYFUNCTION("""COMPUTED_VALUE"""),45167.6666666666)</f>
        <v>45167.666666666599</v>
      </c>
      <c r="B121" s="2">
        <f ca="1">IFERROR(__xludf.DUMMYFUNCTION("""COMPUTED_VALUE"""),257.18)</f>
        <v>257.18</v>
      </c>
      <c r="C121" s="3">
        <v>252.99393362766099</v>
      </c>
    </row>
    <row r="122" spans="1:3" x14ac:dyDescent="0.2">
      <c r="A122" s="1">
        <f ca="1">IFERROR(__xludf.DUMMYFUNCTION("""COMPUTED_VALUE"""),45168.6666666666)</f>
        <v>45168.666666666599</v>
      </c>
      <c r="B122" s="2">
        <f ca="1">IFERROR(__xludf.DUMMYFUNCTION("""COMPUTED_VALUE"""),256.9)</f>
        <v>256.89999999999998</v>
      </c>
      <c r="C122" s="3">
        <v>251.95451590536101</v>
      </c>
    </row>
    <row r="123" spans="1:3" x14ac:dyDescent="0.2">
      <c r="A123" s="1">
        <f ca="1">IFERROR(__xludf.DUMMYFUNCTION("""COMPUTED_VALUE"""),45169.6666666666)</f>
        <v>45169.666666666599</v>
      </c>
      <c r="B123" s="2">
        <f ca="1">IFERROR(__xludf.DUMMYFUNCTION("""COMPUTED_VALUE"""),258.08)</f>
        <v>258.08</v>
      </c>
      <c r="C123" s="3">
        <v>250.73644807115301</v>
      </c>
    </row>
    <row r="124" spans="1:3" x14ac:dyDescent="0.2">
      <c r="A124" s="1">
        <f ca="1">IFERROR(__xludf.DUMMYFUNCTION("""COMPUTED_VALUE"""),45170.6666666666)</f>
        <v>45170.666666666599</v>
      </c>
      <c r="B124" s="2">
        <f ca="1">IFERROR(__xludf.DUMMYFUNCTION("""COMPUTED_VALUE"""),245.01)</f>
        <v>245.01</v>
      </c>
      <c r="C124" s="3">
        <v>250.45476795528299</v>
      </c>
    </row>
    <row r="125" spans="1:3" x14ac:dyDescent="0.2">
      <c r="A125" s="1">
        <f ca="1">IFERROR(__xludf.DUMMYFUNCTION("""COMPUTED_VALUE"""),45174.6666666666)</f>
        <v>45174.666666666599</v>
      </c>
      <c r="B125" s="2">
        <f ca="1">IFERROR(__xludf.DUMMYFUNCTION("""COMPUTED_VALUE"""),256.49)</f>
        <v>256.49</v>
      </c>
      <c r="C125" s="3">
        <v>251.69807523342601</v>
      </c>
    </row>
    <row r="126" spans="1:3" x14ac:dyDescent="0.2">
      <c r="A126" s="1">
        <f ca="1">IFERROR(__xludf.DUMMYFUNCTION("""COMPUTED_VALUE"""),45175.6666666666)</f>
        <v>45175.666666666599</v>
      </c>
      <c r="B126" s="2">
        <f ca="1">IFERROR(__xludf.DUMMYFUNCTION("""COMPUTED_VALUE"""),251.92)</f>
        <v>251.92</v>
      </c>
      <c r="C126" s="3">
        <v>250.658657396102</v>
      </c>
    </row>
    <row r="127" spans="1:3" x14ac:dyDescent="0.2">
      <c r="A127" s="1">
        <f ca="1">IFERROR(__xludf.DUMMYFUNCTION("""COMPUTED_VALUE"""),45176.6666666666)</f>
        <v>45176.666666666599</v>
      </c>
      <c r="B127" s="2">
        <f ca="1">IFERROR(__xludf.DUMMYFUNCTION("""COMPUTED_VALUE"""),251.49)</f>
        <v>251.49</v>
      </c>
      <c r="C127" s="3">
        <v>249.44058956188701</v>
      </c>
    </row>
    <row r="128" spans="1:3" x14ac:dyDescent="0.2">
      <c r="A128" s="1">
        <f ca="1">IFERROR(__xludf.DUMMYFUNCTION("""COMPUTED_VALUE"""),45177.6666666666)</f>
        <v>45177.666666666599</v>
      </c>
      <c r="B128" s="2">
        <f ca="1">IFERROR(__xludf.DUMMYFUNCTION("""COMPUTED_VALUE"""),248.5)</f>
        <v>248.5</v>
      </c>
      <c r="C128" s="3">
        <v>249.15890944602199</v>
      </c>
    </row>
    <row r="129" spans="1:3" x14ac:dyDescent="0.2">
      <c r="A129" s="1">
        <f ca="1">IFERROR(__xludf.DUMMYFUNCTION("""COMPUTED_VALUE"""),45180.6666666666)</f>
        <v>45180.666666666599</v>
      </c>
      <c r="B129" s="2">
        <f ca="1">IFERROR(__xludf.DUMMYFUNCTION("""COMPUTED_VALUE"""),273.58)</f>
        <v>273.58</v>
      </c>
      <c r="C129" s="3">
        <v>248.261273970236</v>
      </c>
    </row>
    <row r="130" spans="1:3" x14ac:dyDescent="0.2">
      <c r="A130" s="1">
        <f ca="1">IFERROR(__xludf.DUMMYFUNCTION("""COMPUTED_VALUE"""),45181.6666666666)</f>
        <v>45181.666666666599</v>
      </c>
      <c r="B130" s="2">
        <f ca="1">IFERROR(__xludf.DUMMYFUNCTION("""COMPUTED_VALUE"""),267.48)</f>
        <v>267.48</v>
      </c>
      <c r="C130" s="3">
        <v>250.402216724168</v>
      </c>
    </row>
    <row r="131" spans="1:3" x14ac:dyDescent="0.2">
      <c r="A131" s="1">
        <f ca="1">IFERROR(__xludf.DUMMYFUNCTION("""COMPUTED_VALUE"""),45182.6666666666)</f>
        <v>45182.666666666599</v>
      </c>
      <c r="B131" s="2">
        <f ca="1">IFERROR(__xludf.DUMMYFUNCTION("""COMPUTED_VALUE"""),271.3)</f>
        <v>271.3</v>
      </c>
      <c r="C131" s="3">
        <v>249.362563110601</v>
      </c>
    </row>
    <row r="132" spans="1:3" x14ac:dyDescent="0.2">
      <c r="A132" s="1">
        <f ca="1">IFERROR(__xludf.DUMMYFUNCTION("""COMPUTED_VALUE"""),45183.6666666666)</f>
        <v>45183.666666666599</v>
      </c>
      <c r="B132" s="2">
        <f ca="1">IFERROR(__xludf.DUMMYFUNCTION("""COMPUTED_VALUE"""),276.04)</f>
        <v>276.04000000000002</v>
      </c>
      <c r="C132" s="3">
        <v>248.144259500148</v>
      </c>
    </row>
    <row r="133" spans="1:3" x14ac:dyDescent="0.2">
      <c r="A133" s="1">
        <f ca="1">IFERROR(__xludf.DUMMYFUNCTION("""COMPUTED_VALUE"""),45184.6666666666)</f>
        <v>45184.666666666599</v>
      </c>
      <c r="B133" s="2">
        <f ca="1">IFERROR(__xludf.DUMMYFUNCTION("""COMPUTED_VALUE"""),274.39)</f>
        <v>274.39</v>
      </c>
      <c r="C133" s="3">
        <v>247.862343608044</v>
      </c>
    </row>
    <row r="134" spans="1:3" x14ac:dyDescent="0.2">
      <c r="A134" s="1">
        <f ca="1">IFERROR(__xludf.DUMMYFUNCTION("""COMPUTED_VALUE"""),45187.6666666666)</f>
        <v>45187.666666666599</v>
      </c>
      <c r="B134" s="2">
        <f ca="1">IFERROR(__xludf.DUMMYFUNCTION("""COMPUTED_VALUE"""),265.28)</f>
        <v>265.27999999999997</v>
      </c>
      <c r="C134" s="3">
        <v>246.96400080352601</v>
      </c>
    </row>
    <row r="135" spans="1:3" x14ac:dyDescent="0.2">
      <c r="A135" s="1">
        <f ca="1">IFERROR(__xludf.DUMMYFUNCTION("""COMPUTED_VALUE"""),45188.6666666666)</f>
        <v>45188.666666666599</v>
      </c>
      <c r="B135" s="2">
        <f ca="1">IFERROR(__xludf.DUMMYFUNCTION("""COMPUTED_VALUE"""),266.5)</f>
        <v>266.5</v>
      </c>
      <c r="C135" s="3">
        <v>249.104707781223</v>
      </c>
    </row>
    <row r="136" spans="1:3" x14ac:dyDescent="0.2">
      <c r="A136" s="1">
        <f ca="1">IFERROR(__xludf.DUMMYFUNCTION("""COMPUTED_VALUE"""),45189.6666666666)</f>
        <v>45189.666666666599</v>
      </c>
      <c r="B136" s="2">
        <f ca="1">IFERROR(__xludf.DUMMYFUNCTION("""COMPUTED_VALUE"""),262.59)</f>
        <v>262.58999999999997</v>
      </c>
      <c r="C136" s="3">
        <v>248.06505416765199</v>
      </c>
    </row>
    <row r="137" spans="1:3" x14ac:dyDescent="0.2">
      <c r="A137" s="1">
        <f ca="1">IFERROR(__xludf.DUMMYFUNCTION("""COMPUTED_VALUE"""),45190.6666666666)</f>
        <v>45190.666666666599</v>
      </c>
      <c r="B137" s="2">
        <f ca="1">IFERROR(__xludf.DUMMYFUNCTION("""COMPUTED_VALUE"""),255.7)</f>
        <v>255.7</v>
      </c>
      <c r="C137" s="3">
        <v>246.84675055719899</v>
      </c>
    </row>
    <row r="138" spans="1:3" x14ac:dyDescent="0.2">
      <c r="A138" s="1">
        <f ca="1">IFERROR(__xludf.DUMMYFUNCTION("""COMPUTED_VALUE"""),45191.6666666666)</f>
        <v>45191.666666666599</v>
      </c>
      <c r="B138" s="2">
        <f ca="1">IFERROR(__xludf.DUMMYFUNCTION("""COMPUTED_VALUE"""),244.88)</f>
        <v>244.88</v>
      </c>
      <c r="C138" s="3">
        <v>246.564834665088</v>
      </c>
    </row>
    <row r="139" spans="1:3" x14ac:dyDescent="0.2">
      <c r="A139" s="1">
        <f ca="1">IFERROR(__xludf.DUMMYFUNCTION("""COMPUTED_VALUE"""),45194.6666666666)</f>
        <v>45194.666666666599</v>
      </c>
      <c r="B139" s="2">
        <f ca="1">IFERROR(__xludf.DUMMYFUNCTION("""COMPUTED_VALUE"""),246.99)</f>
        <v>246.99</v>
      </c>
      <c r="C139" s="3">
        <v>245.66649169905301</v>
      </c>
    </row>
    <row r="140" spans="1:3" x14ac:dyDescent="0.2">
      <c r="A140" s="1">
        <f ca="1">IFERROR(__xludf.DUMMYFUNCTION("""COMPUTED_VALUE"""),45195.6666666666)</f>
        <v>45195.666666666599</v>
      </c>
      <c r="B140" s="2">
        <f ca="1">IFERROR(__xludf.DUMMYFUNCTION("""COMPUTED_VALUE"""),244.12)</f>
        <v>244.12</v>
      </c>
      <c r="C140" s="3">
        <v>247.80719862290701</v>
      </c>
    </row>
    <row r="141" spans="1:3" x14ac:dyDescent="0.2">
      <c r="A141" s="1">
        <f ca="1">IFERROR(__xludf.DUMMYFUNCTION("""COMPUTED_VALUE"""),45196.6666666666)</f>
        <v>45196.666666666599</v>
      </c>
      <c r="B141" s="2">
        <f ca="1">IFERROR(__xludf.DUMMYFUNCTION("""COMPUTED_VALUE"""),240.5)</f>
        <v>240.5</v>
      </c>
      <c r="C141" s="3">
        <v>246.76754495549699</v>
      </c>
    </row>
    <row r="142" spans="1:3" x14ac:dyDescent="0.2">
      <c r="A142" s="1">
        <f ca="1">IFERROR(__xludf.DUMMYFUNCTION("""COMPUTED_VALUE"""),45197.6666666666)</f>
        <v>45197.666666666599</v>
      </c>
      <c r="B142" s="2">
        <f ca="1">IFERROR(__xludf.DUMMYFUNCTION("""COMPUTED_VALUE"""),246.38)</f>
        <v>246.38</v>
      </c>
      <c r="C142" s="3">
        <v>245.54924129119399</v>
      </c>
    </row>
    <row r="143" spans="1:3" x14ac:dyDescent="0.2">
      <c r="A143" s="1">
        <f ca="1">IFERROR(__xludf.DUMMYFUNCTION("""COMPUTED_VALUE"""),45198.6666666666)</f>
        <v>45198.666666666599</v>
      </c>
      <c r="B143" s="2">
        <f ca="1">IFERROR(__xludf.DUMMYFUNCTION("""COMPUTED_VALUE"""),250.22)</f>
        <v>250.22</v>
      </c>
      <c r="C143" s="3">
        <v>245.267325345252</v>
      </c>
    </row>
    <row r="144" spans="1:3" x14ac:dyDescent="0.2">
      <c r="A144" s="1">
        <f ca="1">IFERROR(__xludf.DUMMYFUNCTION("""COMPUTED_VALUE"""),45201.6666666666)</f>
        <v>45201.666666666599</v>
      </c>
      <c r="B144" s="2">
        <f ca="1">IFERROR(__xludf.DUMMYFUNCTION("""COMPUTED_VALUE"""),251.6)</f>
        <v>251.6</v>
      </c>
      <c r="C144" s="3">
        <v>244.36898237920599</v>
      </c>
    </row>
    <row r="145" spans="1:3" x14ac:dyDescent="0.2">
      <c r="A145" s="1">
        <f ca="1">IFERROR(__xludf.DUMMYFUNCTION("""COMPUTED_VALUE"""),45202.6666666666)</f>
        <v>45202.666666666599</v>
      </c>
      <c r="B145" s="2">
        <f ca="1">IFERROR(__xludf.DUMMYFUNCTION("""COMPUTED_VALUE"""),246.53)</f>
        <v>246.53</v>
      </c>
      <c r="C145" s="3">
        <v>246.509689303063</v>
      </c>
    </row>
    <row r="146" spans="1:3" x14ac:dyDescent="0.2">
      <c r="A146" s="1">
        <f ca="1">IFERROR(__xludf.DUMMYFUNCTION("""COMPUTED_VALUE"""),45203.6666666666)</f>
        <v>45203.666666666599</v>
      </c>
      <c r="B146" s="2">
        <f ca="1">IFERROR(__xludf.DUMMYFUNCTION("""COMPUTED_VALUE"""),261.16)</f>
        <v>261.16000000000003</v>
      </c>
      <c r="C146" s="3">
        <v>245.470035635649</v>
      </c>
    </row>
    <row r="147" spans="1:3" x14ac:dyDescent="0.2">
      <c r="A147" s="1">
        <f ca="1">IFERROR(__xludf.DUMMYFUNCTION("""COMPUTED_VALUE"""),45204.6666666666)</f>
        <v>45204.666666666599</v>
      </c>
      <c r="B147" s="2">
        <f ca="1">IFERROR(__xludf.DUMMYFUNCTION("""COMPUTED_VALUE"""),260.05)</f>
        <v>260.05</v>
      </c>
      <c r="C147" s="3">
        <v>244.25173195989399</v>
      </c>
    </row>
    <row r="148" spans="1:3" x14ac:dyDescent="0.2">
      <c r="A148" s="1">
        <f ca="1">IFERROR(__xludf.DUMMYFUNCTION("""COMPUTED_VALUE"""),45205.6666666666)</f>
        <v>45205.666666666599</v>
      </c>
      <c r="B148" s="2">
        <f ca="1">IFERROR(__xludf.DUMMYFUNCTION("""COMPUTED_VALUE"""),260.53)</f>
        <v>260.52999999999997</v>
      </c>
      <c r="C148" s="3">
        <v>243.96981600250101</v>
      </c>
    </row>
    <row r="149" spans="1:3" x14ac:dyDescent="0.2">
      <c r="A149" s="1">
        <f ca="1">IFERROR(__xludf.DUMMYFUNCTION("""COMPUTED_VALUE"""),45208.6666666666)</f>
        <v>45208.666666666599</v>
      </c>
      <c r="B149" s="2">
        <f ca="1">IFERROR(__xludf.DUMMYFUNCTION("""COMPUTED_VALUE"""),259.67)</f>
        <v>259.67</v>
      </c>
      <c r="C149" s="3">
        <v>243.07147300210499</v>
      </c>
    </row>
    <row r="150" spans="1:3" x14ac:dyDescent="0.2">
      <c r="A150" s="1">
        <f ca="1">IFERROR(__xludf.DUMMYFUNCTION("""COMPUTED_VALUE"""),45209.6666666666)</f>
        <v>45209.666666666599</v>
      </c>
      <c r="B150" s="2">
        <f ca="1">IFERROR(__xludf.DUMMYFUNCTION("""COMPUTED_VALUE"""),263.62)</f>
        <v>263.62</v>
      </c>
      <c r="C150" s="3">
        <v>245.212179914508</v>
      </c>
    </row>
    <row r="151" spans="1:3" x14ac:dyDescent="0.2">
      <c r="A151" s="1">
        <f ca="1">IFERROR(__xludf.DUMMYFUNCTION("""COMPUTED_VALUE"""),45210.6666666666)</f>
        <v>45210.666666666599</v>
      </c>
      <c r="B151" s="2">
        <f ca="1">IFERROR(__xludf.DUMMYFUNCTION("""COMPUTED_VALUE"""),262.99)</f>
        <v>262.99</v>
      </c>
      <c r="C151" s="3">
        <v>244.17252623564201</v>
      </c>
    </row>
    <row r="152" spans="1:3" x14ac:dyDescent="0.2">
      <c r="A152" s="1">
        <f ca="1">IFERROR(__xludf.DUMMYFUNCTION("""COMPUTED_VALUE"""),45211.6666666666)</f>
        <v>45211.666666666599</v>
      </c>
      <c r="B152" s="2">
        <f ca="1">IFERROR(__xludf.DUMMYFUNCTION("""COMPUTED_VALUE"""),258.87)</f>
        <v>258.87</v>
      </c>
      <c r="C152" s="3">
        <v>242.954222559887</v>
      </c>
    </row>
    <row r="153" spans="1:3" x14ac:dyDescent="0.2">
      <c r="A153" s="1">
        <f ca="1">IFERROR(__xludf.DUMMYFUNCTION("""COMPUTED_VALUE"""),45212.6666666666)</f>
        <v>45212.666666666599</v>
      </c>
      <c r="B153" s="2">
        <f ca="1">IFERROR(__xludf.DUMMYFUNCTION("""COMPUTED_VALUE"""),251.12)</f>
        <v>251.12</v>
      </c>
      <c r="C153" s="3">
        <v>242.672306602482</v>
      </c>
    </row>
    <row r="154" spans="1:3" x14ac:dyDescent="0.2">
      <c r="A154" s="1">
        <f ca="1">IFERROR(__xludf.DUMMYFUNCTION("""COMPUTED_VALUE"""),45215.6666666666)</f>
        <v>45215.666666666599</v>
      </c>
      <c r="B154" s="2">
        <f ca="1">IFERROR(__xludf.DUMMYFUNCTION("""COMPUTED_VALUE"""),253.92)</f>
        <v>253.92</v>
      </c>
      <c r="C154" s="3">
        <v>241.773963602094</v>
      </c>
    </row>
    <row r="155" spans="1:3" x14ac:dyDescent="0.2">
      <c r="A155" s="1">
        <f ca="1">IFERROR(__xludf.DUMMYFUNCTION("""COMPUTED_VALUE"""),45216.6666666666)</f>
        <v>45216.666666666599</v>
      </c>
      <c r="B155" s="2">
        <f ca="1">IFERROR(__xludf.DUMMYFUNCTION("""COMPUTED_VALUE"""),254.85)</f>
        <v>254.85</v>
      </c>
      <c r="C155" s="3">
        <v>243.91467047739499</v>
      </c>
    </row>
    <row r="156" spans="1:3" x14ac:dyDescent="0.2">
      <c r="A156" s="1">
        <f ca="1">IFERROR(__xludf.DUMMYFUNCTION("""COMPUTED_VALUE"""),45217.6666666666)</f>
        <v>45217.666666666599</v>
      </c>
      <c r="B156" s="2">
        <f ca="1">IFERROR(__xludf.DUMMYFUNCTION("""COMPUTED_VALUE"""),242.68)</f>
        <v>242.68</v>
      </c>
      <c r="C156" s="3">
        <v>242.87501676142</v>
      </c>
    </row>
    <row r="157" spans="1:3" x14ac:dyDescent="0.2">
      <c r="A157" s="1">
        <f ca="1">IFERROR(__xludf.DUMMYFUNCTION("""COMPUTED_VALUE"""),45218.6666666666)</f>
        <v>45218.666666666599</v>
      </c>
      <c r="B157" s="2">
        <f ca="1">IFERROR(__xludf.DUMMYFUNCTION("""COMPUTED_VALUE"""),220.11)</f>
        <v>220.11</v>
      </c>
      <c r="C157" s="3">
        <v>241.656713048564</v>
      </c>
    </row>
    <row r="158" spans="1:3" x14ac:dyDescent="0.2">
      <c r="A158" s="1">
        <f ca="1">IFERROR(__xludf.DUMMYFUNCTION("""COMPUTED_VALUE"""),45219.6666666666)</f>
        <v>45219.666666666599</v>
      </c>
      <c r="B158" s="2">
        <f ca="1">IFERROR(__xludf.DUMMYFUNCTION("""COMPUTED_VALUE"""),211.99)</f>
        <v>211.99</v>
      </c>
      <c r="C158" s="3">
        <v>241.37479705404999</v>
      </c>
    </row>
    <row r="159" spans="1:3" x14ac:dyDescent="0.2">
      <c r="A159" s="1">
        <f ca="1">IFERROR(__xludf.DUMMYFUNCTION("""COMPUTED_VALUE"""),45222.6666666666)</f>
        <v>45222.666666666599</v>
      </c>
      <c r="B159" s="2">
        <f ca="1">IFERROR(__xludf.DUMMYFUNCTION("""COMPUTED_VALUE"""),212.08)</f>
        <v>212.08</v>
      </c>
      <c r="C159" s="3">
        <v>240.47645394234701</v>
      </c>
    </row>
    <row r="160" spans="1:3" x14ac:dyDescent="0.2">
      <c r="A160" s="1">
        <f ca="1">IFERROR(__xludf.DUMMYFUNCTION("""COMPUTED_VALUE"""),45223.6666666666)</f>
        <v>45223.666666666599</v>
      </c>
      <c r="B160" s="2">
        <f ca="1">IFERROR(__xludf.DUMMYFUNCTION("""COMPUTED_VALUE"""),216.52)</f>
        <v>216.52</v>
      </c>
      <c r="C160" s="3">
        <v>242.617160817643</v>
      </c>
    </row>
    <row r="161" spans="1:3" x14ac:dyDescent="0.2">
      <c r="A161" s="1">
        <f ca="1">IFERROR(__xludf.DUMMYFUNCTION("""COMPUTED_VALUE"""),45224.6666666666)</f>
        <v>45224.666666666599</v>
      </c>
      <c r="B161" s="2">
        <f ca="1">IFERROR(__xludf.DUMMYFUNCTION("""COMPUTED_VALUE"""),212.42)</f>
        <v>212.42</v>
      </c>
      <c r="C161" s="3">
        <v>241.57750710167099</v>
      </c>
    </row>
    <row r="162" spans="1:3" x14ac:dyDescent="0.2">
      <c r="A162" s="1">
        <f ca="1">IFERROR(__xludf.DUMMYFUNCTION("""COMPUTED_VALUE"""),45225.6666666666)</f>
        <v>45225.666666666599</v>
      </c>
      <c r="B162" s="2">
        <f ca="1">IFERROR(__xludf.DUMMYFUNCTION("""COMPUTED_VALUE"""),205.76)</f>
        <v>205.76</v>
      </c>
      <c r="C162" s="3">
        <v>240.35920338881999</v>
      </c>
    </row>
    <row r="163" spans="1:3" x14ac:dyDescent="0.2">
      <c r="A163" s="1">
        <f ca="1">IFERROR(__xludf.DUMMYFUNCTION("""COMPUTED_VALUE"""),45226.6666666666)</f>
        <v>45226.666666666599</v>
      </c>
      <c r="B163" s="2">
        <f ca="1">IFERROR(__xludf.DUMMYFUNCTION("""COMPUTED_VALUE"""),207.3)</f>
        <v>207.3</v>
      </c>
      <c r="C163" s="3">
        <v>240.07728742594301</v>
      </c>
    </row>
    <row r="164" spans="1:3" x14ac:dyDescent="0.2">
      <c r="A164" s="1">
        <f ca="1">IFERROR(__xludf.DUMMYFUNCTION("""COMPUTED_VALUE"""),45229.6666666666)</f>
        <v>45229.666666666599</v>
      </c>
      <c r="B164" s="2">
        <f ca="1">IFERROR(__xludf.DUMMYFUNCTION("""COMPUTED_VALUE"""),197.36)</f>
        <v>197.36</v>
      </c>
      <c r="C164" s="3">
        <v>239.17894440913801</v>
      </c>
    </row>
    <row r="165" spans="1:3" x14ac:dyDescent="0.2">
      <c r="A165" s="1">
        <f ca="1">IFERROR(__xludf.DUMMYFUNCTION("""COMPUTED_VALUE"""),45230.6666666666)</f>
        <v>45230.666666666599</v>
      </c>
      <c r="B165" s="2">
        <f ca="1">IFERROR(__xludf.DUMMYFUNCTION("""COMPUTED_VALUE"""),200.84)</f>
        <v>200.84</v>
      </c>
      <c r="C165" s="3">
        <v>241.319651316072</v>
      </c>
    </row>
    <row r="166" spans="1:3" x14ac:dyDescent="0.2">
      <c r="A166" s="1">
        <f ca="1">IFERROR(__xludf.DUMMYFUNCTION("""COMPUTED_VALUE"""),45231.6666666666)</f>
        <v>45231.666666666599</v>
      </c>
      <c r="B166" s="2">
        <f ca="1">IFERROR(__xludf.DUMMYFUNCTION("""COMPUTED_VALUE"""),205.66)</f>
        <v>205.66</v>
      </c>
      <c r="C166" s="3">
        <v>240.279997631735</v>
      </c>
    </row>
    <row r="167" spans="1:3" x14ac:dyDescent="0.2">
      <c r="A167" s="1">
        <f ca="1">IFERROR(__xludf.DUMMYFUNCTION("""COMPUTED_VALUE"""),45232.6666666666)</f>
        <v>45232.666666666599</v>
      </c>
      <c r="B167" s="2">
        <f ca="1">IFERROR(__xludf.DUMMYFUNCTION("""COMPUTED_VALUE"""),218.51)</f>
        <v>218.51</v>
      </c>
      <c r="C167" s="3">
        <v>239.06169395051</v>
      </c>
    </row>
    <row r="168" spans="1:3" x14ac:dyDescent="0.2">
      <c r="A168" s="1">
        <f ca="1">IFERROR(__xludf.DUMMYFUNCTION("""COMPUTED_VALUE"""),45233.6666666666)</f>
        <v>45233.666666666599</v>
      </c>
      <c r="B168" s="2">
        <f ca="1">IFERROR(__xludf.DUMMYFUNCTION("""COMPUTED_VALUE"""),219.96)</f>
        <v>219.96</v>
      </c>
      <c r="C168" s="3">
        <v>238.779777987643</v>
      </c>
    </row>
    <row r="169" spans="1:3" x14ac:dyDescent="0.2">
      <c r="A169" s="1">
        <f ca="1">IFERROR(__xludf.DUMMYFUNCTION("""COMPUTED_VALUE"""),45236.6666666666)</f>
        <v>45236.666666666599</v>
      </c>
      <c r="B169" s="2">
        <f ca="1">IFERROR(__xludf.DUMMYFUNCTION("""COMPUTED_VALUE"""),219.27)</f>
        <v>219.27</v>
      </c>
      <c r="C169" s="3">
        <v>237.88143497083601</v>
      </c>
    </row>
    <row r="170" spans="1:3" x14ac:dyDescent="0.2">
      <c r="A170" s="1">
        <f ca="1">IFERROR(__xludf.DUMMYFUNCTION("""COMPUTED_VALUE"""),45237.6666666666)</f>
        <v>45237.666666666599</v>
      </c>
      <c r="B170" s="2">
        <f ca="1">IFERROR(__xludf.DUMMYFUNCTION("""COMPUTED_VALUE"""),222.18)</f>
        <v>222.18</v>
      </c>
      <c r="C170" s="3">
        <v>240.02214187777</v>
      </c>
    </row>
    <row r="171" spans="1:3" x14ac:dyDescent="0.2">
      <c r="A171" s="1">
        <f ca="1">IFERROR(__xludf.DUMMYFUNCTION("""COMPUTED_VALUE"""),45238.6666666666)</f>
        <v>45238.666666666599</v>
      </c>
      <c r="B171" s="2">
        <f ca="1">IFERROR(__xludf.DUMMYFUNCTION("""COMPUTED_VALUE"""),222.11)</f>
        <v>222.11</v>
      </c>
      <c r="C171" s="3">
        <v>238.98248815065199</v>
      </c>
    </row>
    <row r="172" spans="1:3" x14ac:dyDescent="0.2">
      <c r="A172" s="1">
        <f ca="1">IFERROR(__xludf.DUMMYFUNCTION("""COMPUTED_VALUE"""),45239.6666666666)</f>
        <v>45239.666666666599</v>
      </c>
      <c r="B172" s="2">
        <f ca="1">IFERROR(__xludf.DUMMYFUNCTION("""COMPUTED_VALUE"""),209.98)</f>
        <v>209.98</v>
      </c>
      <c r="C172" s="3">
        <v>237.76418442666201</v>
      </c>
    </row>
    <row r="173" spans="1:3" x14ac:dyDescent="0.2">
      <c r="A173" s="1">
        <f ca="1">IFERROR(__xludf.DUMMYFUNCTION("""COMPUTED_VALUE"""),45240.6666666666)</f>
        <v>45240.666666666599</v>
      </c>
      <c r="B173" s="2">
        <f ca="1">IFERROR(__xludf.DUMMYFUNCTION("""COMPUTED_VALUE"""),214.65)</f>
        <v>214.65</v>
      </c>
      <c r="C173" s="3">
        <v>237.48226842101201</v>
      </c>
    </row>
    <row r="174" spans="1:3" x14ac:dyDescent="0.2">
      <c r="A174" s="1">
        <f ca="1">IFERROR(__xludf.DUMMYFUNCTION("""COMPUTED_VALUE"""),45243.6666666666)</f>
        <v>45243.666666666599</v>
      </c>
      <c r="B174" s="2">
        <f ca="1">IFERROR(__xludf.DUMMYFUNCTION("""COMPUTED_VALUE"""),223.71)</f>
        <v>223.71</v>
      </c>
      <c r="C174" s="3">
        <v>236.583925275865</v>
      </c>
    </row>
    <row r="175" spans="1:3" x14ac:dyDescent="0.2">
      <c r="A175" s="1">
        <f ca="1">IFERROR(__xludf.DUMMYFUNCTION("""COMPUTED_VALUE"""),45244.6666666666)</f>
        <v>45244.666666666599</v>
      </c>
      <c r="B175" s="2">
        <f ca="1">IFERROR(__xludf.DUMMYFUNCTION("""COMPUTED_VALUE"""),237.41)</f>
        <v>237.41</v>
      </c>
      <c r="C175" s="3">
        <v>238.72463214002801</v>
      </c>
    </row>
    <row r="176" spans="1:3" x14ac:dyDescent="0.2">
      <c r="A176" s="1">
        <f ca="1">IFERROR(__xludf.DUMMYFUNCTION("""COMPUTED_VALUE"""),45245.6666666666)</f>
        <v>45245.666666666599</v>
      </c>
      <c r="B176" s="2">
        <f ca="1">IFERROR(__xludf.DUMMYFUNCTION("""COMPUTED_VALUE"""),242.84)</f>
        <v>242.84</v>
      </c>
      <c r="C176" s="3">
        <v>237.68497841291401</v>
      </c>
    </row>
    <row r="177" spans="1:3" x14ac:dyDescent="0.2">
      <c r="A177" s="1">
        <f ca="1">IFERROR(__xludf.DUMMYFUNCTION("""COMPUTED_VALUE"""),45246.6666666666)</f>
        <v>45246.666666666599</v>
      </c>
      <c r="B177" s="2">
        <f ca="1">IFERROR(__xludf.DUMMYFUNCTION("""COMPUTED_VALUE"""),233.59)</f>
        <v>233.59</v>
      </c>
      <c r="C177" s="3">
        <v>236.46667468891599</v>
      </c>
    </row>
    <row r="178" spans="1:3" x14ac:dyDescent="0.2">
      <c r="A178" s="1">
        <f ca="1">IFERROR(__xludf.DUMMYFUNCTION("""COMPUTED_VALUE"""),45247.6666666666)</f>
        <v>45247.666666666599</v>
      </c>
      <c r="B178" s="2">
        <f ca="1">IFERROR(__xludf.DUMMYFUNCTION("""COMPUTED_VALUE"""),234.3)</f>
        <v>234.3</v>
      </c>
      <c r="C178" s="3">
        <v>236.18475868326701</v>
      </c>
    </row>
    <row r="179" spans="1:3" x14ac:dyDescent="0.2">
      <c r="A179" s="1">
        <f ca="1">IFERROR(__xludf.DUMMYFUNCTION("""COMPUTED_VALUE"""),45250.6666666666)</f>
        <v>45250.666666666599</v>
      </c>
      <c r="B179" s="2">
        <f ca="1">IFERROR(__xludf.DUMMYFUNCTION("""COMPUTED_VALUE"""),235.6)</f>
        <v>235.6</v>
      </c>
      <c r="C179" s="3">
        <v>235.286415537164</v>
      </c>
    </row>
    <row r="180" spans="1:3" x14ac:dyDescent="0.2">
      <c r="A180" s="1">
        <f ca="1">IFERROR(__xludf.DUMMYFUNCTION("""COMPUTED_VALUE"""),45251.6666666666)</f>
        <v>45251.666666666599</v>
      </c>
      <c r="B180" s="2">
        <f ca="1">IFERROR(__xludf.DUMMYFUNCTION("""COMPUTED_VALUE"""),241.2)</f>
        <v>241.2</v>
      </c>
      <c r="C180" s="3">
        <v>237.427122400999</v>
      </c>
    </row>
    <row r="181" spans="1:3" x14ac:dyDescent="0.2">
      <c r="A181" s="1">
        <f ca="1">IFERROR(__xludf.DUMMYFUNCTION("""COMPUTED_VALUE"""),45252.6666666666)</f>
        <v>45252.666666666599</v>
      </c>
      <c r="B181" s="2">
        <f ca="1">IFERROR(__xludf.DUMMYFUNCTION("""COMPUTED_VALUE"""),234.21)</f>
        <v>234.21</v>
      </c>
      <c r="C181" s="3">
        <v>236.38746867356099</v>
      </c>
    </row>
    <row r="182" spans="1:3" x14ac:dyDescent="0.2">
      <c r="A182" s="1">
        <f ca="1">IFERROR(__xludf.DUMMYFUNCTION("""COMPUTED_VALUE"""),45254.5451388888)</f>
        <v>45254.545138888803</v>
      </c>
      <c r="B182" s="2">
        <f ca="1">IFERROR(__xludf.DUMMYFUNCTION("""COMPUTED_VALUE"""),235.45)</f>
        <v>235.45</v>
      </c>
      <c r="C182" s="3">
        <v>234.88724894328101</v>
      </c>
    </row>
    <row r="183" spans="1:3" x14ac:dyDescent="0.2">
      <c r="A183" s="1">
        <f ca="1">IFERROR(__xludf.DUMMYFUNCTION("""COMPUTED_VALUE"""),45257.6666666666)</f>
        <v>45257.666666666599</v>
      </c>
      <c r="B183" s="2">
        <f ca="1">IFERROR(__xludf.DUMMYFUNCTION("""COMPUTED_VALUE"""),236.08)</f>
        <v>236.08</v>
      </c>
      <c r="C183" s="3">
        <v>233.98890579716701</v>
      </c>
    </row>
    <row r="184" spans="1:3" x14ac:dyDescent="0.2">
      <c r="A184" s="1">
        <f ca="1">IFERROR(__xludf.DUMMYFUNCTION("""COMPUTED_VALUE"""),45258.6666666666)</f>
        <v>45258.666666666599</v>
      </c>
      <c r="B184" s="2">
        <f ca="1">IFERROR(__xludf.DUMMYFUNCTION("""COMPUTED_VALUE"""),246.72)</f>
        <v>246.72</v>
      </c>
      <c r="C184" s="3">
        <v>236.12961266100501</v>
      </c>
    </row>
    <row r="185" spans="1:3" x14ac:dyDescent="0.2">
      <c r="A185" s="1">
        <f ca="1">IFERROR(__xludf.DUMMYFUNCTION("""COMPUTED_VALUE"""),45259.6666666666)</f>
        <v>45259.666666666599</v>
      </c>
      <c r="B185" s="2">
        <f ca="1">IFERROR(__xludf.DUMMYFUNCTION("""COMPUTED_VALUE"""),244.14)</f>
        <v>244.14</v>
      </c>
      <c r="C185" s="3">
        <v>235.08995893356601</v>
      </c>
    </row>
    <row r="186" spans="1:3" x14ac:dyDescent="0.2">
      <c r="A186" s="1">
        <f ca="1">IFERROR(__xludf.DUMMYFUNCTION("""COMPUTED_VALUE"""),45260.6666666666)</f>
        <v>45260.666666666599</v>
      </c>
      <c r="B186" s="2">
        <f ca="1">IFERROR(__xludf.DUMMYFUNCTION("""COMPUTED_VALUE"""),240.08)</f>
        <v>240.08</v>
      </c>
      <c r="C186" s="3">
        <v>233.871655209252</v>
      </c>
    </row>
    <row r="187" spans="1:3" x14ac:dyDescent="0.2">
      <c r="A187" s="1">
        <f ca="1">IFERROR(__xludf.DUMMYFUNCTION("""COMPUTED_VALUE"""),45261.6666666666)</f>
        <v>45261.666666666599</v>
      </c>
      <c r="B187" s="2">
        <f ca="1">IFERROR(__xludf.DUMMYFUNCTION("""COMPUTED_VALUE"""),238.83)</f>
        <v>238.83</v>
      </c>
      <c r="C187" s="3">
        <v>233.58973914874699</v>
      </c>
    </row>
    <row r="188" spans="1:3" x14ac:dyDescent="0.2">
      <c r="A188" s="1">
        <f ca="1">IFERROR(__xludf.DUMMYFUNCTION("""COMPUTED_VALUE"""),45264.6666666666)</f>
        <v>45264.666666666599</v>
      </c>
      <c r="B188" s="2">
        <f ca="1">IFERROR(__xludf.DUMMYFUNCTION("""COMPUTED_VALUE"""),235.58)</f>
        <v>235.58</v>
      </c>
      <c r="C188" s="3">
        <v>232.69139583908</v>
      </c>
    </row>
    <row r="189" spans="1:3" x14ac:dyDescent="0.2">
      <c r="A189" s="1">
        <f ca="1">IFERROR(__xludf.DUMMYFUNCTION("""COMPUTED_VALUE"""),45265.6666666666)</f>
        <v>45265.666666666599</v>
      </c>
      <c r="B189" s="2">
        <f ca="1">IFERROR(__xludf.DUMMYFUNCTION("""COMPUTED_VALUE"""),238.72)</f>
        <v>238.72</v>
      </c>
      <c r="C189" s="3">
        <v>234.83210264839599</v>
      </c>
    </row>
    <row r="190" spans="1:3" x14ac:dyDescent="0.2">
      <c r="A190" s="1">
        <f ca="1">IFERROR(__xludf.DUMMYFUNCTION("""COMPUTED_VALUE"""),45266.6666666666)</f>
        <v>45266.666666666599</v>
      </c>
      <c r="B190" s="2">
        <f ca="1">IFERROR(__xludf.DUMMYFUNCTION("""COMPUTED_VALUE"""),239.37)</f>
        <v>239.37</v>
      </c>
      <c r="C190" s="3">
        <v>233.79244886643599</v>
      </c>
    </row>
    <row r="191" spans="1:3" x14ac:dyDescent="0.2">
      <c r="A191" s="1">
        <f ca="1">IFERROR(__xludf.DUMMYFUNCTION("""COMPUTED_VALUE"""),45267.6666666666)</f>
        <v>45267.666666666599</v>
      </c>
      <c r="B191" s="2">
        <f ca="1">IFERROR(__xludf.DUMMYFUNCTION("""COMPUTED_VALUE"""),242.64)</f>
        <v>242.64</v>
      </c>
      <c r="C191" s="3">
        <v>232.574145087587</v>
      </c>
    </row>
    <row r="192" spans="1:3" x14ac:dyDescent="0.2">
      <c r="A192" s="1">
        <f ca="1">IFERROR(__xludf.DUMMYFUNCTION("""COMPUTED_VALUE"""),45268.6666666666)</f>
        <v>45268.666666666599</v>
      </c>
      <c r="B192" s="2">
        <f ca="1">IFERROR(__xludf.DUMMYFUNCTION("""COMPUTED_VALUE"""),243.84)</f>
        <v>243.84</v>
      </c>
      <c r="C192" s="3">
        <v>232.29222902709299</v>
      </c>
    </row>
    <row r="193" spans="1:3" x14ac:dyDescent="0.2">
      <c r="A193" s="1">
        <f ca="1">IFERROR(__xludf.DUMMYFUNCTION("""COMPUTED_VALUE"""),45271.6666666666)</f>
        <v>45271.666666666599</v>
      </c>
      <c r="B193" s="2">
        <f ca="1">IFERROR(__xludf.DUMMYFUNCTION("""COMPUTED_VALUE"""),239.74)</f>
        <v>239.74</v>
      </c>
      <c r="C193" s="3">
        <v>231.39388571742299</v>
      </c>
    </row>
    <row r="194" spans="1:3" x14ac:dyDescent="0.2">
      <c r="A194" s="1">
        <f ca="1">IFERROR(__xludf.DUMMYFUNCTION("""COMPUTED_VALUE"""),45272.6666666666)</f>
        <v>45272.666666666599</v>
      </c>
      <c r="B194" s="2">
        <f ca="1">IFERROR(__xludf.DUMMYFUNCTION("""COMPUTED_VALUE"""),237.01)</f>
        <v>237.01</v>
      </c>
      <c r="C194" s="3">
        <v>233.53459252673099</v>
      </c>
    </row>
    <row r="195" spans="1:3" x14ac:dyDescent="0.2">
      <c r="A195" s="1">
        <f ca="1">IFERROR(__xludf.DUMMYFUNCTION("""COMPUTED_VALUE"""),45273.6666666666)</f>
        <v>45273.666666666599</v>
      </c>
      <c r="B195" s="2">
        <f ca="1">IFERROR(__xludf.DUMMYFUNCTION("""COMPUTED_VALUE"""),239.29)</f>
        <v>239.29</v>
      </c>
      <c r="C195" s="3">
        <v>232.34695554800101</v>
      </c>
    </row>
    <row r="196" spans="1:3" x14ac:dyDescent="0.2">
      <c r="A196" s="1">
        <f ca="1">IFERROR(__xludf.DUMMYFUNCTION("""COMPUTED_VALUE"""),45274.6666666666)</f>
        <v>45274.666666666599</v>
      </c>
      <c r="B196" s="2">
        <f ca="1">IFERROR(__xludf.DUMMYFUNCTION("""COMPUTED_VALUE"""),251.05)</f>
        <v>251.05</v>
      </c>
      <c r="C196" s="3">
        <v>230.98066857237799</v>
      </c>
    </row>
    <row r="197" spans="1:3" x14ac:dyDescent="0.2">
      <c r="A197" s="1">
        <f ca="1">IFERROR(__xludf.DUMMYFUNCTION("""COMPUTED_VALUE"""),45275.6666666666)</f>
        <v>45275.666666666599</v>
      </c>
      <c r="B197" s="2">
        <f ca="1">IFERROR(__xludf.DUMMYFUNCTION("""COMPUTED_VALUE"""),253.5)</f>
        <v>253.5</v>
      </c>
      <c r="C197" s="3">
        <v>230.550769315103</v>
      </c>
    </row>
    <row r="198" spans="1:3" x14ac:dyDescent="0.2">
      <c r="A198" s="1">
        <f ca="1">IFERROR(__xludf.DUMMYFUNCTION("""COMPUTED_VALUE"""),45278.6666666666)</f>
        <v>45278.666666666599</v>
      </c>
      <c r="B198" s="2">
        <f ca="1">IFERROR(__xludf.DUMMYFUNCTION("""COMPUTED_VALUE"""),252.08)</f>
        <v>252.08</v>
      </c>
      <c r="C198" s="3">
        <v>229.20847641510099</v>
      </c>
    </row>
    <row r="199" spans="1:3" x14ac:dyDescent="0.2">
      <c r="A199" s="1">
        <f ca="1">IFERROR(__xludf.DUMMYFUNCTION("""COMPUTED_VALUE"""),45279.6666666666)</f>
        <v>45279.666666666599</v>
      </c>
      <c r="B199" s="2">
        <f ca="1">IFERROR(__xludf.DUMMYFUNCTION("""COMPUTED_VALUE"""),257.22)</f>
        <v>257.22000000000003</v>
      </c>
      <c r="C199" s="3">
        <v>231.201200027639</v>
      </c>
    </row>
    <row r="200" spans="1:3" x14ac:dyDescent="0.2">
      <c r="A200" s="1">
        <f ca="1">IFERROR(__xludf.DUMMYFUNCTION("""COMPUTED_VALUE"""),45280.6666666666)</f>
        <v>45280.666666666599</v>
      </c>
      <c r="B200" s="2">
        <f ca="1">IFERROR(__xludf.DUMMYFUNCTION("""COMPUTED_VALUE"""),247.14)</f>
        <v>247.14</v>
      </c>
      <c r="C200" s="3">
        <v>230.01356304890399</v>
      </c>
    </row>
    <row r="201" spans="1:3" x14ac:dyDescent="0.2">
      <c r="A201" s="1">
        <f ca="1">IFERROR(__xludf.DUMMYFUNCTION("""COMPUTED_VALUE"""),45281.6666666666)</f>
        <v>45281.666666666599</v>
      </c>
      <c r="B201" s="2">
        <f ca="1">IFERROR(__xludf.DUMMYFUNCTION("""COMPUTED_VALUE"""),254.5)</f>
        <v>254.5</v>
      </c>
      <c r="C201" s="3">
        <v>228.64727607328101</v>
      </c>
    </row>
    <row r="202" spans="1:3" x14ac:dyDescent="0.2">
      <c r="A202" s="1">
        <f ca="1">IFERROR(__xludf.DUMMYFUNCTION("""COMPUTED_VALUE"""),45282.6666666666)</f>
        <v>45282.666666666599</v>
      </c>
      <c r="B202" s="2">
        <f ca="1">IFERROR(__xludf.DUMMYFUNCTION("""COMPUTED_VALUE"""),252.54)</f>
        <v>252.54</v>
      </c>
      <c r="C202" s="3">
        <v>228.217376816007</v>
      </c>
    </row>
    <row r="203" spans="1:3" x14ac:dyDescent="0.2">
      <c r="A203" s="1">
        <f ca="1">IFERROR(__xludf.DUMMYFUNCTION("""COMPUTED_VALUE"""),45286.6666666666)</f>
        <v>45286.666666666599</v>
      </c>
      <c r="B203" s="2">
        <f ca="1">IFERROR(__xludf.DUMMYFUNCTION("""COMPUTED_VALUE"""),256.61)</f>
        <v>256.61</v>
      </c>
      <c r="C203" s="3">
        <v>228.05695470058899</v>
      </c>
    </row>
    <row r="204" spans="1:3" x14ac:dyDescent="0.2">
      <c r="A204" s="1">
        <f ca="1">IFERROR(__xludf.DUMMYFUNCTION("""COMPUTED_VALUE"""),45287.6666666666)</f>
        <v>45287.666666666599</v>
      </c>
      <c r="B204" s="2">
        <f ca="1">IFERROR(__xludf.DUMMYFUNCTION("""COMPUTED_VALUE"""),261.44)</f>
        <v>261.44</v>
      </c>
      <c r="C204" s="3">
        <v>226.66660451486399</v>
      </c>
    </row>
    <row r="205" spans="1:3" x14ac:dyDescent="0.2">
      <c r="A205" s="1">
        <f ca="1">IFERROR(__xludf.DUMMYFUNCTION("""COMPUTED_VALUE"""),45288.6666666666)</f>
        <v>45288.666666666599</v>
      </c>
      <c r="B205" s="2">
        <f ca="1">IFERROR(__xludf.DUMMYFUNCTION("""COMPUTED_VALUE"""),253.18)</f>
        <v>253.18</v>
      </c>
      <c r="C205" s="3">
        <v>225.09760433225699</v>
      </c>
    </row>
    <row r="206" spans="1:3" x14ac:dyDescent="0.2">
      <c r="A206" s="1">
        <f ca="1">IFERROR(__xludf.DUMMYFUNCTION("""COMPUTED_VALUE"""),45289.6666666666)</f>
        <v>45289.666666666599</v>
      </c>
      <c r="B206" s="2">
        <f ca="1">IFERROR(__xludf.DUMMYFUNCTION("""COMPUTED_VALUE"""),248.48)</f>
        <v>248.48</v>
      </c>
      <c r="C206" s="3">
        <v>224.46499186799801</v>
      </c>
    </row>
    <row r="207" spans="1:3" x14ac:dyDescent="0.2">
      <c r="A207" s="1">
        <f ca="1">IFERROR(__xludf.DUMMYFUNCTION("""COMPUTED_VALUE"""),45293.6666666666)</f>
        <v>45293.666666666599</v>
      </c>
      <c r="B207" s="2">
        <f ca="1">IFERROR(__xludf.DUMMYFUNCTION("""COMPUTED_VALUE"""),248.42)</f>
        <v>248.42</v>
      </c>
      <c r="C207" s="3">
        <v>224.30456975256399</v>
      </c>
    </row>
    <row r="208" spans="1:3" x14ac:dyDescent="0.2">
      <c r="A208" s="1">
        <f ca="1">IFERROR(__xludf.DUMMYFUNCTION("""COMPUTED_VALUE"""),45294.6666666666)</f>
        <v>45294.666666666599</v>
      </c>
      <c r="B208" s="2">
        <f ca="1">IFERROR(__xludf.DUMMYFUNCTION("""COMPUTED_VALUE"""),238.45)</f>
        <v>238.45</v>
      </c>
      <c r="C208" s="3">
        <v>222.91421956684201</v>
      </c>
    </row>
    <row r="209" spans="1:3" x14ac:dyDescent="0.2">
      <c r="A209" s="1">
        <f ca="1">IFERROR(__xludf.DUMMYFUNCTION("""COMPUTED_VALUE"""),45295.6666666666)</f>
        <v>45295.666666666599</v>
      </c>
      <c r="B209" s="2">
        <f ca="1">IFERROR(__xludf.DUMMYFUNCTION("""COMPUTED_VALUE"""),237.93)</f>
        <v>237.93</v>
      </c>
      <c r="C209" s="3">
        <v>221.345219384236</v>
      </c>
    </row>
    <row r="210" spans="1:3" x14ac:dyDescent="0.2">
      <c r="A210" s="1">
        <f ca="1">IFERROR(__xludf.DUMMYFUNCTION("""COMPUTED_VALUE"""),45296.6666666666)</f>
        <v>45296.666666666599</v>
      </c>
      <c r="B210" s="2">
        <f ca="1">IFERROR(__xludf.DUMMYFUNCTION("""COMPUTED_VALUE"""),237.49)</f>
        <v>237.49</v>
      </c>
      <c r="C210" s="3">
        <v>220.712606919976</v>
      </c>
    </row>
    <row r="211" spans="1:3" x14ac:dyDescent="0.2">
      <c r="A211" s="1">
        <f ca="1">IFERROR(__xludf.DUMMYFUNCTION("""COMPUTED_VALUE"""),45299.6666666666)</f>
        <v>45299.666666666599</v>
      </c>
      <c r="B211" s="2">
        <f ca="1">IFERROR(__xludf.DUMMYFUNCTION("""COMPUTED_VALUE"""),240.45)</f>
        <v>240.45</v>
      </c>
      <c r="C211" s="3">
        <v>218.762174399006</v>
      </c>
    </row>
    <row r="212" spans="1:3" x14ac:dyDescent="0.2">
      <c r="A212" s="1">
        <f ca="1">IFERROR(__xludf.DUMMYFUNCTION("""COMPUTED_VALUE"""),45300.6666666666)</f>
        <v>45300.666666666599</v>
      </c>
      <c r="B212" s="2">
        <f ca="1">IFERROR(__xludf.DUMMYFUNCTION("""COMPUTED_VALUE"""),234.96)</f>
        <v>234.96</v>
      </c>
      <c r="C212" s="3">
        <v>220.55218480454701</v>
      </c>
    </row>
    <row r="213" spans="1:3" x14ac:dyDescent="0.2">
      <c r="A213" s="1">
        <f ca="1">IFERROR(__xludf.DUMMYFUNCTION("""COMPUTED_VALUE"""),45301.6666666666)</f>
        <v>45301.666666666599</v>
      </c>
      <c r="B213" s="2">
        <f ca="1">IFERROR(__xludf.DUMMYFUNCTION("""COMPUTED_VALUE"""),233.94)</f>
        <v>233.94</v>
      </c>
      <c r="C213" s="3">
        <v>219.161834618825</v>
      </c>
    </row>
    <row r="214" spans="1:3" x14ac:dyDescent="0.2">
      <c r="A214" s="1">
        <f ca="1">IFERROR(__xludf.DUMMYFUNCTION("""COMPUTED_VALUE"""),45302.6666666666)</f>
        <v>45302.666666666599</v>
      </c>
      <c r="B214" s="2">
        <f ca="1">IFERROR(__xludf.DUMMYFUNCTION("""COMPUTED_VALUE"""),227.22)</f>
        <v>227.22</v>
      </c>
      <c r="C214" s="3">
        <v>217.59283443621999</v>
      </c>
    </row>
    <row r="215" spans="1:3" x14ac:dyDescent="0.2">
      <c r="A215" s="1">
        <f ca="1">IFERROR(__xludf.DUMMYFUNCTION("""COMPUTED_VALUE"""),45303.6666666666)</f>
        <v>45303.666666666599</v>
      </c>
      <c r="B215" s="2">
        <f ca="1">IFERROR(__xludf.DUMMYFUNCTION("""COMPUTED_VALUE"""),218.89)</f>
        <v>218.89</v>
      </c>
      <c r="C215" s="3">
        <v>216.96022197195501</v>
      </c>
    </row>
    <row r="216" spans="1:3" x14ac:dyDescent="0.2">
      <c r="A216" s="1">
        <f ca="1">IFERROR(__xludf.DUMMYFUNCTION("""COMPUTED_VALUE"""),45307.6666666666)</f>
        <v>45307.666666666599</v>
      </c>
      <c r="B216" s="2">
        <f ca="1">IFERROR(__xludf.DUMMYFUNCTION("""COMPUTED_VALUE"""),219.91)</f>
        <v>219.91</v>
      </c>
      <c r="C216" s="3">
        <v>216.79979985653</v>
      </c>
    </row>
    <row r="217" spans="1:3" x14ac:dyDescent="0.2">
      <c r="A217" s="1">
        <f ca="1">IFERROR(__xludf.DUMMYFUNCTION("""COMPUTED_VALUE"""),45308.6666666666)</f>
        <v>45308.666666666599</v>
      </c>
      <c r="B217" s="2">
        <f ca="1">IFERROR(__xludf.DUMMYFUNCTION("""COMPUTED_VALUE"""),215.55)</f>
        <v>215.55</v>
      </c>
      <c r="C217" s="3">
        <v>215.40944967080401</v>
      </c>
    </row>
    <row r="218" spans="1:3" x14ac:dyDescent="0.2">
      <c r="A218" s="1">
        <f ca="1">IFERROR(__xludf.DUMMYFUNCTION("""COMPUTED_VALUE"""),45309.6666666666)</f>
        <v>45309.666666666599</v>
      </c>
      <c r="B218" s="2">
        <f ca="1">IFERROR(__xludf.DUMMYFUNCTION("""COMPUTED_VALUE"""),211.88)</f>
        <v>211.88</v>
      </c>
      <c r="C218" s="3">
        <v>213.840449488198</v>
      </c>
    </row>
    <row r="219" spans="1:3" x14ac:dyDescent="0.2">
      <c r="A219" s="1">
        <f ca="1">IFERROR(__xludf.DUMMYFUNCTION("""COMPUTED_VALUE"""),45310.6666666666)</f>
        <v>45310.666666666599</v>
      </c>
      <c r="B219" s="2">
        <f ca="1">IFERROR(__xludf.DUMMYFUNCTION("""COMPUTED_VALUE"""),212.19)</f>
        <v>212.19</v>
      </c>
      <c r="C219" s="3">
        <v>213.20783702393399</v>
      </c>
    </row>
    <row r="220" spans="1:3" x14ac:dyDescent="0.2">
      <c r="A220" s="1">
        <f ca="1">IFERROR(__xludf.DUMMYFUNCTION("""COMPUTED_VALUE"""),45313.6666666666)</f>
        <v>45313.666666666599</v>
      </c>
      <c r="B220" s="2">
        <f ca="1">IFERROR(__xludf.DUMMYFUNCTION("""COMPUTED_VALUE"""),208.8)</f>
        <v>208.8</v>
      </c>
      <c r="C220" s="3">
        <v>211.25740450296499</v>
      </c>
    </row>
    <row r="221" spans="1:3" x14ac:dyDescent="0.2">
      <c r="A221" s="1">
        <f ca="1">IFERROR(__xludf.DUMMYFUNCTION("""COMPUTED_VALUE"""),45314.6666666666)</f>
        <v>45314.666666666599</v>
      </c>
      <c r="B221" s="2">
        <f ca="1">IFERROR(__xludf.DUMMYFUNCTION("""COMPUTED_VALUE"""),209.14)</f>
        <v>209.14</v>
      </c>
      <c r="C221" s="3">
        <v>213.047414908512</v>
      </c>
    </row>
    <row r="222" spans="1:3" x14ac:dyDescent="0.2">
      <c r="A222" s="1">
        <f ca="1">IFERROR(__xludf.DUMMYFUNCTION("""COMPUTED_VALUE"""),45315.6666666666)</f>
        <v>45315.666666666599</v>
      </c>
      <c r="B222" s="2">
        <f ca="1">IFERROR(__xludf.DUMMYFUNCTION("""COMPUTED_VALUE"""),207.83)</f>
        <v>207.83</v>
      </c>
      <c r="C222" s="3">
        <v>211.65706472279001</v>
      </c>
    </row>
    <row r="223" spans="1:3" x14ac:dyDescent="0.2">
      <c r="A223" s="1">
        <f ca="1">IFERROR(__xludf.DUMMYFUNCTION("""COMPUTED_VALUE"""),45316.6666666666)</f>
        <v>45316.666666666599</v>
      </c>
      <c r="B223" s="2">
        <f ca="1">IFERROR(__xludf.DUMMYFUNCTION("""COMPUTED_VALUE"""),182.63)</f>
        <v>182.63</v>
      </c>
      <c r="C223" s="3">
        <v>210.08806454018199</v>
      </c>
    </row>
    <row r="224" spans="1:3" x14ac:dyDescent="0.2">
      <c r="A224" s="1">
        <f ca="1">IFERROR(__xludf.DUMMYFUNCTION("""COMPUTED_VALUE"""),45317.6666666666)</f>
        <v>45317.666666666599</v>
      </c>
      <c r="B224" s="2">
        <f ca="1">IFERROR(__xludf.DUMMYFUNCTION("""COMPUTED_VALUE"""),183.25)</f>
        <v>183.25</v>
      </c>
      <c r="C224" s="3">
        <v>209.455452075919</v>
      </c>
    </row>
    <row r="225" spans="1:3" x14ac:dyDescent="0.2">
      <c r="A225" s="1">
        <f ca="1">IFERROR(__xludf.DUMMYFUNCTION("""COMPUTED_VALUE"""),45320.6666666666)</f>
        <v>45320.666666666599</v>
      </c>
      <c r="B225" s="2">
        <f ca="1">IFERROR(__xludf.DUMMYFUNCTION("""COMPUTED_VALUE"""),190.93)</f>
        <v>190.93</v>
      </c>
      <c r="C225" s="3">
        <v>207.50501955495</v>
      </c>
    </row>
    <row r="226" spans="1:3" x14ac:dyDescent="0.2">
      <c r="A226" s="1">
        <f ca="1">IFERROR(__xludf.DUMMYFUNCTION("""COMPUTED_VALUE"""),45321.6666666666)</f>
        <v>45321.666666666599</v>
      </c>
      <c r="B226" s="2">
        <f ca="1">IFERROR(__xludf.DUMMYFUNCTION("""COMPUTED_VALUE"""),191.59)</f>
        <v>191.59</v>
      </c>
      <c r="C226" s="3">
        <v>209.29502996049499</v>
      </c>
    </row>
    <row r="227" spans="1:3" x14ac:dyDescent="0.2">
      <c r="A227" s="1">
        <f ca="1">IFERROR(__xludf.DUMMYFUNCTION("""COMPUTED_VALUE"""),45322.6666666666)</f>
        <v>45322.666666666599</v>
      </c>
      <c r="B227" s="2">
        <f ca="1">IFERROR(__xludf.DUMMYFUNCTION("""COMPUTED_VALUE"""),187.29)</f>
        <v>187.29</v>
      </c>
      <c r="C227" s="3">
        <v>207.90467977477101</v>
      </c>
    </row>
    <row r="228" spans="1:3" x14ac:dyDescent="0.2">
      <c r="A228" s="1">
        <f ca="1">IFERROR(__xludf.DUMMYFUNCTION("""COMPUTED_VALUE"""),45323.6666666666)</f>
        <v>45323.666666666599</v>
      </c>
      <c r="B228" s="2">
        <f ca="1">IFERROR(__xludf.DUMMYFUNCTION("""COMPUTED_VALUE"""),188.86)</f>
        <v>188.86</v>
      </c>
      <c r="C228" s="3">
        <v>206.33567959216001</v>
      </c>
    </row>
    <row r="229" spans="1:3" x14ac:dyDescent="0.2">
      <c r="A229" s="1">
        <f ca="1">IFERROR(__xludf.DUMMYFUNCTION("""COMPUTED_VALUE"""),45324.6666666666)</f>
        <v>45324.666666666599</v>
      </c>
      <c r="B229" s="2">
        <f ca="1">IFERROR(__xludf.DUMMYFUNCTION("""COMPUTED_VALUE"""),187.91)</f>
        <v>187.91</v>
      </c>
      <c r="C229" s="3">
        <v>205.703067127905</v>
      </c>
    </row>
    <row r="230" spans="1:3" x14ac:dyDescent="0.2">
      <c r="A230" s="1">
        <f ca="1">IFERROR(__xludf.DUMMYFUNCTION("""COMPUTED_VALUE"""),45327.6666666666)</f>
        <v>45327.666666666599</v>
      </c>
      <c r="B230" s="2">
        <f ca="1">IFERROR(__xludf.DUMMYFUNCTION("""COMPUTED_VALUE"""),181.06)</f>
        <v>181.06</v>
      </c>
      <c r="C230" s="3">
        <v>203.75263460693299</v>
      </c>
    </row>
    <row r="231" spans="1:3" x14ac:dyDescent="0.2">
      <c r="A231" s="1">
        <f ca="1">IFERROR(__xludf.DUMMYFUNCTION("""COMPUTED_VALUE"""),45328.6666666666)</f>
        <v>45328.666666666599</v>
      </c>
      <c r="B231" s="2">
        <f ca="1">IFERROR(__xludf.DUMMYFUNCTION("""COMPUTED_VALUE"""),185.1)</f>
        <v>185.1</v>
      </c>
      <c r="C231" s="3">
        <v>205.542645012478</v>
      </c>
    </row>
    <row r="232" spans="1:3" x14ac:dyDescent="0.2">
      <c r="A232" s="1">
        <f ca="1">IFERROR(__xludf.DUMMYFUNCTION("""COMPUTED_VALUE"""),45329.6666666666)</f>
        <v>45329.666666666599</v>
      </c>
      <c r="B232" s="2">
        <f ca="1">IFERROR(__xludf.DUMMYFUNCTION("""COMPUTED_VALUE"""),187.58)</f>
        <v>187.58</v>
      </c>
      <c r="C232" s="3">
        <v>204.15229482675201</v>
      </c>
    </row>
    <row r="233" spans="1:3" x14ac:dyDescent="0.2">
      <c r="A233" s="1">
        <f ca="1">IFERROR(__xludf.DUMMYFUNCTION("""COMPUTED_VALUE"""),45330.6666666666)</f>
        <v>45330.666666666599</v>
      </c>
      <c r="B233" s="2">
        <f ca="1">IFERROR(__xludf.DUMMYFUNCTION("""COMPUTED_VALUE"""),189.56)</f>
        <v>189.56</v>
      </c>
      <c r="C233" s="3">
        <v>202.583294644143</v>
      </c>
    </row>
    <row r="234" spans="1:3" x14ac:dyDescent="0.2">
      <c r="A234" s="1">
        <f ca="1">IFERROR(__xludf.DUMMYFUNCTION("""COMPUTED_VALUE"""),45331.6666666666)</f>
        <v>45331.666666666599</v>
      </c>
      <c r="B234" s="2">
        <f ca="1">IFERROR(__xludf.DUMMYFUNCTION("""COMPUTED_VALUE"""),193.57)</f>
        <v>193.57</v>
      </c>
      <c r="C234" s="3">
        <v>201.950682179876</v>
      </c>
    </row>
    <row r="235" spans="1:3" x14ac:dyDescent="0.2">
      <c r="A235" s="1">
        <f ca="1">IFERROR(__xludf.DUMMYFUNCTION("""COMPUTED_VALUE"""),45334.6666666666)</f>
        <v>45334.666666666599</v>
      </c>
      <c r="B235" s="2">
        <f ca="1">IFERROR(__xludf.DUMMYFUNCTION("""COMPUTED_VALUE"""),188.13)</f>
        <v>188.13</v>
      </c>
      <c r="C235" s="3">
        <v>200.00024965891001</v>
      </c>
    </row>
    <row r="236" spans="1:3" x14ac:dyDescent="0.2">
      <c r="A236" s="1">
        <f ca="1">IFERROR(__xludf.DUMMYFUNCTION("""COMPUTED_VALUE"""),45335.6666666666)</f>
        <v>45335.666666666599</v>
      </c>
      <c r="B236" s="2">
        <f ca="1">IFERROR(__xludf.DUMMYFUNCTION("""COMPUTED_VALUE"""),184.02)</f>
        <v>184.02</v>
      </c>
      <c r="C236" s="3">
        <v>201.79026006446099</v>
      </c>
    </row>
    <row r="237" spans="1:3" x14ac:dyDescent="0.2">
      <c r="A237" s="1">
        <f ca="1">IFERROR(__xludf.DUMMYFUNCTION("""COMPUTED_VALUE"""),45336.6666666666)</f>
        <v>45336.666666666599</v>
      </c>
      <c r="B237" s="2">
        <f ca="1">IFERROR(__xludf.DUMMYFUNCTION("""COMPUTED_VALUE"""),188.71)</f>
        <v>188.71</v>
      </c>
      <c r="C237" s="3">
        <v>200.39990987873099</v>
      </c>
    </row>
    <row r="238" spans="1:3" x14ac:dyDescent="0.2">
      <c r="A238" s="1">
        <f ca="1">IFERROR(__xludf.DUMMYFUNCTION("""COMPUTED_VALUE"""),45337.6666666666)</f>
        <v>45337.666666666599</v>
      </c>
      <c r="B238" s="2">
        <f ca="1">IFERROR(__xludf.DUMMYFUNCTION("""COMPUTED_VALUE"""),200.45)</f>
        <v>200.45</v>
      </c>
      <c r="C238" s="3">
        <v>198.83090969612201</v>
      </c>
    </row>
    <row r="239" spans="1:3" x14ac:dyDescent="0.2">
      <c r="A239" s="1">
        <f ca="1">IFERROR(__xludf.DUMMYFUNCTION("""COMPUTED_VALUE"""),45338.6666666666)</f>
        <v>45338.666666666599</v>
      </c>
      <c r="B239" s="2">
        <f ca="1">IFERROR(__xludf.DUMMYFUNCTION("""COMPUTED_VALUE"""),199.95)</f>
        <v>199.95</v>
      </c>
      <c r="C239" s="3">
        <v>198.198297231856</v>
      </c>
    </row>
    <row r="240" spans="1:3" x14ac:dyDescent="0.2">
      <c r="A240" s="1">
        <f ca="1">IFERROR(__xludf.DUMMYFUNCTION("""COMPUTED_VALUE"""),45342.6666666666)</f>
        <v>45342.666666666599</v>
      </c>
      <c r="B240" s="2">
        <f ca="1">IFERROR(__xludf.DUMMYFUNCTION("""COMPUTED_VALUE"""),193.76)</f>
        <v>193.76</v>
      </c>
      <c r="C240" s="3">
        <v>198.037875116435</v>
      </c>
    </row>
    <row r="241" spans="1:3" x14ac:dyDescent="0.2">
      <c r="A241" s="1">
        <f ca="1">IFERROR(__xludf.DUMMYFUNCTION("""COMPUTED_VALUE"""),45343.6666666666)</f>
        <v>45343.666666666599</v>
      </c>
      <c r="B241" s="2">
        <f ca="1">IFERROR(__xludf.DUMMYFUNCTION("""COMPUTED_VALUE"""),194.77)</f>
        <v>194.77</v>
      </c>
      <c r="C241" s="3">
        <v>196.64752493070901</v>
      </c>
    </row>
    <row r="242" spans="1:3" x14ac:dyDescent="0.2">
      <c r="A242" s="1">
        <f ca="1">IFERROR(__xludf.DUMMYFUNCTION("""COMPUTED_VALUE"""),45344.6666666666)</f>
        <v>45344.666666666599</v>
      </c>
      <c r="B242" s="2">
        <f ca="1">IFERROR(__xludf.DUMMYFUNCTION("""COMPUTED_VALUE"""),197.41)</f>
        <v>197.41</v>
      </c>
      <c r="C242" s="3">
        <v>195.078524748105</v>
      </c>
    </row>
    <row r="243" spans="1:3" x14ac:dyDescent="0.2">
      <c r="A243" s="1">
        <f ca="1">IFERROR(__xludf.DUMMYFUNCTION("""COMPUTED_VALUE"""),45345.6666666666)</f>
        <v>45345.666666666599</v>
      </c>
      <c r="B243" s="2">
        <f ca="1">IFERROR(__xludf.DUMMYFUNCTION("""COMPUTED_VALUE"""),191.97)</f>
        <v>191.97</v>
      </c>
      <c r="C243" s="3">
        <v>194.44591228384601</v>
      </c>
    </row>
    <row r="244" spans="1:3" x14ac:dyDescent="0.2">
      <c r="A244" s="1">
        <f ca="1">IFERROR(__xludf.DUMMYFUNCTION("""COMPUTED_VALUE"""),45348.6666666666)</f>
        <v>45348.666666666599</v>
      </c>
      <c r="B244" s="2">
        <f ca="1">IFERROR(__xludf.DUMMYFUNCTION("""COMPUTED_VALUE"""),199.4)</f>
        <v>199.4</v>
      </c>
      <c r="C244" s="3">
        <v>192.49547976287201</v>
      </c>
    </row>
    <row r="245" spans="1:3" x14ac:dyDescent="0.2">
      <c r="A245" s="1">
        <f ca="1">IFERROR(__xludf.DUMMYFUNCTION("""COMPUTED_VALUE"""),45349.6666666666)</f>
        <v>45349.666666666599</v>
      </c>
      <c r="B245" s="2">
        <f ca="1">IFERROR(__xludf.DUMMYFUNCTION("""COMPUTED_VALUE"""),199.73)</f>
        <v>199.73</v>
      </c>
      <c r="C245" s="3">
        <v>194.28549016841799</v>
      </c>
    </row>
    <row r="246" spans="1:3" x14ac:dyDescent="0.2">
      <c r="A246" s="1">
        <f ca="1">IFERROR(__xludf.DUMMYFUNCTION("""COMPUTED_VALUE"""),45350.6666666666)</f>
        <v>45350.666666666599</v>
      </c>
      <c r="B246" s="2">
        <f ca="1">IFERROR(__xludf.DUMMYFUNCTION("""COMPUTED_VALUE"""),202.04)</f>
        <v>202.04</v>
      </c>
      <c r="C246" s="3">
        <v>192.895139982698</v>
      </c>
    </row>
    <row r="247" spans="1:3" x14ac:dyDescent="0.2">
      <c r="A247" s="1">
        <f ca="1">IFERROR(__xludf.DUMMYFUNCTION("""COMPUTED_VALUE"""),45351.6666666666)</f>
        <v>45351.666666666599</v>
      </c>
      <c r="B247" s="2">
        <f ca="1">IFERROR(__xludf.DUMMYFUNCTION("""COMPUTED_VALUE"""),201.88)</f>
        <v>201.88</v>
      </c>
      <c r="C247" s="3">
        <v>191.32613980008401</v>
      </c>
    </row>
    <row r="248" spans="1:3" x14ac:dyDescent="0.2">
      <c r="A248" s="1">
        <f ca="1">IFERROR(__xludf.DUMMYFUNCTION("""COMPUTED_VALUE"""),45352.6666666666)</f>
        <v>45352.666666666599</v>
      </c>
      <c r="B248" s="2">
        <f ca="1">IFERROR(__xludf.DUMMYFUNCTION("""COMPUTED_VALUE"""),202.64)</f>
        <v>202.64</v>
      </c>
      <c r="C248" s="3">
        <v>190.69352733582599</v>
      </c>
    </row>
    <row r="249" spans="1:3" x14ac:dyDescent="0.2">
      <c r="A249" s="1">
        <f ca="1">IFERROR(__xludf.DUMMYFUNCTION("""COMPUTED_VALUE"""),45355.6666666666)</f>
        <v>45355.666666666599</v>
      </c>
      <c r="B249" s="2">
        <f ca="1">IFERROR(__xludf.DUMMYFUNCTION("""COMPUTED_VALUE"""),188.14)</f>
        <v>188.14</v>
      </c>
      <c r="C249" s="3">
        <v>188.743094814855</v>
      </c>
    </row>
    <row r="250" spans="1:3" x14ac:dyDescent="0.2">
      <c r="A250" s="1">
        <f ca="1">IFERROR(__xludf.DUMMYFUNCTION("""COMPUTED_VALUE"""),45356.6666666666)</f>
        <v>45356.666666666599</v>
      </c>
      <c r="B250" s="2">
        <f ca="1">IFERROR(__xludf.DUMMYFUNCTION("""COMPUTED_VALUE"""),180.74)</f>
        <v>180.74</v>
      </c>
      <c r="C250" s="3">
        <v>190.53310522040101</v>
      </c>
    </row>
    <row r="251" spans="1:3" x14ac:dyDescent="0.2">
      <c r="A251" s="1">
        <f ca="1">IFERROR(__xludf.DUMMYFUNCTION("""COMPUTED_VALUE"""),45357.6666666666)</f>
        <v>45357.666666666599</v>
      </c>
      <c r="B251" s="2">
        <f ca="1">IFERROR(__xludf.DUMMYFUNCTION("""COMPUTED_VALUE"""),176.54)</f>
        <v>176.54</v>
      </c>
      <c r="C251" s="3">
        <v>189.14275503468099</v>
      </c>
    </row>
    <row r="252" spans="1:3" x14ac:dyDescent="0.2">
      <c r="A252" s="1">
        <f ca="1">IFERROR(__xludf.DUMMYFUNCTION("""COMPUTED_VALUE"""),45358.6666666666)</f>
        <v>45358.666666666599</v>
      </c>
      <c r="B252" s="2">
        <f ca="1">IFERROR(__xludf.DUMMYFUNCTION("""COMPUTED_VALUE"""),178.65)</f>
        <v>178.65</v>
      </c>
      <c r="C252" s="3">
        <v>187.573754852071</v>
      </c>
    </row>
    <row r="253" spans="1:3" x14ac:dyDescent="0.2">
      <c r="A253" s="1">
        <f ca="1">IFERROR(__xludf.DUMMYFUNCTION("""COMPUTED_VALUE"""),45359.6666666666)</f>
        <v>45359.666666666599</v>
      </c>
      <c r="B253" s="2">
        <f ca="1">IFERROR(__xludf.DUMMYFUNCTION("""COMPUTED_VALUE"""),175.34)</f>
        <v>175.34</v>
      </c>
      <c r="C253" s="3">
        <v>186.941142387811</v>
      </c>
    </row>
    <row r="254" spans="1:3" x14ac:dyDescent="0.2">
      <c r="A254" s="1"/>
      <c r="C254" s="3">
        <v>190.155559256142</v>
      </c>
    </row>
    <row r="255" spans="1:3" x14ac:dyDescent="0.2">
      <c r="A255" s="1"/>
      <c r="C255" s="3">
        <v>189.619503481766</v>
      </c>
    </row>
    <row r="256" spans="1:3" x14ac:dyDescent="0.2">
      <c r="A256" s="1"/>
      <c r="C256" s="3">
        <v>184.99070986683401</v>
      </c>
    </row>
    <row r="257" spans="1:3" x14ac:dyDescent="0.2">
      <c r="A257" s="1"/>
      <c r="C257" s="3">
        <v>186.780720272384</v>
      </c>
    </row>
    <row r="258" spans="1:3" x14ac:dyDescent="0.2">
      <c r="A258" s="1"/>
      <c r="C258" s="3">
        <v>185.39037008666</v>
      </c>
    </row>
    <row r="259" spans="1:3" x14ac:dyDescent="0.2">
      <c r="A259" s="1"/>
      <c r="C259" s="3">
        <v>183.82136990404999</v>
      </c>
    </row>
    <row r="260" spans="1:3" x14ac:dyDescent="0.2">
      <c r="A260" s="1"/>
      <c r="C260" s="3">
        <v>183.18875743979001</v>
      </c>
    </row>
    <row r="261" spans="1:3" x14ac:dyDescent="0.2">
      <c r="A261" s="1"/>
      <c r="C261" s="3">
        <v>186.403174308118</v>
      </c>
    </row>
    <row r="262" spans="1:3" x14ac:dyDescent="0.2">
      <c r="A262" s="1"/>
      <c r="C262" s="3">
        <v>185.86711853375101</v>
      </c>
    </row>
    <row r="263" spans="1:3" x14ac:dyDescent="0.2">
      <c r="A263" s="1"/>
      <c r="C263" s="3">
        <v>181.23832491881899</v>
      </c>
    </row>
    <row r="264" spans="1:3" x14ac:dyDescent="0.2">
      <c r="A264" s="1"/>
      <c r="C264" s="3">
        <v>183.02833532436699</v>
      </c>
    </row>
    <row r="265" spans="1:3" x14ac:dyDescent="0.2">
      <c r="A265" s="1"/>
      <c r="C265" s="3">
        <v>181.63798513863799</v>
      </c>
    </row>
    <row r="266" spans="1:3" x14ac:dyDescent="0.2">
      <c r="A266" s="1"/>
      <c r="C266" s="3">
        <v>180.06898495603301</v>
      </c>
    </row>
    <row r="267" spans="1:3" x14ac:dyDescent="0.2">
      <c r="A267" s="1"/>
      <c r="C267" s="3">
        <v>179.43637249177499</v>
      </c>
    </row>
    <row r="268" spans="1:3" x14ac:dyDescent="0.2">
      <c r="A268" s="1"/>
      <c r="C268" s="3">
        <v>182.65078936009601</v>
      </c>
    </row>
    <row r="269" spans="1:3" x14ac:dyDescent="0.2">
      <c r="A269" s="1"/>
      <c r="C269" s="3">
        <v>182.11473358572701</v>
      </c>
    </row>
    <row r="270" spans="1:3" x14ac:dyDescent="0.2">
      <c r="A270" s="1"/>
      <c r="C270" s="3">
        <v>177.485939970799</v>
      </c>
    </row>
    <row r="271" spans="1:3" x14ac:dyDescent="0.2">
      <c r="A271" s="1"/>
      <c r="C271" s="3">
        <v>179.27595037634899</v>
      </c>
    </row>
    <row r="272" spans="1:3" x14ac:dyDescent="0.2">
      <c r="A272" s="1"/>
      <c r="C272" s="3">
        <v>177.88560019061899</v>
      </c>
    </row>
    <row r="273" spans="1:3" x14ac:dyDescent="0.2">
      <c r="A273" s="1"/>
      <c r="C273" s="3">
        <v>176.31660000800801</v>
      </c>
    </row>
    <row r="274" spans="1:3" x14ac:dyDescent="0.2">
      <c r="A274" s="1"/>
      <c r="C274" s="3">
        <v>175.68398754374701</v>
      </c>
    </row>
    <row r="275" spans="1:3" x14ac:dyDescent="0.2">
      <c r="A275" s="1"/>
      <c r="C275" s="3">
        <v>178.89840441207201</v>
      </c>
    </row>
    <row r="276" spans="1:3" x14ac:dyDescent="0.2">
      <c r="A276" s="1"/>
      <c r="C276" s="3">
        <v>178.36234863770201</v>
      </c>
    </row>
    <row r="277" spans="1:3" x14ac:dyDescent="0.2">
      <c r="A277" s="1"/>
      <c r="C277" s="3">
        <v>173.73355502278201</v>
      </c>
    </row>
    <row r="278" spans="1:3" x14ac:dyDescent="0.2">
      <c r="A278" s="1"/>
      <c r="C278" s="3">
        <v>175.52356542832501</v>
      </c>
    </row>
    <row r="279" spans="1:3" x14ac:dyDescent="0.2">
      <c r="A279" s="1"/>
      <c r="C279" s="3">
        <v>174.133215242603</v>
      </c>
    </row>
    <row r="280" spans="1:3" x14ac:dyDescent="0.2">
      <c r="A280" s="1"/>
      <c r="C280" s="3">
        <v>172.564215059991</v>
      </c>
    </row>
    <row r="281" spans="1:3" x14ac:dyDescent="0.2">
      <c r="A281" s="1"/>
      <c r="C281" s="3">
        <v>171.93160259573199</v>
      </c>
    </row>
    <row r="282" spans="1:3" x14ac:dyDescent="0.2">
      <c r="A282" s="1"/>
      <c r="C282" s="3">
        <v>175.14601946405901</v>
      </c>
    </row>
    <row r="283" spans="1:3" x14ac:dyDescent="0.2">
      <c r="A283" s="1"/>
      <c r="C283" s="3">
        <v>174.60996368968199</v>
      </c>
    </row>
    <row r="284" spans="1:3" x14ac:dyDescent="0.2">
      <c r="A284" s="1"/>
      <c r="C284" s="4"/>
    </row>
    <row r="285" spans="1:3" x14ac:dyDescent="0.2">
      <c r="A285" s="1"/>
      <c r="C285" s="4"/>
    </row>
    <row r="286" spans="1:3" x14ac:dyDescent="0.2">
      <c r="A286" s="1"/>
      <c r="C286" s="4"/>
    </row>
    <row r="287" spans="1:3" x14ac:dyDescent="0.2">
      <c r="A287" s="1"/>
      <c r="C287" s="4"/>
    </row>
    <row r="288" spans="1:3" x14ac:dyDescent="0.2">
      <c r="A288" s="1"/>
      <c r="C288" s="4"/>
    </row>
    <row r="289" spans="1:3" x14ac:dyDescent="0.2">
      <c r="A289" s="1"/>
      <c r="C289" s="4"/>
    </row>
    <row r="290" spans="1:3" x14ac:dyDescent="0.2">
      <c r="A290" s="1"/>
      <c r="C290" s="4"/>
    </row>
    <row r="291" spans="1:3" x14ac:dyDescent="0.2">
      <c r="A291" s="1"/>
      <c r="C291" s="4"/>
    </row>
    <row r="292" spans="1:3" x14ac:dyDescent="0.2">
      <c r="A292" s="1"/>
      <c r="C292" s="4"/>
    </row>
    <row r="293" spans="1:3" x14ac:dyDescent="0.2">
      <c r="A293" s="1"/>
      <c r="C293" s="4"/>
    </row>
    <row r="294" spans="1:3" x14ac:dyDescent="0.2">
      <c r="A294" s="1"/>
      <c r="C294" s="4"/>
    </row>
    <row r="295" spans="1:3" x14ac:dyDescent="0.2">
      <c r="A295" s="1"/>
      <c r="C295" s="4"/>
    </row>
    <row r="296" spans="1:3" x14ac:dyDescent="0.2">
      <c r="A296" s="1"/>
      <c r="C296" s="4"/>
    </row>
    <row r="297" spans="1:3" x14ac:dyDescent="0.2">
      <c r="A297" s="1"/>
      <c r="C297" s="4"/>
    </row>
    <row r="298" spans="1:3" x14ac:dyDescent="0.2">
      <c r="A298" s="1"/>
      <c r="C298" s="4"/>
    </row>
    <row r="299" spans="1:3" x14ac:dyDescent="0.2">
      <c r="A299" s="1"/>
      <c r="C299" s="4"/>
    </row>
    <row r="300" spans="1:3" x14ac:dyDescent="0.2">
      <c r="A300" s="1"/>
      <c r="C300" s="4"/>
    </row>
    <row r="301" spans="1:3" x14ac:dyDescent="0.2">
      <c r="A301" s="1"/>
      <c r="C301" s="4"/>
    </row>
    <row r="302" spans="1:3" x14ac:dyDescent="0.2">
      <c r="A302" s="1"/>
      <c r="C302" s="4"/>
    </row>
    <row r="303" spans="1:3" x14ac:dyDescent="0.2">
      <c r="A303" s="1"/>
      <c r="C303" s="4"/>
    </row>
    <row r="304" spans="1:3" x14ac:dyDescent="0.2">
      <c r="A304" s="1"/>
      <c r="C304" s="4"/>
    </row>
    <row r="305" spans="1:3" x14ac:dyDescent="0.2">
      <c r="A305" s="1"/>
      <c r="C305" s="4"/>
    </row>
    <row r="306" spans="1:3" x14ac:dyDescent="0.2">
      <c r="A306" s="1"/>
      <c r="C306" s="4"/>
    </row>
    <row r="307" spans="1:3" x14ac:dyDescent="0.2">
      <c r="A307" s="1"/>
      <c r="C307" s="4"/>
    </row>
    <row r="308" spans="1:3" x14ac:dyDescent="0.2">
      <c r="A308" s="1"/>
      <c r="C308" s="4"/>
    </row>
    <row r="309" spans="1:3" x14ac:dyDescent="0.2">
      <c r="A309" s="1"/>
      <c r="C309" s="4"/>
    </row>
    <row r="310" spans="1:3" x14ac:dyDescent="0.2">
      <c r="A310" s="1"/>
      <c r="C310" s="4"/>
    </row>
    <row r="311" spans="1:3" x14ac:dyDescent="0.2">
      <c r="A311" s="1"/>
      <c r="C311" s="4"/>
    </row>
    <row r="312" spans="1:3" x14ac:dyDescent="0.2">
      <c r="A312" s="1"/>
      <c r="C312" s="4"/>
    </row>
    <row r="313" spans="1:3" x14ac:dyDescent="0.2">
      <c r="A313" s="1"/>
      <c r="C313" s="4"/>
    </row>
    <row r="314" spans="1:3" x14ac:dyDescent="0.2">
      <c r="A314" s="1"/>
      <c r="C314" s="4"/>
    </row>
    <row r="315" spans="1:3" x14ac:dyDescent="0.2">
      <c r="A315" s="1"/>
      <c r="C315" s="4"/>
    </row>
    <row r="316" spans="1:3" x14ac:dyDescent="0.2">
      <c r="A316" s="1"/>
      <c r="C316" s="4"/>
    </row>
    <row r="317" spans="1:3" x14ac:dyDescent="0.2">
      <c r="A317" s="1"/>
      <c r="C317" s="4"/>
    </row>
    <row r="318" spans="1:3" x14ac:dyDescent="0.2">
      <c r="A318" s="1"/>
      <c r="C318" s="4"/>
    </row>
    <row r="319" spans="1:3" x14ac:dyDescent="0.2">
      <c r="A319" s="1"/>
      <c r="C319" s="4"/>
    </row>
    <row r="320" spans="1:3" x14ac:dyDescent="0.2">
      <c r="A320" s="1"/>
      <c r="C320" s="4"/>
    </row>
    <row r="321" spans="1:3" x14ac:dyDescent="0.2">
      <c r="A321" s="1"/>
      <c r="C321" s="4"/>
    </row>
    <row r="322" spans="1:3" x14ac:dyDescent="0.2">
      <c r="A322" s="1"/>
      <c r="C322" s="4"/>
    </row>
    <row r="323" spans="1:3" x14ac:dyDescent="0.2">
      <c r="A323" s="1"/>
      <c r="C323" s="4"/>
    </row>
    <row r="324" spans="1:3" x14ac:dyDescent="0.2">
      <c r="A324" s="1"/>
      <c r="C324" s="4"/>
    </row>
    <row r="325" spans="1:3" x14ac:dyDescent="0.2">
      <c r="A325" s="1"/>
      <c r="C325" s="4"/>
    </row>
    <row r="326" spans="1:3" x14ac:dyDescent="0.2">
      <c r="A326" s="1"/>
      <c r="C326" s="4"/>
    </row>
    <row r="327" spans="1:3" x14ac:dyDescent="0.2">
      <c r="A327" s="1"/>
      <c r="C327" s="4"/>
    </row>
    <row r="328" spans="1:3" x14ac:dyDescent="0.2">
      <c r="A328" s="1"/>
      <c r="C328" s="4"/>
    </row>
    <row r="329" spans="1:3" x14ac:dyDescent="0.2">
      <c r="A329" s="1"/>
      <c r="C329" s="4"/>
    </row>
    <row r="330" spans="1:3" x14ac:dyDescent="0.2">
      <c r="A330" s="1"/>
      <c r="C330" s="4"/>
    </row>
    <row r="331" spans="1:3" x14ac:dyDescent="0.2">
      <c r="A331" s="1"/>
      <c r="C331" s="4"/>
    </row>
    <row r="332" spans="1:3" x14ac:dyDescent="0.2">
      <c r="A332" s="1"/>
      <c r="C332" s="4"/>
    </row>
    <row r="333" spans="1:3" x14ac:dyDescent="0.2">
      <c r="A333" s="1"/>
      <c r="C333" s="4"/>
    </row>
    <row r="334" spans="1:3" x14ac:dyDescent="0.2">
      <c r="A334" s="1"/>
      <c r="C334" s="4"/>
    </row>
    <row r="335" spans="1:3" x14ac:dyDescent="0.2">
      <c r="A335" s="1"/>
      <c r="C335" s="4"/>
    </row>
    <row r="336" spans="1:3" x14ac:dyDescent="0.2">
      <c r="A336" s="1"/>
      <c r="C336" s="4"/>
    </row>
    <row r="337" spans="1:3" x14ac:dyDescent="0.2">
      <c r="A337" s="1"/>
      <c r="C337" s="4"/>
    </row>
    <row r="338" spans="1:3" x14ac:dyDescent="0.2">
      <c r="A338" s="1"/>
      <c r="C338" s="4"/>
    </row>
    <row r="339" spans="1:3" x14ac:dyDescent="0.2">
      <c r="A339" s="1"/>
      <c r="C339" s="4"/>
    </row>
    <row r="340" spans="1:3" x14ac:dyDescent="0.2">
      <c r="A340" s="1"/>
      <c r="C340" s="4"/>
    </row>
    <row r="341" spans="1:3" x14ac:dyDescent="0.2">
      <c r="A341" s="1"/>
      <c r="C341" s="4"/>
    </row>
    <row r="342" spans="1:3" x14ac:dyDescent="0.2">
      <c r="A342" s="1"/>
      <c r="C342" s="4"/>
    </row>
    <row r="343" spans="1:3" x14ac:dyDescent="0.2">
      <c r="A343" s="1"/>
      <c r="C343" s="4"/>
    </row>
    <row r="344" spans="1:3" x14ac:dyDescent="0.2">
      <c r="A344" s="1"/>
      <c r="C344" s="4"/>
    </row>
    <row r="345" spans="1:3" x14ac:dyDescent="0.2">
      <c r="A345" s="1"/>
      <c r="C345" s="4"/>
    </row>
    <row r="346" spans="1:3" x14ac:dyDescent="0.2">
      <c r="A346" s="1"/>
      <c r="C346" s="4"/>
    </row>
    <row r="347" spans="1:3" x14ac:dyDescent="0.2">
      <c r="A347" s="1"/>
      <c r="C347" s="4"/>
    </row>
    <row r="348" spans="1:3" x14ac:dyDescent="0.2">
      <c r="A348" s="1"/>
      <c r="C348" s="4"/>
    </row>
    <row r="349" spans="1:3" x14ac:dyDescent="0.2">
      <c r="A349" s="1"/>
      <c r="C349" s="4"/>
    </row>
    <row r="350" spans="1:3" x14ac:dyDescent="0.2">
      <c r="A350" s="1"/>
      <c r="C350" s="4"/>
    </row>
    <row r="351" spans="1:3" x14ac:dyDescent="0.2">
      <c r="A351" s="1"/>
      <c r="C351" s="4"/>
    </row>
    <row r="352" spans="1:3" x14ac:dyDescent="0.2">
      <c r="A352" s="1"/>
      <c r="C352" s="4"/>
    </row>
    <row r="353" spans="1:3" x14ac:dyDescent="0.2">
      <c r="A353" s="1"/>
      <c r="C353" s="4"/>
    </row>
    <row r="354" spans="1:3" x14ac:dyDescent="0.2">
      <c r="A354" s="1"/>
      <c r="C354" s="4"/>
    </row>
    <row r="355" spans="1:3" x14ac:dyDescent="0.2">
      <c r="A355" s="1"/>
      <c r="C355" s="4"/>
    </row>
    <row r="356" spans="1:3" x14ac:dyDescent="0.2">
      <c r="A356" s="1"/>
      <c r="C356" s="4"/>
    </row>
    <row r="357" spans="1:3" x14ac:dyDescent="0.2">
      <c r="A357" s="1"/>
      <c r="C357" s="4"/>
    </row>
    <row r="358" spans="1:3" x14ac:dyDescent="0.2">
      <c r="A358" s="1"/>
      <c r="C358" s="4"/>
    </row>
    <row r="359" spans="1:3" x14ac:dyDescent="0.2">
      <c r="A359" s="1"/>
      <c r="C359" s="4"/>
    </row>
    <row r="360" spans="1:3" x14ac:dyDescent="0.2">
      <c r="A360" s="1"/>
      <c r="C360" s="4"/>
    </row>
    <row r="361" spans="1:3" x14ac:dyDescent="0.2">
      <c r="A361" s="1"/>
      <c r="C361" s="4"/>
    </row>
    <row r="362" spans="1:3" x14ac:dyDescent="0.2">
      <c r="A362" s="1"/>
      <c r="C362" s="4"/>
    </row>
    <row r="363" spans="1:3" x14ac:dyDescent="0.2">
      <c r="A363" s="1"/>
      <c r="C363" s="4"/>
    </row>
    <row r="364" spans="1:3" x14ac:dyDescent="0.2">
      <c r="A364" s="1"/>
      <c r="C364" s="4"/>
    </row>
    <row r="365" spans="1:3" x14ac:dyDescent="0.2">
      <c r="A365" s="1"/>
      <c r="C365" s="4"/>
    </row>
    <row r="366" spans="1:3" x14ac:dyDescent="0.2">
      <c r="A366" s="1"/>
      <c r="C366" s="4"/>
    </row>
    <row r="367" spans="1:3" x14ac:dyDescent="0.2">
      <c r="A367" s="1"/>
      <c r="C367" s="4"/>
    </row>
    <row r="368" spans="1:3" x14ac:dyDescent="0.2">
      <c r="A368" s="1"/>
      <c r="C368" s="4"/>
    </row>
    <row r="369" spans="1:3" x14ac:dyDescent="0.2">
      <c r="A369" s="1"/>
      <c r="C369" s="4"/>
    </row>
    <row r="370" spans="1:3" x14ac:dyDescent="0.2">
      <c r="A370" s="1"/>
      <c r="C370" s="4"/>
    </row>
    <row r="371" spans="1:3" x14ac:dyDescent="0.2">
      <c r="A371" s="1"/>
      <c r="C371" s="4"/>
    </row>
    <row r="372" spans="1:3" x14ac:dyDescent="0.2">
      <c r="A372" s="1"/>
      <c r="C372" s="4"/>
    </row>
    <row r="373" spans="1:3" x14ac:dyDescent="0.2">
      <c r="A373" s="1"/>
      <c r="C373" s="4"/>
    </row>
    <row r="374" spans="1:3" x14ac:dyDescent="0.2">
      <c r="A374" s="1"/>
      <c r="C374" s="4"/>
    </row>
    <row r="375" spans="1:3" x14ac:dyDescent="0.2">
      <c r="A375" s="1"/>
      <c r="C375" s="4"/>
    </row>
    <row r="376" spans="1:3" x14ac:dyDescent="0.2">
      <c r="A376" s="1"/>
      <c r="C376" s="4"/>
    </row>
    <row r="377" spans="1:3" x14ac:dyDescent="0.2">
      <c r="A377" s="1"/>
      <c r="C377" s="4"/>
    </row>
    <row r="378" spans="1:3" x14ac:dyDescent="0.2">
      <c r="A378" s="1"/>
      <c r="C378" s="4"/>
    </row>
    <row r="379" spans="1:3" x14ac:dyDescent="0.2">
      <c r="A379" s="1"/>
      <c r="C379" s="4"/>
    </row>
    <row r="380" spans="1:3" x14ac:dyDescent="0.2">
      <c r="A380" s="1"/>
      <c r="C380" s="4"/>
    </row>
    <row r="381" spans="1:3" x14ac:dyDescent="0.2">
      <c r="A381" s="1"/>
      <c r="C381" s="4"/>
    </row>
    <row r="382" spans="1:3" x14ac:dyDescent="0.2">
      <c r="A382" s="1"/>
      <c r="C382" s="4"/>
    </row>
    <row r="383" spans="1:3" x14ac:dyDescent="0.2">
      <c r="A383" s="1"/>
      <c r="C383" s="4"/>
    </row>
    <row r="384" spans="1:3" x14ac:dyDescent="0.2">
      <c r="A384" s="1"/>
      <c r="C384" s="4"/>
    </row>
    <row r="385" spans="1:3" x14ac:dyDescent="0.2">
      <c r="A385" s="1"/>
      <c r="C385" s="4"/>
    </row>
    <row r="386" spans="1:3" x14ac:dyDescent="0.2">
      <c r="A386" s="1"/>
      <c r="C386" s="4"/>
    </row>
    <row r="387" spans="1:3" x14ac:dyDescent="0.2">
      <c r="A387" s="1"/>
      <c r="C387" s="4"/>
    </row>
    <row r="388" spans="1:3" x14ac:dyDescent="0.2">
      <c r="A388" s="1"/>
      <c r="C388" s="4"/>
    </row>
    <row r="389" spans="1:3" x14ac:dyDescent="0.2">
      <c r="A389" s="1"/>
      <c r="C389" s="4"/>
    </row>
    <row r="390" spans="1:3" x14ac:dyDescent="0.2">
      <c r="A390" s="1"/>
      <c r="C390" s="4"/>
    </row>
    <row r="391" spans="1:3" x14ac:dyDescent="0.2">
      <c r="A391" s="1"/>
      <c r="C391" s="4"/>
    </row>
    <row r="392" spans="1:3" x14ac:dyDescent="0.2">
      <c r="A392" s="1"/>
      <c r="C392" s="4"/>
    </row>
    <row r="393" spans="1:3" x14ac:dyDescent="0.2">
      <c r="A393" s="1"/>
      <c r="C393" s="4"/>
    </row>
    <row r="394" spans="1:3" x14ac:dyDescent="0.2">
      <c r="A394" s="1"/>
      <c r="C394" s="4"/>
    </row>
    <row r="395" spans="1:3" x14ac:dyDescent="0.2">
      <c r="A395" s="1"/>
      <c r="C395" s="4"/>
    </row>
    <row r="396" spans="1:3" x14ac:dyDescent="0.2">
      <c r="A396" s="1"/>
      <c r="C396" s="4"/>
    </row>
    <row r="397" spans="1:3" x14ac:dyDescent="0.2">
      <c r="A397" s="1"/>
      <c r="C397" s="4"/>
    </row>
    <row r="398" spans="1:3" x14ac:dyDescent="0.2">
      <c r="A398" s="1"/>
      <c r="C398" s="4"/>
    </row>
    <row r="399" spans="1:3" x14ac:dyDescent="0.2">
      <c r="A399" s="1"/>
      <c r="C399" s="4"/>
    </row>
    <row r="400" spans="1:3" x14ac:dyDescent="0.2">
      <c r="A400" s="1"/>
      <c r="C400" s="4"/>
    </row>
    <row r="401" spans="1:3" x14ac:dyDescent="0.2">
      <c r="A401" s="1"/>
      <c r="C401" s="4"/>
    </row>
    <row r="402" spans="1:3" x14ac:dyDescent="0.2">
      <c r="A402" s="1"/>
      <c r="C402" s="4"/>
    </row>
    <row r="403" spans="1:3" x14ac:dyDescent="0.2">
      <c r="A403" s="1"/>
      <c r="C403" s="4"/>
    </row>
    <row r="404" spans="1:3" x14ac:dyDescent="0.2">
      <c r="A404" s="1"/>
      <c r="C404" s="4"/>
    </row>
    <row r="405" spans="1:3" x14ac:dyDescent="0.2">
      <c r="A405" s="1"/>
      <c r="C405" s="4"/>
    </row>
    <row r="406" spans="1:3" x14ac:dyDescent="0.2">
      <c r="A406" s="1"/>
      <c r="C406" s="4"/>
    </row>
    <row r="407" spans="1:3" x14ac:dyDescent="0.2">
      <c r="A407" s="1"/>
      <c r="C407" s="4"/>
    </row>
    <row r="408" spans="1:3" x14ac:dyDescent="0.2">
      <c r="A408" s="1"/>
      <c r="C408" s="4"/>
    </row>
    <row r="409" spans="1:3" x14ac:dyDescent="0.2">
      <c r="A409" s="1"/>
      <c r="C409" s="4"/>
    </row>
    <row r="410" spans="1:3" x14ac:dyDescent="0.2">
      <c r="A410" s="1"/>
      <c r="C410" s="4"/>
    </row>
    <row r="411" spans="1:3" x14ac:dyDescent="0.2">
      <c r="A411" s="1"/>
      <c r="C411" s="4"/>
    </row>
    <row r="412" spans="1:3" x14ac:dyDescent="0.2">
      <c r="A412" s="1"/>
      <c r="C412" s="4"/>
    </row>
    <row r="413" spans="1:3" x14ac:dyDescent="0.2">
      <c r="A413" s="1"/>
      <c r="C413" s="4"/>
    </row>
    <row r="414" spans="1:3" x14ac:dyDescent="0.2">
      <c r="A414" s="1"/>
      <c r="C414" s="4"/>
    </row>
    <row r="415" spans="1:3" x14ac:dyDescent="0.2">
      <c r="A415" s="1"/>
      <c r="C415" s="4"/>
    </row>
    <row r="416" spans="1:3" x14ac:dyDescent="0.2">
      <c r="A416" s="1"/>
      <c r="C416" s="4"/>
    </row>
    <row r="417" spans="1:3" x14ac:dyDescent="0.2">
      <c r="A417" s="1"/>
      <c r="C417" s="4"/>
    </row>
    <row r="418" spans="1:3" x14ac:dyDescent="0.2">
      <c r="A418" s="1"/>
      <c r="C418" s="4"/>
    </row>
    <row r="419" spans="1:3" x14ac:dyDescent="0.2">
      <c r="A419" s="1"/>
      <c r="C419" s="4"/>
    </row>
    <row r="420" spans="1:3" x14ac:dyDescent="0.2">
      <c r="A420" s="1"/>
      <c r="C420" s="4"/>
    </row>
    <row r="421" spans="1:3" x14ac:dyDescent="0.2">
      <c r="A421" s="1"/>
      <c r="C421" s="4"/>
    </row>
    <row r="422" spans="1:3" x14ac:dyDescent="0.2">
      <c r="A422" s="1"/>
      <c r="C422" s="4"/>
    </row>
    <row r="423" spans="1:3" x14ac:dyDescent="0.2">
      <c r="A423" s="1"/>
      <c r="C423" s="4"/>
    </row>
    <row r="424" spans="1:3" x14ac:dyDescent="0.2">
      <c r="A424" s="1"/>
      <c r="C424" s="4"/>
    </row>
    <row r="425" spans="1:3" x14ac:dyDescent="0.2">
      <c r="A425" s="1"/>
      <c r="C425" s="4"/>
    </row>
    <row r="426" spans="1:3" x14ac:dyDescent="0.2">
      <c r="A426" s="1"/>
      <c r="C426" s="4"/>
    </row>
    <row r="427" spans="1:3" x14ac:dyDescent="0.2">
      <c r="A427" s="1"/>
      <c r="C427" s="4"/>
    </row>
    <row r="428" spans="1:3" x14ac:dyDescent="0.2">
      <c r="A428" s="1"/>
      <c r="C428" s="4"/>
    </row>
    <row r="429" spans="1:3" x14ac:dyDescent="0.2">
      <c r="A429" s="1"/>
      <c r="C429" s="4"/>
    </row>
    <row r="430" spans="1:3" x14ac:dyDescent="0.2">
      <c r="A430" s="1"/>
      <c r="C430" s="4"/>
    </row>
    <row r="431" spans="1:3" x14ac:dyDescent="0.2">
      <c r="A431" s="1"/>
      <c r="C431" s="4"/>
    </row>
    <row r="432" spans="1:3" x14ac:dyDescent="0.2">
      <c r="A432" s="1"/>
      <c r="C432" s="4"/>
    </row>
    <row r="433" spans="1:3" x14ac:dyDescent="0.2">
      <c r="A433" s="1"/>
      <c r="C433" s="4"/>
    </row>
    <row r="434" spans="1:3" x14ac:dyDescent="0.2">
      <c r="A434" s="1"/>
      <c r="C434" s="4"/>
    </row>
    <row r="435" spans="1:3" x14ac:dyDescent="0.2">
      <c r="A435" s="1"/>
      <c r="C435" s="4"/>
    </row>
    <row r="436" spans="1:3" x14ac:dyDescent="0.2">
      <c r="A436" s="1"/>
      <c r="C436" s="4"/>
    </row>
    <row r="437" spans="1:3" x14ac:dyDescent="0.2">
      <c r="A437" s="1"/>
      <c r="C437" s="4"/>
    </row>
    <row r="438" spans="1:3" x14ac:dyDescent="0.2">
      <c r="A438" s="1"/>
      <c r="C438" s="4"/>
    </row>
    <row r="439" spans="1:3" x14ac:dyDescent="0.2">
      <c r="A439" s="1"/>
      <c r="C439" s="4"/>
    </row>
    <row r="440" spans="1:3" x14ac:dyDescent="0.2">
      <c r="A440" s="1"/>
      <c r="C440" s="4"/>
    </row>
    <row r="441" spans="1:3" x14ac:dyDescent="0.2">
      <c r="A441" s="1"/>
      <c r="C441" s="4"/>
    </row>
    <row r="442" spans="1:3" x14ac:dyDescent="0.2">
      <c r="A442" s="1"/>
      <c r="C442" s="4"/>
    </row>
    <row r="443" spans="1:3" x14ac:dyDescent="0.2">
      <c r="A443" s="1"/>
      <c r="C443" s="4"/>
    </row>
    <row r="444" spans="1:3" x14ac:dyDescent="0.2">
      <c r="A444" s="1"/>
      <c r="C444" s="4"/>
    </row>
    <row r="445" spans="1:3" x14ac:dyDescent="0.2">
      <c r="A445" s="1"/>
      <c r="C445" s="4"/>
    </row>
    <row r="446" spans="1:3" x14ac:dyDescent="0.2">
      <c r="A446" s="1"/>
      <c r="C446" s="4"/>
    </row>
    <row r="447" spans="1:3" x14ac:dyDescent="0.2">
      <c r="A447" s="1"/>
      <c r="C447" s="4"/>
    </row>
    <row r="448" spans="1:3" x14ac:dyDescent="0.2">
      <c r="A448" s="1"/>
      <c r="C448" s="4"/>
    </row>
    <row r="449" spans="1:3" x14ac:dyDescent="0.2">
      <c r="A449" s="1"/>
      <c r="C449" s="4"/>
    </row>
    <row r="450" spans="1:3" x14ac:dyDescent="0.2">
      <c r="A450" s="1"/>
      <c r="C450" s="4"/>
    </row>
    <row r="451" spans="1:3" x14ac:dyDescent="0.2">
      <c r="A451" s="1"/>
      <c r="C451" s="4"/>
    </row>
    <row r="452" spans="1:3" x14ac:dyDescent="0.2">
      <c r="A452" s="1"/>
      <c r="C452" s="4"/>
    </row>
    <row r="453" spans="1:3" x14ac:dyDescent="0.2">
      <c r="A453" s="1"/>
      <c r="C453" s="4"/>
    </row>
    <row r="454" spans="1:3" x14ac:dyDescent="0.2">
      <c r="A454" s="1"/>
      <c r="C454" s="4"/>
    </row>
    <row r="455" spans="1:3" x14ac:dyDescent="0.2">
      <c r="A455" s="1"/>
      <c r="C455" s="4"/>
    </row>
    <row r="456" spans="1:3" x14ac:dyDescent="0.2">
      <c r="A456" s="1"/>
      <c r="C456" s="4"/>
    </row>
    <row r="457" spans="1:3" x14ac:dyDescent="0.2">
      <c r="A457" s="1"/>
      <c r="C457" s="4"/>
    </row>
    <row r="458" spans="1:3" x14ac:dyDescent="0.2">
      <c r="A458" s="1"/>
      <c r="C458" s="4"/>
    </row>
    <row r="459" spans="1:3" x14ac:dyDescent="0.2">
      <c r="A459" s="1"/>
      <c r="C459" s="4"/>
    </row>
    <row r="460" spans="1:3" x14ac:dyDescent="0.2">
      <c r="A460" s="1"/>
      <c r="C460" s="4"/>
    </row>
    <row r="461" spans="1:3" x14ac:dyDescent="0.2">
      <c r="A461" s="1"/>
      <c r="C461" s="4"/>
    </row>
    <row r="462" spans="1:3" x14ac:dyDescent="0.2">
      <c r="A462" s="1"/>
      <c r="C462" s="4"/>
    </row>
    <row r="463" spans="1:3" x14ac:dyDescent="0.2">
      <c r="A463" s="1"/>
      <c r="C463" s="4"/>
    </row>
    <row r="464" spans="1:3" x14ac:dyDescent="0.2">
      <c r="A464" s="1"/>
      <c r="C464" s="4"/>
    </row>
    <row r="465" spans="1:3" x14ac:dyDescent="0.2">
      <c r="A465" s="1"/>
      <c r="C465" s="4"/>
    </row>
    <row r="466" spans="1:3" x14ac:dyDescent="0.2">
      <c r="A466" s="1"/>
      <c r="C466" s="4"/>
    </row>
    <row r="467" spans="1:3" x14ac:dyDescent="0.2">
      <c r="A467" s="1"/>
      <c r="C467" s="4"/>
    </row>
    <row r="468" spans="1:3" x14ac:dyDescent="0.2">
      <c r="A468" s="1"/>
      <c r="C468" s="4"/>
    </row>
    <row r="469" spans="1:3" x14ac:dyDescent="0.2">
      <c r="A469" s="1"/>
      <c r="C469" s="4"/>
    </row>
    <row r="470" spans="1:3" x14ac:dyDescent="0.2">
      <c r="A470" s="1"/>
      <c r="C470" s="4"/>
    </row>
    <row r="471" spans="1:3" x14ac:dyDescent="0.2">
      <c r="A471" s="1"/>
      <c r="C471" s="4"/>
    </row>
    <row r="472" spans="1:3" x14ac:dyDescent="0.2">
      <c r="A472" s="1"/>
      <c r="C472" s="4"/>
    </row>
    <row r="473" spans="1:3" x14ac:dyDescent="0.2">
      <c r="A473" s="1"/>
      <c r="C473" s="4"/>
    </row>
    <row r="474" spans="1:3" x14ac:dyDescent="0.2">
      <c r="A474" s="1"/>
      <c r="C474" s="4"/>
    </row>
    <row r="475" spans="1:3" x14ac:dyDescent="0.2">
      <c r="A475" s="1"/>
      <c r="C475" s="4"/>
    </row>
    <row r="476" spans="1:3" x14ac:dyDescent="0.2">
      <c r="A476" s="1"/>
      <c r="C476" s="4"/>
    </row>
    <row r="477" spans="1:3" x14ac:dyDescent="0.2">
      <c r="A477" s="1"/>
      <c r="C477" s="4"/>
    </row>
    <row r="478" spans="1:3" x14ac:dyDescent="0.2">
      <c r="A478" s="1"/>
      <c r="C478" s="4"/>
    </row>
    <row r="479" spans="1:3" x14ac:dyDescent="0.2">
      <c r="A479" s="1"/>
      <c r="C479" s="4"/>
    </row>
    <row r="480" spans="1:3" x14ac:dyDescent="0.2">
      <c r="A480" s="1"/>
      <c r="C480" s="4"/>
    </row>
    <row r="481" spans="1:3" x14ac:dyDescent="0.2">
      <c r="A481" s="1"/>
      <c r="C481" s="4"/>
    </row>
    <row r="482" spans="1:3" x14ac:dyDescent="0.2">
      <c r="A482" s="1"/>
      <c r="C482" s="4"/>
    </row>
    <row r="483" spans="1:3" x14ac:dyDescent="0.2">
      <c r="A483" s="1"/>
      <c r="C483" s="4"/>
    </row>
    <row r="484" spans="1:3" x14ac:dyDescent="0.2">
      <c r="A484" s="1"/>
      <c r="C484" s="4"/>
    </row>
    <row r="485" spans="1:3" x14ac:dyDescent="0.2">
      <c r="A485" s="1"/>
      <c r="C485" s="4"/>
    </row>
    <row r="486" spans="1:3" x14ac:dyDescent="0.2">
      <c r="A486" s="1"/>
      <c r="C486" s="4"/>
    </row>
    <row r="487" spans="1:3" x14ac:dyDescent="0.2">
      <c r="A487" s="1"/>
      <c r="C487" s="4"/>
    </row>
    <row r="488" spans="1:3" x14ac:dyDescent="0.2">
      <c r="A488" s="1"/>
      <c r="C488" s="4"/>
    </row>
    <row r="489" spans="1:3" x14ac:dyDescent="0.2">
      <c r="A489" s="1"/>
      <c r="C489" s="4"/>
    </row>
    <row r="490" spans="1:3" x14ac:dyDescent="0.2">
      <c r="A490" s="1"/>
      <c r="C490" s="4"/>
    </row>
    <row r="491" spans="1:3" x14ac:dyDescent="0.2">
      <c r="A491" s="1"/>
      <c r="C491" s="4"/>
    </row>
    <row r="492" spans="1:3" x14ac:dyDescent="0.2">
      <c r="A492" s="1"/>
      <c r="C492" s="4"/>
    </row>
    <row r="493" spans="1:3" x14ac:dyDescent="0.2">
      <c r="A493" s="1"/>
      <c r="C493" s="4"/>
    </row>
    <row r="494" spans="1:3" x14ac:dyDescent="0.2">
      <c r="A494" s="1"/>
      <c r="C494" s="4"/>
    </row>
    <row r="495" spans="1:3" x14ac:dyDescent="0.2">
      <c r="A495" s="1"/>
      <c r="C495" s="4"/>
    </row>
    <row r="496" spans="1:3" x14ac:dyDescent="0.2">
      <c r="A496" s="1"/>
      <c r="C496" s="4"/>
    </row>
    <row r="497" spans="1:3" x14ac:dyDescent="0.2">
      <c r="A497" s="1"/>
      <c r="C497" s="4"/>
    </row>
    <row r="498" spans="1:3" x14ac:dyDescent="0.2">
      <c r="A498" s="1"/>
      <c r="C498" s="4"/>
    </row>
    <row r="499" spans="1:3" x14ac:dyDescent="0.2">
      <c r="A499" s="1"/>
      <c r="C499" s="4"/>
    </row>
    <row r="500" spans="1:3" x14ac:dyDescent="0.2">
      <c r="A500" s="1"/>
      <c r="C500" s="4"/>
    </row>
    <row r="501" spans="1:3" x14ac:dyDescent="0.2">
      <c r="A501" s="1"/>
      <c r="C501" s="4"/>
    </row>
    <row r="502" spans="1:3" x14ac:dyDescent="0.2">
      <c r="A502" s="1"/>
      <c r="C502" s="4"/>
    </row>
    <row r="503" spans="1:3" x14ac:dyDescent="0.2">
      <c r="A503" s="1"/>
      <c r="C503" s="4"/>
    </row>
    <row r="504" spans="1:3" x14ac:dyDescent="0.2">
      <c r="A504" s="1"/>
      <c r="C504" s="4"/>
    </row>
    <row r="505" spans="1:3" x14ac:dyDescent="0.2">
      <c r="A505" s="1"/>
      <c r="C505" s="4"/>
    </row>
    <row r="506" spans="1:3" x14ac:dyDescent="0.2">
      <c r="A506" s="1"/>
      <c r="C506" s="4"/>
    </row>
    <row r="507" spans="1:3" x14ac:dyDescent="0.2">
      <c r="A507" s="1"/>
      <c r="C507" s="4"/>
    </row>
    <row r="508" spans="1:3" x14ac:dyDescent="0.2">
      <c r="A508" s="1"/>
      <c r="C508" s="4"/>
    </row>
    <row r="509" spans="1:3" x14ac:dyDescent="0.2">
      <c r="A509" s="1"/>
      <c r="C509" s="4"/>
    </row>
    <row r="510" spans="1:3" x14ac:dyDescent="0.2">
      <c r="A510" s="1"/>
      <c r="C510" s="4"/>
    </row>
    <row r="511" spans="1:3" x14ac:dyDescent="0.2">
      <c r="A511" s="1"/>
      <c r="C511" s="4"/>
    </row>
    <row r="512" spans="1:3" x14ac:dyDescent="0.2">
      <c r="A512" s="1"/>
      <c r="C512" s="4"/>
    </row>
    <row r="513" spans="1:3" x14ac:dyDescent="0.2">
      <c r="A513" s="1"/>
      <c r="C513" s="4"/>
    </row>
    <row r="514" spans="1:3" x14ac:dyDescent="0.2">
      <c r="A514" s="1"/>
      <c r="C514" s="4"/>
    </row>
    <row r="515" spans="1:3" x14ac:dyDescent="0.2">
      <c r="A515" s="1"/>
      <c r="C515" s="4"/>
    </row>
    <row r="516" spans="1:3" x14ac:dyDescent="0.2">
      <c r="A516" s="1"/>
      <c r="C516" s="4"/>
    </row>
    <row r="517" spans="1:3" x14ac:dyDescent="0.2">
      <c r="A517" s="1"/>
      <c r="C517" s="4"/>
    </row>
    <row r="518" spans="1:3" x14ac:dyDescent="0.2">
      <c r="A518" s="1"/>
      <c r="C518" s="4"/>
    </row>
    <row r="519" spans="1:3" x14ac:dyDescent="0.2">
      <c r="A519" s="1"/>
      <c r="C519" s="4"/>
    </row>
    <row r="520" spans="1:3" x14ac:dyDescent="0.2">
      <c r="A520" s="1"/>
      <c r="C520" s="4"/>
    </row>
    <row r="521" spans="1:3" x14ac:dyDescent="0.2">
      <c r="A521" s="1"/>
      <c r="C521" s="4"/>
    </row>
    <row r="522" spans="1:3" x14ac:dyDescent="0.2">
      <c r="A522" s="1"/>
      <c r="C522" s="4"/>
    </row>
    <row r="523" spans="1:3" x14ac:dyDescent="0.2">
      <c r="A523" s="1"/>
      <c r="C523" s="4"/>
    </row>
    <row r="524" spans="1:3" x14ac:dyDescent="0.2">
      <c r="A524" s="1"/>
      <c r="C524" s="4"/>
    </row>
    <row r="525" spans="1:3" x14ac:dyDescent="0.2">
      <c r="A525" s="1"/>
      <c r="C525" s="4"/>
    </row>
    <row r="526" spans="1:3" x14ac:dyDescent="0.2">
      <c r="A526" s="1"/>
      <c r="C526" s="4"/>
    </row>
    <row r="527" spans="1:3" x14ac:dyDescent="0.2">
      <c r="A527" s="1"/>
      <c r="C527" s="4"/>
    </row>
    <row r="528" spans="1:3" x14ac:dyDescent="0.2">
      <c r="A528" s="1"/>
      <c r="C528" s="4"/>
    </row>
    <row r="529" spans="1:3" x14ac:dyDescent="0.2">
      <c r="A529" s="1"/>
      <c r="C529" s="4"/>
    </row>
    <row r="530" spans="1:3" x14ac:dyDescent="0.2">
      <c r="A530" s="1"/>
      <c r="C530" s="4"/>
    </row>
    <row r="531" spans="1:3" x14ac:dyDescent="0.2">
      <c r="A531" s="1"/>
      <c r="C531" s="4"/>
    </row>
    <row r="532" spans="1:3" x14ac:dyDescent="0.2">
      <c r="A532" s="1"/>
      <c r="C532" s="4"/>
    </row>
    <row r="533" spans="1:3" x14ac:dyDescent="0.2">
      <c r="A533" s="1"/>
      <c r="C533" s="4"/>
    </row>
    <row r="534" spans="1:3" x14ac:dyDescent="0.2">
      <c r="A534" s="1"/>
      <c r="C534" s="4"/>
    </row>
    <row r="535" spans="1:3" x14ac:dyDescent="0.2">
      <c r="A535" s="1"/>
      <c r="C535" s="4"/>
    </row>
    <row r="536" spans="1:3" x14ac:dyDescent="0.2">
      <c r="A536" s="1"/>
      <c r="C536" s="4"/>
    </row>
    <row r="537" spans="1:3" x14ac:dyDescent="0.2">
      <c r="A537" s="1"/>
      <c r="C537" s="4"/>
    </row>
    <row r="538" spans="1:3" x14ac:dyDescent="0.2">
      <c r="A538" s="1"/>
      <c r="C538" s="4"/>
    </row>
    <row r="539" spans="1:3" x14ac:dyDescent="0.2">
      <c r="A539" s="1"/>
      <c r="C539" s="4"/>
    </row>
    <row r="540" spans="1:3" x14ac:dyDescent="0.2">
      <c r="A540" s="1"/>
      <c r="C540" s="4"/>
    </row>
    <row r="541" spans="1:3" x14ac:dyDescent="0.2">
      <c r="A541" s="1"/>
      <c r="C541" s="4"/>
    </row>
    <row r="542" spans="1:3" x14ac:dyDescent="0.2">
      <c r="A542" s="1"/>
      <c r="C542" s="4"/>
    </row>
    <row r="543" spans="1:3" x14ac:dyDescent="0.2">
      <c r="A543" s="1"/>
      <c r="C543" s="4"/>
    </row>
    <row r="544" spans="1:3" x14ac:dyDescent="0.2">
      <c r="A544" s="1"/>
      <c r="C544" s="4"/>
    </row>
    <row r="545" spans="1:3" x14ac:dyDescent="0.2">
      <c r="A545" s="1"/>
      <c r="C545" s="4"/>
    </row>
    <row r="546" spans="1:3" x14ac:dyDescent="0.2">
      <c r="A546" s="1"/>
      <c r="C546" s="4"/>
    </row>
    <row r="547" spans="1:3" x14ac:dyDescent="0.2">
      <c r="A547" s="1"/>
      <c r="C547" s="4"/>
    </row>
    <row r="548" spans="1:3" x14ac:dyDescent="0.2">
      <c r="A548" s="1"/>
      <c r="C548" s="4"/>
    </row>
    <row r="549" spans="1:3" x14ac:dyDescent="0.2">
      <c r="A549" s="1"/>
      <c r="C549" s="4"/>
    </row>
    <row r="550" spans="1:3" x14ac:dyDescent="0.2">
      <c r="A550" s="1"/>
      <c r="C550" s="4"/>
    </row>
    <row r="551" spans="1:3" x14ac:dyDescent="0.2">
      <c r="A551" s="1"/>
      <c r="C551" s="4"/>
    </row>
    <row r="552" spans="1:3" x14ac:dyDescent="0.2">
      <c r="A552" s="1"/>
      <c r="C552" s="4"/>
    </row>
    <row r="553" spans="1:3" x14ac:dyDescent="0.2">
      <c r="A553" s="1"/>
      <c r="C553" s="4"/>
    </row>
    <row r="554" spans="1:3" x14ac:dyDescent="0.2">
      <c r="A554" s="1"/>
      <c r="C554" s="4"/>
    </row>
    <row r="555" spans="1:3" x14ac:dyDescent="0.2">
      <c r="A555" s="1"/>
      <c r="C555" s="4"/>
    </row>
    <row r="556" spans="1:3" x14ac:dyDescent="0.2">
      <c r="A556" s="1"/>
      <c r="C556" s="4"/>
    </row>
    <row r="557" spans="1:3" x14ac:dyDescent="0.2">
      <c r="A557" s="1"/>
      <c r="C557" s="4"/>
    </row>
    <row r="558" spans="1:3" x14ac:dyDescent="0.2">
      <c r="A558" s="1"/>
      <c r="C558" s="4"/>
    </row>
    <row r="559" spans="1:3" x14ac:dyDescent="0.2">
      <c r="A559" s="1"/>
      <c r="C559" s="4"/>
    </row>
    <row r="560" spans="1:3" x14ac:dyDescent="0.2">
      <c r="A560" s="1"/>
      <c r="C560" s="4"/>
    </row>
    <row r="561" spans="1:3" x14ac:dyDescent="0.2">
      <c r="A561" s="1"/>
      <c r="C561" s="4"/>
    </row>
    <row r="562" spans="1:3" x14ac:dyDescent="0.2">
      <c r="A562" s="1"/>
      <c r="C562" s="4"/>
    </row>
    <row r="563" spans="1:3" x14ac:dyDescent="0.2">
      <c r="A563" s="1"/>
      <c r="C563" s="4"/>
    </row>
    <row r="564" spans="1:3" x14ac:dyDescent="0.2">
      <c r="A564" s="1"/>
      <c r="C564" s="4"/>
    </row>
    <row r="565" spans="1:3" x14ac:dyDescent="0.2">
      <c r="A565" s="1"/>
      <c r="C565" s="4"/>
    </row>
    <row r="566" spans="1:3" x14ac:dyDescent="0.2">
      <c r="A566" s="1"/>
      <c r="C566" s="4"/>
    </row>
    <row r="567" spans="1:3" x14ac:dyDescent="0.2">
      <c r="A567" s="1"/>
      <c r="C567" s="4"/>
    </row>
    <row r="568" spans="1:3" x14ac:dyDescent="0.2">
      <c r="A568" s="1"/>
      <c r="C568" s="4"/>
    </row>
    <row r="569" spans="1:3" x14ac:dyDescent="0.2">
      <c r="A569" s="1"/>
      <c r="C569" s="4"/>
    </row>
    <row r="570" spans="1:3" x14ac:dyDescent="0.2">
      <c r="A570" s="1"/>
      <c r="C570" s="4"/>
    </row>
    <row r="571" spans="1:3" x14ac:dyDescent="0.2">
      <c r="A571" s="1"/>
      <c r="C571" s="4"/>
    </row>
    <row r="572" spans="1:3" x14ac:dyDescent="0.2">
      <c r="A572" s="1"/>
      <c r="C572" s="4"/>
    </row>
    <row r="573" spans="1:3" x14ac:dyDescent="0.2">
      <c r="A573" s="1"/>
      <c r="C573" s="4"/>
    </row>
    <row r="574" spans="1:3" x14ac:dyDescent="0.2">
      <c r="A574" s="1"/>
      <c r="C574" s="4"/>
    </row>
    <row r="575" spans="1:3" x14ac:dyDescent="0.2">
      <c r="A575" s="1"/>
      <c r="C575" s="4"/>
    </row>
    <row r="576" spans="1:3" x14ac:dyDescent="0.2">
      <c r="A576" s="1"/>
      <c r="C576" s="4"/>
    </row>
    <row r="577" spans="1:3" x14ac:dyDescent="0.2">
      <c r="A577" s="1"/>
      <c r="C577" s="4"/>
    </row>
    <row r="578" spans="1:3" x14ac:dyDescent="0.2">
      <c r="A578" s="1"/>
      <c r="C578" s="4"/>
    </row>
    <row r="579" spans="1:3" x14ac:dyDescent="0.2">
      <c r="A579" s="1"/>
      <c r="C579" s="4"/>
    </row>
    <row r="580" spans="1:3" x14ac:dyDescent="0.2">
      <c r="A580" s="1"/>
      <c r="C580" s="4"/>
    </row>
    <row r="581" spans="1:3" x14ac:dyDescent="0.2">
      <c r="A581" s="1"/>
      <c r="C581" s="4"/>
    </row>
    <row r="582" spans="1:3" x14ac:dyDescent="0.2">
      <c r="A582" s="1"/>
      <c r="C582" s="4"/>
    </row>
    <row r="583" spans="1:3" x14ac:dyDescent="0.2">
      <c r="A583" s="1"/>
      <c r="C583" s="4"/>
    </row>
    <row r="584" spans="1:3" x14ac:dyDescent="0.2">
      <c r="A584" s="1"/>
      <c r="C584" s="4"/>
    </row>
    <row r="585" spans="1:3" x14ac:dyDescent="0.2">
      <c r="A585" s="1"/>
      <c r="C585" s="4"/>
    </row>
    <row r="586" spans="1:3" x14ac:dyDescent="0.2">
      <c r="A586" s="1"/>
      <c r="C586" s="4"/>
    </row>
    <row r="587" spans="1:3" x14ac:dyDescent="0.2">
      <c r="A587" s="1"/>
      <c r="C587" s="4"/>
    </row>
    <row r="588" spans="1:3" x14ac:dyDescent="0.2">
      <c r="A588" s="1"/>
      <c r="C588" s="4"/>
    </row>
    <row r="589" spans="1:3" x14ac:dyDescent="0.2">
      <c r="A589" s="1"/>
      <c r="C589" s="4"/>
    </row>
    <row r="590" spans="1:3" x14ac:dyDescent="0.2">
      <c r="A590" s="1"/>
      <c r="C590" s="4"/>
    </row>
    <row r="591" spans="1:3" x14ac:dyDescent="0.2">
      <c r="A591" s="1"/>
      <c r="C591" s="4"/>
    </row>
    <row r="592" spans="1:3" x14ac:dyDescent="0.2">
      <c r="A592" s="1"/>
      <c r="C592" s="4"/>
    </row>
    <row r="593" spans="1:3" x14ac:dyDescent="0.2">
      <c r="A593" s="1"/>
      <c r="C593" s="4"/>
    </row>
    <row r="594" spans="1:3" x14ac:dyDescent="0.2">
      <c r="A594" s="1"/>
      <c r="C594" s="4"/>
    </row>
    <row r="595" spans="1:3" x14ac:dyDescent="0.2">
      <c r="A595" s="1"/>
      <c r="C595" s="4"/>
    </row>
    <row r="596" spans="1:3" x14ac:dyDescent="0.2">
      <c r="A596" s="1"/>
      <c r="C596" s="4"/>
    </row>
    <row r="597" spans="1:3" x14ac:dyDescent="0.2">
      <c r="A597" s="1"/>
      <c r="C597" s="4"/>
    </row>
    <row r="598" spans="1:3" x14ac:dyDescent="0.2">
      <c r="A598" s="1"/>
      <c r="C598" s="4"/>
    </row>
    <row r="599" spans="1:3" x14ac:dyDescent="0.2">
      <c r="A599" s="1"/>
      <c r="C599" s="4"/>
    </row>
    <row r="600" spans="1:3" x14ac:dyDescent="0.2">
      <c r="A600" s="1"/>
      <c r="C600" s="4"/>
    </row>
    <row r="601" spans="1:3" x14ac:dyDescent="0.2">
      <c r="A601" s="1"/>
      <c r="C601" s="4"/>
    </row>
    <row r="602" spans="1:3" x14ac:dyDescent="0.2">
      <c r="A602" s="1"/>
      <c r="C602" s="4"/>
    </row>
    <row r="603" spans="1:3" x14ac:dyDescent="0.2">
      <c r="A603" s="1"/>
      <c r="C603" s="4"/>
    </row>
    <row r="604" spans="1:3" x14ac:dyDescent="0.2">
      <c r="A604" s="1"/>
      <c r="C604" s="4"/>
    </row>
    <row r="605" spans="1:3" x14ac:dyDescent="0.2">
      <c r="A605" s="1"/>
      <c r="C605" s="4"/>
    </row>
    <row r="606" spans="1:3" x14ac:dyDescent="0.2">
      <c r="A606" s="1"/>
      <c r="C606" s="4"/>
    </row>
    <row r="607" spans="1:3" x14ac:dyDescent="0.2">
      <c r="A607" s="1"/>
      <c r="C607" s="4"/>
    </row>
    <row r="608" spans="1:3" x14ac:dyDescent="0.2">
      <c r="A608" s="1"/>
      <c r="C608" s="4"/>
    </row>
    <row r="609" spans="1:3" x14ac:dyDescent="0.2">
      <c r="A609" s="1"/>
      <c r="C609" s="4"/>
    </row>
    <row r="610" spans="1:3" x14ac:dyDescent="0.2">
      <c r="A610" s="1"/>
      <c r="C610" s="4"/>
    </row>
    <row r="611" spans="1:3" x14ac:dyDescent="0.2">
      <c r="A611" s="1"/>
      <c r="C611" s="4"/>
    </row>
    <row r="612" spans="1:3" x14ac:dyDescent="0.2">
      <c r="A612" s="1"/>
      <c r="C612" s="4"/>
    </row>
    <row r="613" spans="1:3" x14ac:dyDescent="0.2">
      <c r="A613" s="1"/>
      <c r="C613" s="4"/>
    </row>
    <row r="614" spans="1:3" x14ac:dyDescent="0.2">
      <c r="A614" s="1"/>
      <c r="C614" s="4"/>
    </row>
    <row r="615" spans="1:3" x14ac:dyDescent="0.2">
      <c r="A615" s="1"/>
      <c r="C615" s="4"/>
    </row>
    <row r="616" spans="1:3" x14ac:dyDescent="0.2">
      <c r="A616" s="1"/>
      <c r="C616" s="4"/>
    </row>
    <row r="617" spans="1:3" x14ac:dyDescent="0.2">
      <c r="A617" s="1"/>
      <c r="C617" s="4"/>
    </row>
    <row r="618" spans="1:3" x14ac:dyDescent="0.2">
      <c r="A618" s="1"/>
      <c r="C618" s="4"/>
    </row>
    <row r="619" spans="1:3" x14ac:dyDescent="0.2">
      <c r="A619" s="1"/>
      <c r="C619" s="4"/>
    </row>
    <row r="620" spans="1:3" x14ac:dyDescent="0.2">
      <c r="A620" s="1"/>
      <c r="C620" s="4"/>
    </row>
    <row r="621" spans="1:3" x14ac:dyDescent="0.2">
      <c r="A621" s="1"/>
      <c r="C621" s="4"/>
    </row>
    <row r="622" spans="1:3" x14ac:dyDescent="0.2">
      <c r="A622" s="1"/>
      <c r="C622" s="4"/>
    </row>
    <row r="623" spans="1:3" x14ac:dyDescent="0.2">
      <c r="A623" s="1"/>
      <c r="C623" s="4"/>
    </row>
    <row r="624" spans="1:3" x14ac:dyDescent="0.2">
      <c r="A624" s="1"/>
      <c r="C624" s="4"/>
    </row>
    <row r="625" spans="1:3" x14ac:dyDescent="0.2">
      <c r="A625" s="1"/>
      <c r="C625" s="4"/>
    </row>
    <row r="626" spans="1:3" x14ac:dyDescent="0.2">
      <c r="A626" s="1"/>
      <c r="C626" s="4"/>
    </row>
    <row r="627" spans="1:3" x14ac:dyDescent="0.2">
      <c r="A627" s="1"/>
      <c r="C627" s="4"/>
    </row>
    <row r="628" spans="1:3" x14ac:dyDescent="0.2">
      <c r="A628" s="1"/>
      <c r="C628" s="4"/>
    </row>
    <row r="629" spans="1:3" x14ac:dyDescent="0.2">
      <c r="A629" s="1"/>
      <c r="C629" s="4"/>
    </row>
    <row r="630" spans="1:3" x14ac:dyDescent="0.2">
      <c r="A630" s="1"/>
      <c r="C630" s="4"/>
    </row>
    <row r="631" spans="1:3" x14ac:dyDescent="0.2">
      <c r="A631" s="1"/>
      <c r="C631" s="4"/>
    </row>
    <row r="632" spans="1:3" x14ac:dyDescent="0.2">
      <c r="A632" s="1"/>
      <c r="C632" s="4"/>
    </row>
    <row r="633" spans="1:3" x14ac:dyDescent="0.2">
      <c r="A633" s="1"/>
      <c r="C633" s="4"/>
    </row>
    <row r="634" spans="1:3" x14ac:dyDescent="0.2">
      <c r="A634" s="1"/>
      <c r="C634" s="4"/>
    </row>
    <row r="635" spans="1:3" x14ac:dyDescent="0.2">
      <c r="A635" s="1"/>
      <c r="C635" s="4"/>
    </row>
    <row r="636" spans="1:3" x14ac:dyDescent="0.2">
      <c r="A636" s="1"/>
      <c r="C636" s="4"/>
    </row>
    <row r="637" spans="1:3" x14ac:dyDescent="0.2">
      <c r="A637" s="1"/>
      <c r="C637" s="4"/>
    </row>
    <row r="638" spans="1:3" x14ac:dyDescent="0.2">
      <c r="A638" s="1"/>
      <c r="C638" s="4"/>
    </row>
    <row r="639" spans="1:3" x14ac:dyDescent="0.2">
      <c r="A639" s="1"/>
      <c r="C639" s="4"/>
    </row>
    <row r="640" spans="1:3" x14ac:dyDescent="0.2">
      <c r="A640" s="1"/>
      <c r="C640" s="4"/>
    </row>
    <row r="641" spans="1:3" x14ac:dyDescent="0.2">
      <c r="A641" s="1"/>
      <c r="C641" s="4"/>
    </row>
    <row r="642" spans="1:3" x14ac:dyDescent="0.2">
      <c r="A642" s="1"/>
      <c r="C642" s="4"/>
    </row>
    <row r="643" spans="1:3" x14ac:dyDescent="0.2">
      <c r="A643" s="1"/>
      <c r="C643" s="4"/>
    </row>
    <row r="644" spans="1:3" x14ac:dyDescent="0.2">
      <c r="A644" s="1"/>
      <c r="C644" s="4"/>
    </row>
    <row r="645" spans="1:3" x14ac:dyDescent="0.2">
      <c r="A645" s="1"/>
      <c r="C645" s="4"/>
    </row>
    <row r="646" spans="1:3" x14ac:dyDescent="0.2">
      <c r="A646" s="1"/>
      <c r="C646" s="4"/>
    </row>
    <row r="647" spans="1:3" x14ac:dyDescent="0.2">
      <c r="A647" s="1"/>
      <c r="C647" s="4"/>
    </row>
    <row r="648" spans="1:3" x14ac:dyDescent="0.2">
      <c r="A648" s="1"/>
      <c r="C648" s="4"/>
    </row>
    <row r="649" spans="1:3" x14ac:dyDescent="0.2">
      <c r="A649" s="1"/>
      <c r="C649" s="4"/>
    </row>
    <row r="650" spans="1:3" x14ac:dyDescent="0.2">
      <c r="A650" s="1"/>
      <c r="C650" s="4"/>
    </row>
    <row r="651" spans="1:3" x14ac:dyDescent="0.2">
      <c r="A651" s="1"/>
      <c r="C651" s="4"/>
    </row>
    <row r="652" spans="1:3" x14ac:dyDescent="0.2">
      <c r="A652" s="1"/>
      <c r="C652" s="4"/>
    </row>
    <row r="653" spans="1:3" x14ac:dyDescent="0.2">
      <c r="A653" s="1"/>
      <c r="C653" s="4"/>
    </row>
    <row r="654" spans="1:3" x14ac:dyDescent="0.2">
      <c r="A654" s="1"/>
      <c r="C654" s="4"/>
    </row>
    <row r="655" spans="1:3" x14ac:dyDescent="0.2">
      <c r="A655" s="1"/>
      <c r="C655" s="4"/>
    </row>
    <row r="656" spans="1:3" x14ac:dyDescent="0.2">
      <c r="A656" s="1"/>
      <c r="C656" s="4"/>
    </row>
    <row r="657" spans="1:3" x14ac:dyDescent="0.2">
      <c r="A657" s="1"/>
      <c r="C657" s="4"/>
    </row>
    <row r="658" spans="1:3" x14ac:dyDescent="0.2">
      <c r="A658" s="1"/>
      <c r="C658" s="4"/>
    </row>
    <row r="659" spans="1:3" x14ac:dyDescent="0.2">
      <c r="A659" s="1"/>
      <c r="C659" s="4"/>
    </row>
    <row r="660" spans="1:3" x14ac:dyDescent="0.2">
      <c r="A660" s="1"/>
      <c r="C660" s="4"/>
    </row>
    <row r="661" spans="1:3" x14ac:dyDescent="0.2">
      <c r="A661" s="1"/>
      <c r="C661" s="4"/>
    </row>
    <row r="662" spans="1:3" x14ac:dyDescent="0.2">
      <c r="A662" s="1"/>
      <c r="C662" s="4"/>
    </row>
    <row r="663" spans="1:3" x14ac:dyDescent="0.2">
      <c r="A663" s="1"/>
      <c r="C663" s="4"/>
    </row>
    <row r="664" spans="1:3" x14ac:dyDescent="0.2">
      <c r="A664" s="1"/>
      <c r="C664" s="4"/>
    </row>
    <row r="665" spans="1:3" x14ac:dyDescent="0.2">
      <c r="A665" s="1"/>
      <c r="C665" s="4"/>
    </row>
    <row r="666" spans="1:3" x14ac:dyDescent="0.2">
      <c r="A666" s="1"/>
      <c r="C666" s="4"/>
    </row>
    <row r="667" spans="1:3" x14ac:dyDescent="0.2">
      <c r="A667" s="1"/>
      <c r="C667" s="4"/>
    </row>
    <row r="668" spans="1:3" x14ac:dyDescent="0.2">
      <c r="A668" s="1"/>
      <c r="C668" s="4"/>
    </row>
    <row r="669" spans="1:3" x14ac:dyDescent="0.2">
      <c r="A669" s="1"/>
      <c r="C669" s="4"/>
    </row>
    <row r="670" spans="1:3" x14ac:dyDescent="0.2">
      <c r="A670" s="1"/>
      <c r="C670" s="4"/>
    </row>
    <row r="671" spans="1:3" x14ac:dyDescent="0.2">
      <c r="A671" s="1"/>
      <c r="C671" s="4"/>
    </row>
    <row r="672" spans="1:3" x14ac:dyDescent="0.2">
      <c r="A672" s="1"/>
      <c r="C672" s="4"/>
    </row>
    <row r="673" spans="1:3" x14ac:dyDescent="0.2">
      <c r="A673" s="1"/>
      <c r="C673" s="4"/>
    </row>
    <row r="674" spans="1:3" x14ac:dyDescent="0.2">
      <c r="A674" s="1"/>
      <c r="C674" s="4"/>
    </row>
    <row r="675" spans="1:3" x14ac:dyDescent="0.2">
      <c r="A675" s="1"/>
      <c r="C675" s="4"/>
    </row>
    <row r="676" spans="1:3" x14ac:dyDescent="0.2">
      <c r="A676" s="1"/>
      <c r="C676" s="4"/>
    </row>
    <row r="677" spans="1:3" x14ac:dyDescent="0.2">
      <c r="A677" s="1"/>
      <c r="C677" s="4"/>
    </row>
    <row r="678" spans="1:3" x14ac:dyDescent="0.2">
      <c r="A678" s="1"/>
      <c r="C678" s="4"/>
    </row>
    <row r="679" spans="1:3" x14ac:dyDescent="0.2">
      <c r="A679" s="1"/>
      <c r="C679" s="4"/>
    </row>
    <row r="680" spans="1:3" x14ac:dyDescent="0.2">
      <c r="A680" s="1"/>
      <c r="C680" s="4"/>
    </row>
    <row r="681" spans="1:3" x14ac:dyDescent="0.2">
      <c r="A681" s="1"/>
      <c r="C681" s="4"/>
    </row>
    <row r="682" spans="1:3" x14ac:dyDescent="0.2">
      <c r="A682" s="1"/>
      <c r="C682" s="4"/>
    </row>
    <row r="683" spans="1:3" x14ac:dyDescent="0.2">
      <c r="A683" s="1"/>
      <c r="C683" s="4"/>
    </row>
    <row r="684" spans="1:3" x14ac:dyDescent="0.2">
      <c r="A684" s="1"/>
      <c r="C684" s="4"/>
    </row>
    <row r="685" spans="1:3" x14ac:dyDescent="0.2">
      <c r="A685" s="1"/>
      <c r="C685" s="4"/>
    </row>
    <row r="686" spans="1:3" x14ac:dyDescent="0.2">
      <c r="A686" s="1"/>
      <c r="C686" s="4"/>
    </row>
    <row r="687" spans="1:3" x14ac:dyDescent="0.2">
      <c r="A687" s="1"/>
      <c r="C687" s="4"/>
    </row>
    <row r="688" spans="1:3" x14ac:dyDescent="0.2">
      <c r="A688" s="1"/>
      <c r="C688" s="4"/>
    </row>
    <row r="689" spans="1:3" x14ac:dyDescent="0.2">
      <c r="A689" s="1"/>
      <c r="C689" s="4"/>
    </row>
    <row r="690" spans="1:3" x14ac:dyDescent="0.2">
      <c r="A690" s="1"/>
      <c r="C690" s="4"/>
    </row>
    <row r="691" spans="1:3" x14ac:dyDescent="0.2">
      <c r="A691" s="1"/>
      <c r="C691" s="4"/>
    </row>
    <row r="692" spans="1:3" x14ac:dyDescent="0.2">
      <c r="A692" s="1"/>
      <c r="C692" s="4"/>
    </row>
    <row r="693" spans="1:3" x14ac:dyDescent="0.2">
      <c r="A693" s="1"/>
      <c r="C693" s="4"/>
    </row>
    <row r="694" spans="1:3" x14ac:dyDescent="0.2">
      <c r="A694" s="1"/>
      <c r="C694" s="4"/>
    </row>
    <row r="695" spans="1:3" x14ac:dyDescent="0.2">
      <c r="A695" s="1"/>
      <c r="C695" s="4"/>
    </row>
    <row r="696" spans="1:3" x14ac:dyDescent="0.2">
      <c r="A696" s="1"/>
      <c r="C696" s="4"/>
    </row>
    <row r="697" spans="1:3" x14ac:dyDescent="0.2">
      <c r="A697" s="1"/>
      <c r="C697" s="4"/>
    </row>
    <row r="698" spans="1:3" x14ac:dyDescent="0.2">
      <c r="A698" s="1"/>
      <c r="C698" s="4"/>
    </row>
    <row r="699" spans="1:3" x14ac:dyDescent="0.2">
      <c r="A699" s="1"/>
      <c r="C699" s="4"/>
    </row>
    <row r="700" spans="1:3" x14ac:dyDescent="0.2">
      <c r="A700" s="1"/>
      <c r="C700" s="4"/>
    </row>
    <row r="701" spans="1:3" x14ac:dyDescent="0.2">
      <c r="A701" s="1"/>
      <c r="C701" s="4"/>
    </row>
    <row r="702" spans="1:3" x14ac:dyDescent="0.2">
      <c r="A702" s="1"/>
      <c r="C702" s="4"/>
    </row>
    <row r="703" spans="1:3" x14ac:dyDescent="0.2">
      <c r="A703" s="1"/>
      <c r="C703" s="4"/>
    </row>
    <row r="704" spans="1:3" x14ac:dyDescent="0.2">
      <c r="A704" s="1"/>
      <c r="C704" s="4"/>
    </row>
    <row r="705" spans="1:3" x14ac:dyDescent="0.2">
      <c r="A705" s="1"/>
      <c r="C705" s="4"/>
    </row>
    <row r="706" spans="1:3" x14ac:dyDescent="0.2">
      <c r="A706" s="1"/>
      <c r="C706" s="4"/>
    </row>
    <row r="707" spans="1:3" x14ac:dyDescent="0.2">
      <c r="A707" s="1"/>
      <c r="C707" s="4"/>
    </row>
    <row r="708" spans="1:3" x14ac:dyDescent="0.2">
      <c r="A708" s="1"/>
      <c r="C708" s="4"/>
    </row>
    <row r="709" spans="1:3" x14ac:dyDescent="0.2">
      <c r="A709" s="1"/>
      <c r="C709" s="4"/>
    </row>
    <row r="710" spans="1:3" x14ac:dyDescent="0.2">
      <c r="A710" s="1"/>
      <c r="C710" s="4"/>
    </row>
    <row r="711" spans="1:3" x14ac:dyDescent="0.2">
      <c r="A711" s="1"/>
      <c r="C711" s="4"/>
    </row>
    <row r="712" spans="1:3" x14ac:dyDescent="0.2">
      <c r="A712" s="1"/>
      <c r="C712" s="4"/>
    </row>
    <row r="713" spans="1:3" x14ac:dyDescent="0.2">
      <c r="A713" s="1"/>
      <c r="C713" s="4"/>
    </row>
    <row r="714" spans="1:3" x14ac:dyDescent="0.2">
      <c r="A714" s="1"/>
      <c r="C714" s="4"/>
    </row>
    <row r="715" spans="1:3" x14ac:dyDescent="0.2">
      <c r="A715" s="1"/>
      <c r="C715" s="4"/>
    </row>
    <row r="716" spans="1:3" x14ac:dyDescent="0.2">
      <c r="A716" s="1"/>
      <c r="C716" s="4"/>
    </row>
    <row r="717" spans="1:3" x14ac:dyDescent="0.2">
      <c r="A717" s="1"/>
      <c r="C717" s="4"/>
    </row>
    <row r="718" spans="1:3" x14ac:dyDescent="0.2">
      <c r="A718" s="1"/>
      <c r="C718" s="4"/>
    </row>
    <row r="719" spans="1:3" x14ac:dyDescent="0.2">
      <c r="A719" s="1"/>
      <c r="C719" s="4"/>
    </row>
    <row r="720" spans="1:3" x14ac:dyDescent="0.2">
      <c r="A720" s="1"/>
      <c r="C720" s="4"/>
    </row>
    <row r="721" spans="1:3" x14ac:dyDescent="0.2">
      <c r="A721" s="1"/>
      <c r="C721" s="4"/>
    </row>
    <row r="722" spans="1:3" x14ac:dyDescent="0.2">
      <c r="A722" s="1"/>
      <c r="C722" s="4"/>
    </row>
    <row r="723" spans="1:3" x14ac:dyDescent="0.2">
      <c r="A723" s="1"/>
      <c r="C723" s="4"/>
    </row>
    <row r="724" spans="1:3" x14ac:dyDescent="0.2">
      <c r="A724" s="1"/>
      <c r="C724" s="4"/>
    </row>
    <row r="725" spans="1:3" x14ac:dyDescent="0.2">
      <c r="A725" s="1"/>
      <c r="C725" s="4"/>
    </row>
    <row r="726" spans="1:3" x14ac:dyDescent="0.2">
      <c r="A726" s="1"/>
      <c r="C726" s="4"/>
    </row>
    <row r="727" spans="1:3" x14ac:dyDescent="0.2">
      <c r="A727" s="1"/>
      <c r="C727" s="4"/>
    </row>
    <row r="728" spans="1:3" x14ac:dyDescent="0.2">
      <c r="A728" s="1"/>
      <c r="C728" s="4"/>
    </row>
    <row r="729" spans="1:3" x14ac:dyDescent="0.2">
      <c r="A729" s="1"/>
      <c r="C729" s="4"/>
    </row>
    <row r="730" spans="1:3" x14ac:dyDescent="0.2">
      <c r="A730" s="1"/>
      <c r="C730" s="4"/>
    </row>
    <row r="731" spans="1:3" x14ac:dyDescent="0.2">
      <c r="A731" s="1"/>
      <c r="C731" s="4"/>
    </row>
    <row r="732" spans="1:3" x14ac:dyDescent="0.2">
      <c r="A732" s="1"/>
      <c r="C732" s="4"/>
    </row>
    <row r="733" spans="1:3" x14ac:dyDescent="0.2">
      <c r="A733" s="1"/>
      <c r="C733" s="4"/>
    </row>
    <row r="734" spans="1:3" x14ac:dyDescent="0.2">
      <c r="A734" s="1"/>
      <c r="C734" s="4"/>
    </row>
    <row r="735" spans="1:3" x14ac:dyDescent="0.2">
      <c r="A735" s="1"/>
      <c r="C735" s="4"/>
    </row>
    <row r="736" spans="1:3" x14ac:dyDescent="0.2">
      <c r="A736" s="1"/>
      <c r="C736" s="4"/>
    </row>
    <row r="737" spans="1:3" x14ac:dyDescent="0.2">
      <c r="A737" s="1"/>
      <c r="C737" s="4"/>
    </row>
    <row r="738" spans="1:3" x14ac:dyDescent="0.2">
      <c r="A738" s="1"/>
      <c r="C738" s="4"/>
    </row>
    <row r="739" spans="1:3" x14ac:dyDescent="0.2">
      <c r="A739" s="1"/>
      <c r="C739" s="4"/>
    </row>
    <row r="740" spans="1:3" x14ac:dyDescent="0.2">
      <c r="A740" s="1"/>
      <c r="C740" s="4"/>
    </row>
    <row r="741" spans="1:3" x14ac:dyDescent="0.2">
      <c r="A741" s="1"/>
      <c r="C741" s="4"/>
    </row>
    <row r="742" spans="1:3" x14ac:dyDescent="0.2">
      <c r="A742" s="1"/>
      <c r="C742" s="4"/>
    </row>
    <row r="743" spans="1:3" x14ac:dyDescent="0.2">
      <c r="A743" s="1"/>
      <c r="C743" s="4"/>
    </row>
    <row r="744" spans="1:3" x14ac:dyDescent="0.2">
      <c r="A744" s="1"/>
      <c r="C744" s="4"/>
    </row>
    <row r="745" spans="1:3" x14ac:dyDescent="0.2">
      <c r="A745" s="1"/>
      <c r="C745" s="4"/>
    </row>
    <row r="746" spans="1:3" x14ac:dyDescent="0.2">
      <c r="A746" s="1"/>
      <c r="C746" s="4"/>
    </row>
    <row r="747" spans="1:3" x14ac:dyDescent="0.2">
      <c r="A747" s="1"/>
      <c r="C747" s="4"/>
    </row>
    <row r="748" spans="1:3" x14ac:dyDescent="0.2">
      <c r="A748" s="1"/>
      <c r="C748" s="4"/>
    </row>
    <row r="749" spans="1:3" x14ac:dyDescent="0.2">
      <c r="A749" s="1"/>
      <c r="C749" s="4"/>
    </row>
    <row r="750" spans="1:3" x14ac:dyDescent="0.2">
      <c r="A750" s="1"/>
      <c r="C750" s="4"/>
    </row>
    <row r="751" spans="1:3" x14ac:dyDescent="0.2">
      <c r="A751" s="1"/>
      <c r="C751" s="4"/>
    </row>
    <row r="752" spans="1:3" x14ac:dyDescent="0.2">
      <c r="A752" s="1"/>
      <c r="C752" s="4"/>
    </row>
    <row r="753" spans="1:3" x14ac:dyDescent="0.2">
      <c r="A753" s="1"/>
      <c r="C753" s="4"/>
    </row>
    <row r="754" spans="1:3" x14ac:dyDescent="0.2">
      <c r="A754" s="1"/>
      <c r="C754" s="4"/>
    </row>
    <row r="755" spans="1:3" x14ac:dyDescent="0.2">
      <c r="A755" s="1"/>
      <c r="C755" s="4"/>
    </row>
    <row r="756" spans="1:3" x14ac:dyDescent="0.2">
      <c r="A756" s="1"/>
      <c r="C756" s="4"/>
    </row>
    <row r="757" spans="1:3" x14ac:dyDescent="0.2">
      <c r="A757" s="1"/>
      <c r="C757" s="4"/>
    </row>
    <row r="758" spans="1:3" x14ac:dyDescent="0.2">
      <c r="A758" s="1"/>
      <c r="C758" s="4"/>
    </row>
    <row r="759" spans="1:3" x14ac:dyDescent="0.2">
      <c r="A759" s="1"/>
      <c r="C759" s="4"/>
    </row>
    <row r="760" spans="1:3" x14ac:dyDescent="0.2">
      <c r="A760" s="1"/>
      <c r="C760" s="4"/>
    </row>
    <row r="761" spans="1:3" x14ac:dyDescent="0.2">
      <c r="A761" s="1"/>
      <c r="C761" s="4"/>
    </row>
    <row r="762" spans="1:3" x14ac:dyDescent="0.2">
      <c r="A762" s="1"/>
      <c r="C762" s="4"/>
    </row>
    <row r="763" spans="1:3" x14ac:dyDescent="0.2">
      <c r="A763" s="1"/>
      <c r="C763" s="4"/>
    </row>
    <row r="764" spans="1:3" x14ac:dyDescent="0.2">
      <c r="A764" s="1"/>
      <c r="C764" s="4"/>
    </row>
    <row r="765" spans="1:3" x14ac:dyDescent="0.2">
      <c r="A765" s="1"/>
      <c r="C765" s="4"/>
    </row>
    <row r="766" spans="1:3" x14ac:dyDescent="0.2">
      <c r="A766" s="1"/>
      <c r="C766" s="4"/>
    </row>
    <row r="767" spans="1:3" x14ac:dyDescent="0.2">
      <c r="A767" s="1"/>
      <c r="C767" s="4"/>
    </row>
    <row r="768" spans="1:3" x14ac:dyDescent="0.2">
      <c r="A768" s="1"/>
      <c r="C768" s="4"/>
    </row>
    <row r="769" spans="1:3" x14ac:dyDescent="0.2">
      <c r="A769" s="1"/>
      <c r="C769" s="4"/>
    </row>
    <row r="770" spans="1:3" x14ac:dyDescent="0.2">
      <c r="A770" s="1"/>
      <c r="C770" s="4"/>
    </row>
    <row r="771" spans="1:3" x14ac:dyDescent="0.2">
      <c r="A771" s="1"/>
      <c r="C771" s="4"/>
    </row>
    <row r="772" spans="1:3" x14ac:dyDescent="0.2">
      <c r="A772" s="1"/>
      <c r="C772" s="4"/>
    </row>
    <row r="773" spans="1:3" x14ac:dyDescent="0.2">
      <c r="A773" s="1"/>
      <c r="C773" s="4"/>
    </row>
    <row r="774" spans="1:3" x14ac:dyDescent="0.2">
      <c r="A774" s="1"/>
      <c r="C774" s="4"/>
    </row>
    <row r="775" spans="1:3" x14ac:dyDescent="0.2">
      <c r="A775" s="1"/>
      <c r="C775" s="4"/>
    </row>
    <row r="776" spans="1:3" x14ac:dyDescent="0.2">
      <c r="A776" s="1"/>
      <c r="C776" s="4"/>
    </row>
    <row r="777" spans="1:3" x14ac:dyDescent="0.2">
      <c r="A777" s="1"/>
      <c r="C777" s="4"/>
    </row>
    <row r="778" spans="1:3" x14ac:dyDescent="0.2">
      <c r="A778" s="1"/>
      <c r="C778" s="4"/>
    </row>
    <row r="779" spans="1:3" x14ac:dyDescent="0.2">
      <c r="A779" s="1"/>
      <c r="C779" s="4"/>
    </row>
    <row r="780" spans="1:3" x14ac:dyDescent="0.2">
      <c r="A780" s="1"/>
      <c r="C780" s="4"/>
    </row>
    <row r="781" spans="1:3" x14ac:dyDescent="0.2">
      <c r="A781" s="1"/>
      <c r="C781" s="4"/>
    </row>
    <row r="782" spans="1:3" x14ac:dyDescent="0.2">
      <c r="A782" s="1"/>
      <c r="C782" s="4"/>
    </row>
    <row r="783" spans="1:3" x14ac:dyDescent="0.2">
      <c r="A783" s="1"/>
      <c r="C783" s="4"/>
    </row>
    <row r="784" spans="1:3" x14ac:dyDescent="0.2">
      <c r="A784" s="1"/>
      <c r="C784" s="4"/>
    </row>
    <row r="785" spans="1:3" x14ac:dyDescent="0.2">
      <c r="A785" s="1"/>
      <c r="C785" s="4"/>
    </row>
    <row r="786" spans="1:3" x14ac:dyDescent="0.2">
      <c r="A786" s="1"/>
      <c r="C786" s="4"/>
    </row>
    <row r="787" spans="1:3" x14ac:dyDescent="0.2">
      <c r="A787" s="1"/>
      <c r="C787" s="4"/>
    </row>
    <row r="788" spans="1:3" x14ac:dyDescent="0.2">
      <c r="A788" s="1"/>
      <c r="C788" s="4"/>
    </row>
    <row r="789" spans="1:3" x14ac:dyDescent="0.2">
      <c r="A789" s="1"/>
      <c r="C789" s="4"/>
    </row>
    <row r="790" spans="1:3" x14ac:dyDescent="0.2">
      <c r="A790" s="1"/>
      <c r="C790" s="4"/>
    </row>
    <row r="791" spans="1:3" x14ac:dyDescent="0.2">
      <c r="A791" s="1"/>
      <c r="C791" s="4"/>
    </row>
    <row r="792" spans="1:3" x14ac:dyDescent="0.2">
      <c r="A792" s="1"/>
      <c r="C792" s="4"/>
    </row>
    <row r="793" spans="1:3" x14ac:dyDescent="0.2">
      <c r="A793" s="1"/>
      <c r="C793" s="4"/>
    </row>
    <row r="794" spans="1:3" x14ac:dyDescent="0.2">
      <c r="A794" s="1"/>
      <c r="C794" s="4"/>
    </row>
    <row r="795" spans="1:3" x14ac:dyDescent="0.2">
      <c r="A795" s="1"/>
      <c r="C795" s="4"/>
    </row>
    <row r="796" spans="1:3" x14ac:dyDescent="0.2">
      <c r="A796" s="1"/>
      <c r="C796" s="4"/>
    </row>
    <row r="797" spans="1:3" x14ac:dyDescent="0.2">
      <c r="A797" s="1"/>
      <c r="C797" s="4"/>
    </row>
    <row r="798" spans="1:3" x14ac:dyDescent="0.2">
      <c r="A798" s="1"/>
      <c r="C798" s="4"/>
    </row>
    <row r="799" spans="1:3" x14ac:dyDescent="0.2">
      <c r="A799" s="1"/>
      <c r="C799" s="4"/>
    </row>
    <row r="800" spans="1:3" x14ac:dyDescent="0.2">
      <c r="A800" s="1"/>
      <c r="C800" s="4"/>
    </row>
    <row r="801" spans="1:3" x14ac:dyDescent="0.2">
      <c r="A801" s="1"/>
      <c r="C801" s="4"/>
    </row>
    <row r="802" spans="1:3" x14ac:dyDescent="0.2">
      <c r="A802" s="1"/>
      <c r="C802" s="4"/>
    </row>
    <row r="803" spans="1:3" x14ac:dyDescent="0.2">
      <c r="A803" s="1"/>
      <c r="C803" s="4"/>
    </row>
    <row r="804" spans="1:3" x14ac:dyDescent="0.2">
      <c r="A804" s="1"/>
      <c r="C804" s="4"/>
    </row>
    <row r="805" spans="1:3" x14ac:dyDescent="0.2">
      <c r="A805" s="1"/>
      <c r="C805" s="4"/>
    </row>
    <row r="806" spans="1:3" x14ac:dyDescent="0.2">
      <c r="A806" s="1"/>
      <c r="C806" s="4"/>
    </row>
    <row r="807" spans="1:3" x14ac:dyDescent="0.2">
      <c r="A807" s="1"/>
      <c r="C807" s="4"/>
    </row>
    <row r="808" spans="1:3" x14ac:dyDescent="0.2">
      <c r="A808" s="1"/>
      <c r="C808" s="4"/>
    </row>
    <row r="809" spans="1:3" x14ac:dyDescent="0.2">
      <c r="A809" s="1"/>
      <c r="C809" s="4"/>
    </row>
    <row r="810" spans="1:3" x14ac:dyDescent="0.2">
      <c r="A810" s="1"/>
      <c r="C810" s="4"/>
    </row>
    <row r="811" spans="1:3" x14ac:dyDescent="0.2">
      <c r="A811" s="1"/>
      <c r="C811" s="4"/>
    </row>
    <row r="812" spans="1:3" x14ac:dyDescent="0.2">
      <c r="A812" s="1"/>
      <c r="C812" s="4"/>
    </row>
    <row r="813" spans="1:3" x14ac:dyDescent="0.2">
      <c r="A813" s="1"/>
      <c r="C813" s="4"/>
    </row>
    <row r="814" spans="1:3" x14ac:dyDescent="0.2">
      <c r="A814" s="1"/>
      <c r="C814" s="4"/>
    </row>
    <row r="815" spans="1:3" x14ac:dyDescent="0.2">
      <c r="A815" s="1"/>
      <c r="C815" s="4"/>
    </row>
    <row r="816" spans="1:3" x14ac:dyDescent="0.2">
      <c r="A816" s="1"/>
      <c r="C816" s="4"/>
    </row>
    <row r="817" spans="1:3" x14ac:dyDescent="0.2">
      <c r="A817" s="1"/>
      <c r="C817" s="4"/>
    </row>
    <row r="818" spans="1:3" x14ac:dyDescent="0.2">
      <c r="A818" s="1"/>
      <c r="C818" s="4"/>
    </row>
    <row r="819" spans="1:3" x14ac:dyDescent="0.2">
      <c r="A819" s="1"/>
      <c r="C819" s="4"/>
    </row>
    <row r="820" spans="1:3" x14ac:dyDescent="0.2">
      <c r="A820" s="1"/>
      <c r="C820" s="4"/>
    </row>
    <row r="821" spans="1:3" x14ac:dyDescent="0.2">
      <c r="A821" s="1"/>
      <c r="C821" s="4"/>
    </row>
    <row r="822" spans="1:3" x14ac:dyDescent="0.2">
      <c r="A822" s="1"/>
      <c r="C822" s="4"/>
    </row>
    <row r="823" spans="1:3" x14ac:dyDescent="0.2">
      <c r="A823" s="1"/>
      <c r="C823" s="4"/>
    </row>
    <row r="824" spans="1:3" x14ac:dyDescent="0.2">
      <c r="A824" s="1"/>
      <c r="C824" s="4"/>
    </row>
    <row r="825" spans="1:3" x14ac:dyDescent="0.2">
      <c r="A825" s="1"/>
      <c r="C825" s="4"/>
    </row>
    <row r="826" spans="1:3" x14ac:dyDescent="0.2">
      <c r="A826" s="1"/>
      <c r="C826" s="4"/>
    </row>
    <row r="827" spans="1:3" x14ac:dyDescent="0.2">
      <c r="A827" s="1"/>
      <c r="C827" s="4"/>
    </row>
    <row r="828" spans="1:3" x14ac:dyDescent="0.2">
      <c r="A828" s="1"/>
      <c r="C828" s="4"/>
    </row>
    <row r="829" spans="1:3" x14ac:dyDescent="0.2">
      <c r="A829" s="1"/>
      <c r="C829" s="4"/>
    </row>
    <row r="830" spans="1:3" x14ac:dyDescent="0.2">
      <c r="A830" s="1"/>
      <c r="C830" s="4"/>
    </row>
    <row r="831" spans="1:3" x14ac:dyDescent="0.2">
      <c r="A831" s="1"/>
      <c r="C831" s="4"/>
    </row>
    <row r="832" spans="1:3" x14ac:dyDescent="0.2">
      <c r="A832" s="1"/>
      <c r="C832" s="4"/>
    </row>
    <row r="833" spans="1:3" x14ac:dyDescent="0.2">
      <c r="A833" s="1"/>
      <c r="C833" s="4"/>
    </row>
    <row r="834" spans="1:3" x14ac:dyDescent="0.2">
      <c r="A834" s="1"/>
      <c r="C834" s="4"/>
    </row>
    <row r="835" spans="1:3" x14ac:dyDescent="0.2">
      <c r="A835" s="1"/>
      <c r="C835" s="4"/>
    </row>
    <row r="836" spans="1:3" x14ac:dyDescent="0.2">
      <c r="A836" s="1"/>
      <c r="C836" s="4"/>
    </row>
    <row r="837" spans="1:3" x14ac:dyDescent="0.2">
      <c r="A837" s="1"/>
      <c r="C837" s="4"/>
    </row>
    <row r="838" spans="1:3" x14ac:dyDescent="0.2">
      <c r="A838" s="1"/>
      <c r="C838" s="4"/>
    </row>
    <row r="839" spans="1:3" x14ac:dyDescent="0.2">
      <c r="A839" s="1"/>
      <c r="C839" s="4"/>
    </row>
    <row r="840" spans="1:3" x14ac:dyDescent="0.2">
      <c r="A840" s="1"/>
      <c r="C840" s="4"/>
    </row>
    <row r="841" spans="1:3" x14ac:dyDescent="0.2">
      <c r="A841" s="1"/>
      <c r="C841" s="4"/>
    </row>
    <row r="842" spans="1:3" x14ac:dyDescent="0.2">
      <c r="A842" s="1"/>
      <c r="C842" s="4"/>
    </row>
    <row r="843" spans="1:3" x14ac:dyDescent="0.2">
      <c r="A843" s="1"/>
      <c r="C843" s="4"/>
    </row>
    <row r="844" spans="1:3" x14ac:dyDescent="0.2">
      <c r="A844" s="1"/>
      <c r="C844" s="4"/>
    </row>
    <row r="845" spans="1:3" x14ac:dyDescent="0.2">
      <c r="A845" s="1"/>
      <c r="C845" s="4"/>
    </row>
    <row r="846" spans="1:3" x14ac:dyDescent="0.2">
      <c r="A846" s="1"/>
      <c r="C846" s="4"/>
    </row>
    <row r="847" spans="1:3" x14ac:dyDescent="0.2">
      <c r="A847" s="1"/>
      <c r="C847" s="4"/>
    </row>
    <row r="848" spans="1:3" x14ac:dyDescent="0.2">
      <c r="A848" s="1"/>
      <c r="C848" s="4"/>
    </row>
    <row r="849" spans="1:3" x14ac:dyDescent="0.2">
      <c r="A849" s="1"/>
      <c r="C849" s="4"/>
    </row>
    <row r="850" spans="1:3" x14ac:dyDescent="0.2">
      <c r="A850" s="1"/>
      <c r="C850" s="4"/>
    </row>
    <row r="851" spans="1:3" x14ac:dyDescent="0.2">
      <c r="A851" s="1"/>
      <c r="C851" s="4"/>
    </row>
    <row r="852" spans="1:3" x14ac:dyDescent="0.2">
      <c r="A852" s="1"/>
      <c r="C852" s="4"/>
    </row>
    <row r="853" spans="1:3" x14ac:dyDescent="0.2">
      <c r="A853" s="1"/>
      <c r="C853" s="4"/>
    </row>
    <row r="854" spans="1:3" x14ac:dyDescent="0.2">
      <c r="A854" s="1"/>
      <c r="C854" s="4"/>
    </row>
    <row r="855" spans="1:3" x14ac:dyDescent="0.2">
      <c r="A855" s="1"/>
      <c r="C855" s="4"/>
    </row>
    <row r="856" spans="1:3" x14ac:dyDescent="0.2">
      <c r="A856" s="1"/>
      <c r="C856" s="4"/>
    </row>
    <row r="857" spans="1:3" x14ac:dyDescent="0.2">
      <c r="A857" s="1"/>
      <c r="C857" s="4"/>
    </row>
    <row r="858" spans="1:3" x14ac:dyDescent="0.2">
      <c r="A858" s="1"/>
      <c r="C858" s="4"/>
    </row>
    <row r="859" spans="1:3" x14ac:dyDescent="0.2">
      <c r="A859" s="1"/>
      <c r="C859" s="4"/>
    </row>
    <row r="860" spans="1:3" x14ac:dyDescent="0.2">
      <c r="A860" s="1"/>
      <c r="C860" s="4"/>
    </row>
    <row r="861" spans="1:3" x14ac:dyDescent="0.2">
      <c r="A861" s="1"/>
      <c r="C861" s="4"/>
    </row>
    <row r="862" spans="1:3" x14ac:dyDescent="0.2">
      <c r="A862" s="1"/>
      <c r="C862" s="4"/>
    </row>
    <row r="863" spans="1:3" x14ac:dyDescent="0.2">
      <c r="A863" s="1"/>
      <c r="C863" s="4"/>
    </row>
    <row r="864" spans="1:3" x14ac:dyDescent="0.2">
      <c r="A864" s="1"/>
      <c r="C864" s="4"/>
    </row>
    <row r="865" spans="1:3" x14ac:dyDescent="0.2">
      <c r="A865" s="1"/>
      <c r="C865" s="4"/>
    </row>
    <row r="866" spans="1:3" x14ac:dyDescent="0.2">
      <c r="A866" s="1"/>
      <c r="C866" s="4"/>
    </row>
    <row r="867" spans="1:3" x14ac:dyDescent="0.2">
      <c r="A867" s="1"/>
      <c r="C867" s="4"/>
    </row>
    <row r="868" spans="1:3" x14ac:dyDescent="0.2">
      <c r="A868" s="1"/>
      <c r="C868" s="4"/>
    </row>
    <row r="869" spans="1:3" x14ac:dyDescent="0.2">
      <c r="A869" s="1"/>
      <c r="C869" s="4"/>
    </row>
    <row r="870" spans="1:3" x14ac:dyDescent="0.2">
      <c r="A870" s="1"/>
      <c r="C870" s="4"/>
    </row>
    <row r="871" spans="1:3" x14ac:dyDescent="0.2">
      <c r="A871" s="1"/>
      <c r="C871" s="4"/>
    </row>
    <row r="872" spans="1:3" x14ac:dyDescent="0.2">
      <c r="A872" s="1"/>
      <c r="C872" s="4"/>
    </row>
    <row r="873" spans="1:3" x14ac:dyDescent="0.2">
      <c r="A873" s="1"/>
      <c r="C873" s="4"/>
    </row>
    <row r="874" spans="1:3" x14ac:dyDescent="0.2">
      <c r="A874" s="1"/>
      <c r="C874" s="4"/>
    </row>
    <row r="875" spans="1:3" x14ac:dyDescent="0.2">
      <c r="A875" s="1"/>
      <c r="C875" s="4"/>
    </row>
    <row r="876" spans="1:3" x14ac:dyDescent="0.2">
      <c r="A876" s="1"/>
      <c r="C876" s="4"/>
    </row>
    <row r="877" spans="1:3" x14ac:dyDescent="0.2">
      <c r="A877" s="1"/>
      <c r="C877" s="4"/>
    </row>
    <row r="878" spans="1:3" x14ac:dyDescent="0.2">
      <c r="A878" s="1"/>
      <c r="C878" s="4"/>
    </row>
    <row r="879" spans="1:3" x14ac:dyDescent="0.2">
      <c r="A879" s="1"/>
      <c r="C879" s="4"/>
    </row>
    <row r="880" spans="1:3" x14ac:dyDescent="0.2">
      <c r="A880" s="1"/>
      <c r="C880" s="4"/>
    </row>
    <row r="881" spans="1:3" x14ac:dyDescent="0.2">
      <c r="A881" s="1"/>
      <c r="C881" s="4"/>
    </row>
    <row r="882" spans="1:3" x14ac:dyDescent="0.2">
      <c r="A882" s="1"/>
      <c r="C882" s="4"/>
    </row>
    <row r="883" spans="1:3" x14ac:dyDescent="0.2">
      <c r="A883" s="1"/>
      <c r="C883" s="4"/>
    </row>
    <row r="884" spans="1:3" x14ac:dyDescent="0.2">
      <c r="A884" s="1"/>
      <c r="C884" s="4"/>
    </row>
    <row r="885" spans="1:3" x14ac:dyDescent="0.2">
      <c r="A885" s="1"/>
      <c r="C885" s="4"/>
    </row>
    <row r="886" spans="1:3" x14ac:dyDescent="0.2">
      <c r="A886" s="1"/>
      <c r="C886" s="4"/>
    </row>
    <row r="887" spans="1:3" x14ac:dyDescent="0.2">
      <c r="A887" s="1"/>
      <c r="C887" s="4"/>
    </row>
    <row r="888" spans="1:3" x14ac:dyDescent="0.2">
      <c r="A888" s="1"/>
      <c r="C888" s="4"/>
    </row>
    <row r="889" spans="1:3" x14ac:dyDescent="0.2">
      <c r="A889" s="1"/>
      <c r="C889" s="4"/>
    </row>
    <row r="890" spans="1:3" x14ac:dyDescent="0.2">
      <c r="A890" s="1"/>
      <c r="C890" s="4"/>
    </row>
    <row r="891" spans="1:3" x14ac:dyDescent="0.2">
      <c r="A891" s="1"/>
      <c r="C891" s="4"/>
    </row>
    <row r="892" spans="1:3" x14ac:dyDescent="0.2">
      <c r="A892" s="1"/>
      <c r="C892" s="4"/>
    </row>
    <row r="893" spans="1:3" x14ac:dyDescent="0.2">
      <c r="A893" s="1"/>
      <c r="C893" s="4"/>
    </row>
    <row r="894" spans="1:3" x14ac:dyDescent="0.2">
      <c r="A894" s="1"/>
      <c r="C894" s="4"/>
    </row>
    <row r="895" spans="1:3" x14ac:dyDescent="0.2">
      <c r="A895" s="1"/>
      <c r="C895" s="4"/>
    </row>
    <row r="896" spans="1:3" x14ac:dyDescent="0.2">
      <c r="A896" s="1"/>
      <c r="C896" s="4"/>
    </row>
    <row r="897" spans="1:3" x14ac:dyDescent="0.2">
      <c r="A897" s="1"/>
      <c r="C897" s="4"/>
    </row>
    <row r="898" spans="1:3" x14ac:dyDescent="0.2">
      <c r="A898" s="1"/>
      <c r="C898" s="4"/>
    </row>
    <row r="899" spans="1:3" x14ac:dyDescent="0.2">
      <c r="A899" s="1"/>
      <c r="C899" s="4"/>
    </row>
    <row r="900" spans="1:3" x14ac:dyDescent="0.2">
      <c r="A900" s="1"/>
      <c r="C900" s="4"/>
    </row>
    <row r="901" spans="1:3" x14ac:dyDescent="0.2">
      <c r="A901" s="1"/>
      <c r="C901" s="4"/>
    </row>
    <row r="902" spans="1:3" x14ac:dyDescent="0.2">
      <c r="A902" s="1"/>
      <c r="C902" s="4"/>
    </row>
    <row r="903" spans="1:3" x14ac:dyDescent="0.2">
      <c r="A903" s="1"/>
      <c r="C903" s="4"/>
    </row>
    <row r="904" spans="1:3" x14ac:dyDescent="0.2">
      <c r="A904" s="1"/>
      <c r="C904" s="4"/>
    </row>
    <row r="905" spans="1:3" x14ac:dyDescent="0.2">
      <c r="A905" s="1"/>
      <c r="C905" s="4"/>
    </row>
    <row r="906" spans="1:3" x14ac:dyDescent="0.2">
      <c r="A906" s="1"/>
      <c r="C906" s="4"/>
    </row>
    <row r="907" spans="1:3" x14ac:dyDescent="0.2">
      <c r="A907" s="1"/>
      <c r="C907" s="4"/>
    </row>
    <row r="908" spans="1:3" x14ac:dyDescent="0.2">
      <c r="A908" s="1"/>
      <c r="C908" s="4"/>
    </row>
    <row r="909" spans="1:3" x14ac:dyDescent="0.2">
      <c r="A909" s="1"/>
      <c r="C909" s="4"/>
    </row>
    <row r="910" spans="1:3" x14ac:dyDescent="0.2">
      <c r="A910" s="1"/>
      <c r="C910" s="4"/>
    </row>
    <row r="911" spans="1:3" x14ac:dyDescent="0.2">
      <c r="A911" s="1"/>
      <c r="C911" s="4"/>
    </row>
    <row r="912" spans="1:3" x14ac:dyDescent="0.2">
      <c r="A912" s="1"/>
      <c r="C912" s="4"/>
    </row>
    <row r="913" spans="1:3" x14ac:dyDescent="0.2">
      <c r="A913" s="1"/>
      <c r="C913" s="4"/>
    </row>
    <row r="914" spans="1:3" x14ac:dyDescent="0.2">
      <c r="A914" s="1"/>
      <c r="C914" s="4"/>
    </row>
    <row r="915" spans="1:3" x14ac:dyDescent="0.2">
      <c r="A915" s="1"/>
      <c r="C915" s="4"/>
    </row>
    <row r="916" spans="1:3" x14ac:dyDescent="0.2">
      <c r="A916" s="1"/>
      <c r="C916" s="4"/>
    </row>
    <row r="917" spans="1:3" x14ac:dyDescent="0.2">
      <c r="A917" s="1"/>
      <c r="C917" s="4"/>
    </row>
    <row r="918" spans="1:3" x14ac:dyDescent="0.2">
      <c r="A918" s="1"/>
      <c r="C918" s="4"/>
    </row>
    <row r="919" spans="1:3" x14ac:dyDescent="0.2">
      <c r="A919" s="1"/>
      <c r="C919" s="4"/>
    </row>
    <row r="920" spans="1:3" x14ac:dyDescent="0.2">
      <c r="A920" s="1"/>
      <c r="C920" s="4"/>
    </row>
    <row r="921" spans="1:3" x14ac:dyDescent="0.2">
      <c r="A921" s="1"/>
      <c r="C921" s="4"/>
    </row>
    <row r="922" spans="1:3" x14ac:dyDescent="0.2">
      <c r="A922" s="1"/>
      <c r="C922" s="4"/>
    </row>
    <row r="923" spans="1:3" x14ac:dyDescent="0.2">
      <c r="A923" s="1"/>
      <c r="C923" s="4"/>
    </row>
    <row r="924" spans="1:3" x14ac:dyDescent="0.2">
      <c r="A924" s="1"/>
      <c r="C924" s="4"/>
    </row>
    <row r="925" spans="1:3" x14ac:dyDescent="0.2">
      <c r="A925" s="1"/>
      <c r="C925" s="4"/>
    </row>
    <row r="926" spans="1:3" x14ac:dyDescent="0.2">
      <c r="A926" s="1"/>
      <c r="C926" s="4"/>
    </row>
    <row r="927" spans="1:3" x14ac:dyDescent="0.2">
      <c r="A927" s="1"/>
      <c r="C927" s="4"/>
    </row>
    <row r="928" spans="1:3" x14ac:dyDescent="0.2">
      <c r="A928" s="1"/>
      <c r="C928" s="4"/>
    </row>
    <row r="929" spans="1:3" x14ac:dyDescent="0.2">
      <c r="A929" s="1"/>
      <c r="C929" s="4"/>
    </row>
    <row r="930" spans="1:3" x14ac:dyDescent="0.2">
      <c r="A930" s="1"/>
      <c r="C930" s="4"/>
    </row>
    <row r="931" spans="1:3" x14ac:dyDescent="0.2">
      <c r="A931" s="1"/>
      <c r="C931" s="4"/>
    </row>
    <row r="932" spans="1:3" x14ac:dyDescent="0.2">
      <c r="A932" s="1"/>
      <c r="C932" s="4"/>
    </row>
    <row r="933" spans="1:3" x14ac:dyDescent="0.2">
      <c r="A933" s="1"/>
      <c r="C933" s="4"/>
    </row>
    <row r="934" spans="1:3" x14ac:dyDescent="0.2">
      <c r="A934" s="1"/>
      <c r="C934" s="4"/>
    </row>
    <row r="935" spans="1:3" x14ac:dyDescent="0.2">
      <c r="A935" s="1"/>
      <c r="C935" s="4"/>
    </row>
    <row r="936" spans="1:3" x14ac:dyDescent="0.2">
      <c r="A936" s="1"/>
      <c r="C936" s="4"/>
    </row>
    <row r="937" spans="1:3" x14ac:dyDescent="0.2">
      <c r="A937" s="1"/>
      <c r="C937" s="4"/>
    </row>
    <row r="938" spans="1:3" x14ac:dyDescent="0.2">
      <c r="A938" s="1"/>
      <c r="C938" s="4"/>
    </row>
    <row r="939" spans="1:3" x14ac:dyDescent="0.2">
      <c r="A939" s="1"/>
      <c r="C939" s="4"/>
    </row>
    <row r="940" spans="1:3" x14ac:dyDescent="0.2">
      <c r="A940" s="1"/>
      <c r="C940" s="4"/>
    </row>
    <row r="941" spans="1:3" x14ac:dyDescent="0.2">
      <c r="A941" s="1"/>
      <c r="C941" s="4"/>
    </row>
    <row r="942" spans="1:3" x14ac:dyDescent="0.2">
      <c r="A942" s="1"/>
      <c r="C942" s="4"/>
    </row>
    <row r="943" spans="1:3" x14ac:dyDescent="0.2">
      <c r="A943" s="1"/>
      <c r="C943" s="4"/>
    </row>
    <row r="944" spans="1:3" x14ac:dyDescent="0.2">
      <c r="A944" s="1"/>
      <c r="C944" s="4"/>
    </row>
    <row r="945" spans="1:3" x14ac:dyDescent="0.2">
      <c r="A945" s="1"/>
      <c r="C945" s="4"/>
    </row>
    <row r="946" spans="1:3" x14ac:dyDescent="0.2">
      <c r="A946" s="1"/>
      <c r="C946" s="4"/>
    </row>
    <row r="947" spans="1:3" x14ac:dyDescent="0.2">
      <c r="A947" s="1"/>
      <c r="C947" s="4"/>
    </row>
    <row r="948" spans="1:3" x14ac:dyDescent="0.2">
      <c r="A948" s="1"/>
      <c r="C948" s="4"/>
    </row>
    <row r="949" spans="1:3" x14ac:dyDescent="0.2">
      <c r="A949" s="1"/>
      <c r="C949" s="4"/>
    </row>
    <row r="950" spans="1:3" x14ac:dyDescent="0.2">
      <c r="A950" s="1"/>
      <c r="C950" s="4"/>
    </row>
    <row r="951" spans="1:3" x14ac:dyDescent="0.2">
      <c r="A951" s="1"/>
      <c r="C951" s="4"/>
    </row>
    <row r="952" spans="1:3" x14ac:dyDescent="0.2">
      <c r="A952" s="1"/>
      <c r="C952" s="4"/>
    </row>
    <row r="953" spans="1:3" x14ac:dyDescent="0.2">
      <c r="A953" s="1"/>
      <c r="C953" s="4"/>
    </row>
    <row r="954" spans="1:3" x14ac:dyDescent="0.2">
      <c r="A954" s="1"/>
      <c r="C954" s="4"/>
    </row>
    <row r="955" spans="1:3" x14ac:dyDescent="0.2">
      <c r="A955" s="1"/>
      <c r="C955" s="4"/>
    </row>
    <row r="956" spans="1:3" x14ac:dyDescent="0.2">
      <c r="A956" s="1"/>
      <c r="C956" s="4"/>
    </row>
    <row r="957" spans="1:3" x14ac:dyDescent="0.2">
      <c r="A957" s="1"/>
      <c r="C957" s="4"/>
    </row>
    <row r="958" spans="1:3" x14ac:dyDescent="0.2">
      <c r="A958" s="1"/>
      <c r="C958" s="4"/>
    </row>
    <row r="959" spans="1:3" x14ac:dyDescent="0.2">
      <c r="A959" s="1"/>
      <c r="C959" s="4"/>
    </row>
    <row r="960" spans="1:3" x14ac:dyDescent="0.2">
      <c r="A960" s="1"/>
      <c r="C960" s="4"/>
    </row>
    <row r="961" spans="1:3" x14ac:dyDescent="0.2">
      <c r="A961" s="1"/>
      <c r="C961" s="4"/>
    </row>
    <row r="962" spans="1:3" x14ac:dyDescent="0.2">
      <c r="A962" s="1"/>
      <c r="C962" s="4"/>
    </row>
    <row r="963" spans="1:3" x14ac:dyDescent="0.2">
      <c r="A963" s="1"/>
      <c r="C963" s="4"/>
    </row>
    <row r="964" spans="1:3" x14ac:dyDescent="0.2">
      <c r="A964" s="1"/>
      <c r="C964" s="4"/>
    </row>
    <row r="965" spans="1:3" x14ac:dyDescent="0.2">
      <c r="A965" s="1"/>
      <c r="C965" s="4"/>
    </row>
    <row r="966" spans="1:3" x14ac:dyDescent="0.2">
      <c r="A966" s="1"/>
      <c r="C966" s="4"/>
    </row>
    <row r="967" spans="1:3" x14ac:dyDescent="0.2">
      <c r="A967" s="1"/>
      <c r="C967" s="4"/>
    </row>
    <row r="968" spans="1:3" x14ac:dyDescent="0.2">
      <c r="A968" s="1"/>
      <c r="C968" s="4"/>
    </row>
    <row r="969" spans="1:3" x14ac:dyDescent="0.2">
      <c r="A969" s="1"/>
      <c r="C969" s="4"/>
    </row>
    <row r="970" spans="1:3" x14ac:dyDescent="0.2">
      <c r="A970" s="1"/>
      <c r="C970" s="4"/>
    </row>
    <row r="971" spans="1:3" x14ac:dyDescent="0.2">
      <c r="A971" s="1"/>
      <c r="C971" s="4"/>
    </row>
    <row r="972" spans="1:3" x14ac:dyDescent="0.2">
      <c r="A972" s="1"/>
      <c r="C972" s="4"/>
    </row>
    <row r="973" spans="1:3" x14ac:dyDescent="0.2">
      <c r="A973" s="1"/>
      <c r="C973" s="4"/>
    </row>
    <row r="974" spans="1:3" x14ac:dyDescent="0.2">
      <c r="A974" s="1"/>
      <c r="C974" s="4"/>
    </row>
    <row r="975" spans="1:3" x14ac:dyDescent="0.2">
      <c r="A975" s="1"/>
      <c r="C975" s="4"/>
    </row>
    <row r="976" spans="1:3" x14ac:dyDescent="0.2">
      <c r="A976" s="1"/>
      <c r="C976" s="4"/>
    </row>
    <row r="977" spans="1:3" x14ac:dyDescent="0.2">
      <c r="A977" s="1"/>
      <c r="C977" s="4"/>
    </row>
    <row r="978" spans="1:3" x14ac:dyDescent="0.2">
      <c r="A978" s="1"/>
      <c r="C978" s="4"/>
    </row>
    <row r="979" spans="1:3" x14ac:dyDescent="0.2">
      <c r="A979" s="1"/>
      <c r="C979" s="4"/>
    </row>
    <row r="980" spans="1:3" x14ac:dyDescent="0.2">
      <c r="A980" s="1"/>
      <c r="C980" s="4"/>
    </row>
    <row r="981" spans="1:3" x14ac:dyDescent="0.2">
      <c r="A981" s="1"/>
      <c r="C981" s="4"/>
    </row>
    <row r="982" spans="1:3" x14ac:dyDescent="0.2">
      <c r="A982" s="1"/>
      <c r="C982" s="4"/>
    </row>
    <row r="983" spans="1:3" x14ac:dyDescent="0.2">
      <c r="A983" s="1"/>
      <c r="C983" s="4"/>
    </row>
    <row r="984" spans="1:3" x14ac:dyDescent="0.2">
      <c r="A984" s="1"/>
      <c r="C984" s="4"/>
    </row>
    <row r="985" spans="1:3" x14ac:dyDescent="0.2">
      <c r="A985" s="1"/>
      <c r="C985" s="4"/>
    </row>
    <row r="986" spans="1:3" x14ac:dyDescent="0.2">
      <c r="A986" s="1"/>
      <c r="C986" s="4"/>
    </row>
    <row r="987" spans="1:3" x14ac:dyDescent="0.2">
      <c r="A987" s="1"/>
      <c r="C987" s="4"/>
    </row>
    <row r="988" spans="1:3" x14ac:dyDescent="0.2">
      <c r="A988" s="1"/>
      <c r="C988" s="4"/>
    </row>
    <row r="989" spans="1:3" x14ac:dyDescent="0.2">
      <c r="A989" s="1"/>
      <c r="C989" s="4"/>
    </row>
    <row r="990" spans="1:3" x14ac:dyDescent="0.2">
      <c r="A990" s="1"/>
      <c r="C990" s="4"/>
    </row>
    <row r="991" spans="1:3" x14ac:dyDescent="0.2">
      <c r="A991" s="1"/>
      <c r="C991" s="4"/>
    </row>
    <row r="992" spans="1:3" x14ac:dyDescent="0.2">
      <c r="A992" s="1"/>
      <c r="C992" s="4"/>
    </row>
    <row r="993" spans="1:3" x14ac:dyDescent="0.2">
      <c r="A993" s="1"/>
      <c r="C993" s="4"/>
    </row>
    <row r="994" spans="1:3" x14ac:dyDescent="0.2">
      <c r="A994" s="1"/>
      <c r="C994" s="4"/>
    </row>
    <row r="995" spans="1:3" x14ac:dyDescent="0.2">
      <c r="A995" s="1"/>
      <c r="C995" s="4"/>
    </row>
    <row r="996" spans="1:3" x14ac:dyDescent="0.2">
      <c r="A996" s="1"/>
      <c r="C996" s="4"/>
    </row>
    <row r="997" spans="1:3" x14ac:dyDescent="0.2">
      <c r="A997" s="1"/>
      <c r="C997" s="4"/>
    </row>
    <row r="998" spans="1:3" x14ac:dyDescent="0.2">
      <c r="A998" s="1"/>
      <c r="C998" s="4"/>
    </row>
    <row r="999" spans="1:3" x14ac:dyDescent="0.2">
      <c r="A999" s="1"/>
      <c r="C999" s="4"/>
    </row>
    <row r="1000" spans="1:3" x14ac:dyDescent="0.2">
      <c r="A1000" s="1"/>
      <c r="C1000" s="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P283"/>
  <sheetViews>
    <sheetView workbookViewId="0"/>
  </sheetViews>
  <sheetFormatPr defaultColWidth="11.25" defaultRowHeight="15.75" customHeight="1" x14ac:dyDescent="0.2"/>
  <sheetData>
    <row r="1" spans="1:16" x14ac:dyDescent="0.2"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</row>
    <row r="2" spans="1:16" x14ac:dyDescent="0.2">
      <c r="A2" s="5">
        <v>0</v>
      </c>
      <c r="B2" s="6">
        <v>44994</v>
      </c>
      <c r="C2" s="5">
        <v>167.9518147098</v>
      </c>
      <c r="D2" s="5">
        <v>143.84750511058499</v>
      </c>
      <c r="E2" s="5">
        <v>192.314112603783</v>
      </c>
      <c r="F2" s="5">
        <v>167.9518147098</v>
      </c>
      <c r="G2" s="5">
        <v>167.9518147098</v>
      </c>
      <c r="H2" s="5">
        <v>-1.3846615833207101</v>
      </c>
      <c r="I2" s="5">
        <v>-1.3846615833207101</v>
      </c>
      <c r="J2" s="5">
        <v>-1.3846615833207101</v>
      </c>
      <c r="K2" s="5">
        <v>-1.3846615833207101</v>
      </c>
      <c r="L2" s="5">
        <v>-1.3846615833207101</v>
      </c>
      <c r="M2" s="5">
        <v>-1.3846615833207101</v>
      </c>
      <c r="N2" s="5">
        <v>0</v>
      </c>
      <c r="O2" s="5">
        <v>0</v>
      </c>
      <c r="P2" s="5">
        <v>0</v>
      </c>
    </row>
    <row r="3" spans="1:16" x14ac:dyDescent="0.2">
      <c r="A3" s="5">
        <v>1</v>
      </c>
      <c r="B3" s="6">
        <v>44995</v>
      </c>
      <c r="C3" s="5">
        <v>168.41247101749099</v>
      </c>
      <c r="D3" s="5">
        <v>143.64910463349801</v>
      </c>
      <c r="E3" s="5">
        <v>193.31139175966001</v>
      </c>
      <c r="F3" s="5">
        <v>168.41247101749099</v>
      </c>
      <c r="G3" s="5">
        <v>168.41247101749099</v>
      </c>
      <c r="H3" s="5">
        <v>-1.4812190550067399</v>
      </c>
      <c r="I3" s="5">
        <v>-1.4812190550067399</v>
      </c>
      <c r="J3" s="5">
        <v>-1.4812190550067399</v>
      </c>
      <c r="K3" s="5">
        <v>-1.4812190550067399</v>
      </c>
      <c r="L3" s="5">
        <v>-1.4812190550067399</v>
      </c>
      <c r="M3" s="5">
        <v>-1.4812190550067399</v>
      </c>
      <c r="N3" s="5">
        <v>0</v>
      </c>
      <c r="O3" s="5">
        <v>0</v>
      </c>
      <c r="P3" s="5">
        <v>0</v>
      </c>
    </row>
    <row r="4" spans="1:16" x14ac:dyDescent="0.2">
      <c r="A4" s="5">
        <v>2</v>
      </c>
      <c r="B4" s="6">
        <v>44998</v>
      </c>
      <c r="C4" s="5">
        <v>169.79443994056399</v>
      </c>
      <c r="D4" s="5">
        <v>142.602351984797</v>
      </c>
      <c r="E4" s="5">
        <v>190.96002534352399</v>
      </c>
      <c r="F4" s="5">
        <v>169.79443994056399</v>
      </c>
      <c r="G4" s="5">
        <v>169.79443994056399</v>
      </c>
      <c r="H4" s="5">
        <v>-1.8234865982541699</v>
      </c>
      <c r="I4" s="5">
        <v>-1.8234865982541699</v>
      </c>
      <c r="J4" s="5">
        <v>-1.8234865982541699</v>
      </c>
      <c r="K4" s="5">
        <v>-1.8234865982541699</v>
      </c>
      <c r="L4" s="5">
        <v>-1.8234865982541699</v>
      </c>
      <c r="M4" s="5">
        <v>-1.8234865982541699</v>
      </c>
      <c r="N4" s="5">
        <v>0</v>
      </c>
      <c r="O4" s="5">
        <v>0</v>
      </c>
      <c r="P4" s="5">
        <v>0</v>
      </c>
    </row>
    <row r="5" spans="1:16" x14ac:dyDescent="0.2">
      <c r="A5" s="5">
        <v>3</v>
      </c>
      <c r="B5" s="6">
        <v>44999</v>
      </c>
      <c r="C5" s="5">
        <v>170.255096248255</v>
      </c>
      <c r="D5" s="5">
        <v>144.788559093505</v>
      </c>
      <c r="E5" s="5">
        <v>194.77958617720699</v>
      </c>
      <c r="F5" s="5">
        <v>170.255096248255</v>
      </c>
      <c r="G5" s="5">
        <v>170.255096248255</v>
      </c>
      <c r="H5" s="5">
        <v>0.50257879986407805</v>
      </c>
      <c r="I5" s="5">
        <v>0.50257879986407805</v>
      </c>
      <c r="J5" s="5">
        <v>0.50257879986407805</v>
      </c>
      <c r="K5" s="5">
        <v>0.50257879986407805</v>
      </c>
      <c r="L5" s="5">
        <v>0.50257879986407805</v>
      </c>
      <c r="M5" s="5">
        <v>0.50257879986407805</v>
      </c>
      <c r="N5" s="5">
        <v>0</v>
      </c>
      <c r="O5" s="5">
        <v>0</v>
      </c>
      <c r="P5" s="5">
        <v>0</v>
      </c>
    </row>
    <row r="6" spans="1:16" x14ac:dyDescent="0.2">
      <c r="A6" s="5">
        <v>4</v>
      </c>
      <c r="B6" s="6">
        <v>45000</v>
      </c>
      <c r="C6" s="5">
        <v>170.71575255594601</v>
      </c>
      <c r="D6" s="5">
        <v>146.36788193789999</v>
      </c>
      <c r="E6" s="5">
        <v>193.80518835727699</v>
      </c>
      <c r="F6" s="5">
        <v>170.71575255594601</v>
      </c>
      <c r="G6" s="5">
        <v>170.71575255594601</v>
      </c>
      <c r="H6" s="5">
        <v>-0.35171639328735899</v>
      </c>
      <c r="I6" s="5">
        <v>-0.35171639328735899</v>
      </c>
      <c r="J6" s="5">
        <v>-0.35171639328735899</v>
      </c>
      <c r="K6" s="5">
        <v>-0.35171639328735899</v>
      </c>
      <c r="L6" s="5">
        <v>-0.35171639328735899</v>
      </c>
      <c r="M6" s="5">
        <v>-0.35171639328735899</v>
      </c>
      <c r="N6" s="5">
        <v>0</v>
      </c>
      <c r="O6" s="5">
        <v>0</v>
      </c>
      <c r="P6" s="5">
        <v>0</v>
      </c>
    </row>
    <row r="7" spans="1:16" x14ac:dyDescent="0.2">
      <c r="A7" s="5">
        <v>5</v>
      </c>
      <c r="B7" s="6">
        <v>45001</v>
      </c>
      <c r="C7" s="5">
        <v>171.17640886363699</v>
      </c>
      <c r="D7" s="5">
        <v>145.38532694839</v>
      </c>
      <c r="E7" s="5">
        <v>194.995382771078</v>
      </c>
      <c r="F7" s="5">
        <v>171.17640886363699</v>
      </c>
      <c r="G7" s="5">
        <v>171.17640886363699</v>
      </c>
      <c r="H7" s="5">
        <v>-1.3846615833187299</v>
      </c>
      <c r="I7" s="5">
        <v>-1.3846615833187299</v>
      </c>
      <c r="J7" s="5">
        <v>-1.3846615833187299</v>
      </c>
      <c r="K7" s="5">
        <v>-1.3846615833187299</v>
      </c>
      <c r="L7" s="5">
        <v>-1.3846615833187299</v>
      </c>
      <c r="M7" s="5">
        <v>-1.3846615833187299</v>
      </c>
      <c r="N7" s="5">
        <v>0</v>
      </c>
      <c r="O7" s="5">
        <v>0</v>
      </c>
      <c r="P7" s="5">
        <v>0</v>
      </c>
    </row>
    <row r="8" spans="1:16" x14ac:dyDescent="0.2">
      <c r="A8" s="5">
        <v>6</v>
      </c>
      <c r="B8" s="6">
        <v>45002</v>
      </c>
      <c r="C8" s="5">
        <v>171.637065171328</v>
      </c>
      <c r="D8" s="5">
        <v>147.361369144571</v>
      </c>
      <c r="E8" s="5">
        <v>194.00763118179299</v>
      </c>
      <c r="F8" s="5">
        <v>171.637065171328</v>
      </c>
      <c r="G8" s="5">
        <v>171.637065171328</v>
      </c>
      <c r="H8" s="5">
        <v>-1.48121905500302</v>
      </c>
      <c r="I8" s="5">
        <v>-1.48121905500302</v>
      </c>
      <c r="J8" s="5">
        <v>-1.48121905500302</v>
      </c>
      <c r="K8" s="5">
        <v>-1.48121905500302</v>
      </c>
      <c r="L8" s="5">
        <v>-1.48121905500302</v>
      </c>
      <c r="M8" s="5">
        <v>-1.48121905500302</v>
      </c>
      <c r="N8" s="5">
        <v>0</v>
      </c>
      <c r="O8" s="5">
        <v>0</v>
      </c>
      <c r="P8" s="5">
        <v>0</v>
      </c>
    </row>
    <row r="9" spans="1:16" x14ac:dyDescent="0.2">
      <c r="A9" s="5">
        <v>7</v>
      </c>
      <c r="B9" s="6">
        <v>45005</v>
      </c>
      <c r="C9" s="5">
        <v>173.01903409440101</v>
      </c>
      <c r="D9" s="5">
        <v>146.30106482701501</v>
      </c>
      <c r="E9" s="5">
        <v>194.72649401703401</v>
      </c>
      <c r="F9" s="5">
        <v>173.01903409440101</v>
      </c>
      <c r="G9" s="5">
        <v>173.01903409440101</v>
      </c>
      <c r="H9" s="5">
        <v>-1.8234865982586701</v>
      </c>
      <c r="I9" s="5">
        <v>-1.8234865982586701</v>
      </c>
      <c r="J9" s="5">
        <v>-1.8234865982586701</v>
      </c>
      <c r="K9" s="5">
        <v>-1.8234865982586701</v>
      </c>
      <c r="L9" s="5">
        <v>-1.8234865982586701</v>
      </c>
      <c r="M9" s="5">
        <v>-1.8234865982586701</v>
      </c>
      <c r="N9" s="5">
        <v>0</v>
      </c>
      <c r="O9" s="5">
        <v>0</v>
      </c>
      <c r="P9" s="5">
        <v>0</v>
      </c>
    </row>
    <row r="10" spans="1:16" x14ac:dyDescent="0.2">
      <c r="A10" s="5">
        <v>8</v>
      </c>
      <c r="B10" s="6">
        <v>45006</v>
      </c>
      <c r="C10" s="5">
        <v>173.47969040209199</v>
      </c>
      <c r="D10" s="5">
        <v>149.55488441530801</v>
      </c>
      <c r="E10" s="5">
        <v>197.21228298759999</v>
      </c>
      <c r="F10" s="5">
        <v>173.47969040209199</v>
      </c>
      <c r="G10" s="5">
        <v>173.47969040209199</v>
      </c>
      <c r="H10" s="5">
        <v>0.50257879986563903</v>
      </c>
      <c r="I10" s="5">
        <v>0.50257879986563903</v>
      </c>
      <c r="J10" s="5">
        <v>0.50257879986563903</v>
      </c>
      <c r="K10" s="5">
        <v>0.50257879986563903</v>
      </c>
      <c r="L10" s="5">
        <v>0.50257879986563903</v>
      </c>
      <c r="M10" s="5">
        <v>0.50257879986563903</v>
      </c>
      <c r="N10" s="5">
        <v>0</v>
      </c>
      <c r="O10" s="5">
        <v>0</v>
      </c>
      <c r="P10" s="5">
        <v>0</v>
      </c>
    </row>
    <row r="11" spans="1:16" x14ac:dyDescent="0.2">
      <c r="A11" s="5">
        <v>9</v>
      </c>
      <c r="B11" s="6">
        <v>45007</v>
      </c>
      <c r="C11" s="5">
        <v>173.94034669071499</v>
      </c>
      <c r="D11" s="5">
        <v>147.67825935949699</v>
      </c>
      <c r="E11" s="5">
        <v>197.70629251589</v>
      </c>
      <c r="F11" s="5">
        <v>173.94034669071499</v>
      </c>
      <c r="G11" s="5">
        <v>173.94034669071499</v>
      </c>
      <c r="H11" s="5">
        <v>-0.35171639328249099</v>
      </c>
      <c r="I11" s="5">
        <v>-0.35171639328249099</v>
      </c>
      <c r="J11" s="5">
        <v>-0.35171639328249099</v>
      </c>
      <c r="K11" s="5">
        <v>-0.35171639328249099</v>
      </c>
      <c r="L11" s="5">
        <v>-0.35171639328249099</v>
      </c>
      <c r="M11" s="5">
        <v>-0.35171639328249099</v>
      </c>
      <c r="N11" s="5">
        <v>0</v>
      </c>
      <c r="O11" s="5">
        <v>0</v>
      </c>
      <c r="P11" s="5">
        <v>0</v>
      </c>
    </row>
    <row r="12" spans="1:16" x14ac:dyDescent="0.2">
      <c r="A12" s="5">
        <v>10</v>
      </c>
      <c r="B12" s="6">
        <v>45008</v>
      </c>
      <c r="C12" s="5">
        <v>174.40100297933799</v>
      </c>
      <c r="D12" s="5">
        <v>150.117352315858</v>
      </c>
      <c r="E12" s="5">
        <v>196.478798624295</v>
      </c>
      <c r="F12" s="5">
        <v>174.40100297933799</v>
      </c>
      <c r="G12" s="5">
        <v>174.40100297933799</v>
      </c>
      <c r="H12" s="5">
        <v>-1.3846615833167499</v>
      </c>
      <c r="I12" s="5">
        <v>-1.3846615833167499</v>
      </c>
      <c r="J12" s="5">
        <v>-1.3846615833167499</v>
      </c>
      <c r="K12" s="5">
        <v>-1.3846615833167499</v>
      </c>
      <c r="L12" s="5">
        <v>-1.3846615833167499</v>
      </c>
      <c r="M12" s="5">
        <v>-1.3846615833167499</v>
      </c>
      <c r="N12" s="5">
        <v>0</v>
      </c>
      <c r="O12" s="5">
        <v>0</v>
      </c>
      <c r="P12" s="5">
        <v>0</v>
      </c>
    </row>
    <row r="13" spans="1:16" x14ac:dyDescent="0.2">
      <c r="A13" s="5">
        <v>11</v>
      </c>
      <c r="B13" s="6">
        <v>45009</v>
      </c>
      <c r="C13" s="5">
        <v>174.86165926796099</v>
      </c>
      <c r="D13" s="5">
        <v>148.13209142910199</v>
      </c>
      <c r="E13" s="5">
        <v>197.767610158602</v>
      </c>
      <c r="F13" s="5">
        <v>174.86165926796099</v>
      </c>
      <c r="G13" s="5">
        <v>174.86165926796099</v>
      </c>
      <c r="H13" s="5">
        <v>-1.48121905500497</v>
      </c>
      <c r="I13" s="5">
        <v>-1.48121905500497</v>
      </c>
      <c r="J13" s="5">
        <v>-1.48121905500497</v>
      </c>
      <c r="K13" s="5">
        <v>-1.48121905500497</v>
      </c>
      <c r="L13" s="5">
        <v>-1.48121905500497</v>
      </c>
      <c r="M13" s="5">
        <v>-1.48121905500497</v>
      </c>
      <c r="N13" s="5">
        <v>0</v>
      </c>
      <c r="O13" s="5">
        <v>0</v>
      </c>
      <c r="P13" s="5">
        <v>0</v>
      </c>
    </row>
    <row r="14" spans="1:16" x14ac:dyDescent="0.2">
      <c r="A14" s="5">
        <v>12</v>
      </c>
      <c r="B14" s="6">
        <v>45012</v>
      </c>
      <c r="C14" s="5">
        <v>176.24362813382999</v>
      </c>
      <c r="D14" s="5">
        <v>150.95476290993</v>
      </c>
      <c r="E14" s="5">
        <v>200.72187661487101</v>
      </c>
      <c r="F14" s="5">
        <v>176.24362813382999</v>
      </c>
      <c r="G14" s="5">
        <v>176.24362813382999</v>
      </c>
      <c r="H14" s="5">
        <v>-1.8234865982520201</v>
      </c>
      <c r="I14" s="5">
        <v>-1.8234865982520201</v>
      </c>
      <c r="J14" s="5">
        <v>-1.8234865982520201</v>
      </c>
      <c r="K14" s="5">
        <v>-1.8234865982520201</v>
      </c>
      <c r="L14" s="5">
        <v>-1.8234865982520201</v>
      </c>
      <c r="M14" s="5">
        <v>-1.8234865982520201</v>
      </c>
      <c r="N14" s="5">
        <v>0</v>
      </c>
      <c r="O14" s="5">
        <v>0</v>
      </c>
      <c r="P14" s="5">
        <v>0</v>
      </c>
    </row>
    <row r="15" spans="1:16" x14ac:dyDescent="0.2">
      <c r="A15" s="5">
        <v>13</v>
      </c>
      <c r="B15" s="6">
        <v>45013</v>
      </c>
      <c r="C15" s="5">
        <v>176.70428442245299</v>
      </c>
      <c r="D15" s="5">
        <v>151.90153413402601</v>
      </c>
      <c r="E15" s="5">
        <v>202.28166200368699</v>
      </c>
      <c r="F15" s="5">
        <v>176.70428442245299</v>
      </c>
      <c r="G15" s="5">
        <v>176.70428442245299</v>
      </c>
      <c r="H15" s="5">
        <v>0.5025787998672</v>
      </c>
      <c r="I15" s="5">
        <v>0.5025787998672</v>
      </c>
      <c r="J15" s="5">
        <v>0.5025787998672</v>
      </c>
      <c r="K15" s="5">
        <v>0.5025787998672</v>
      </c>
      <c r="L15" s="5">
        <v>0.5025787998672</v>
      </c>
      <c r="M15" s="5">
        <v>0.5025787998672</v>
      </c>
      <c r="N15" s="5">
        <v>0</v>
      </c>
      <c r="O15" s="5">
        <v>0</v>
      </c>
      <c r="P15" s="5">
        <v>0</v>
      </c>
    </row>
    <row r="16" spans="1:16" x14ac:dyDescent="0.2">
      <c r="A16" s="5">
        <v>14</v>
      </c>
      <c r="B16" s="6">
        <v>45014</v>
      </c>
      <c r="C16" s="5">
        <v>177.16494071107601</v>
      </c>
      <c r="D16" s="5">
        <v>153.32430950777999</v>
      </c>
      <c r="E16" s="5">
        <v>201.19434968791199</v>
      </c>
      <c r="F16" s="5">
        <v>177.16494071107601</v>
      </c>
      <c r="G16" s="5">
        <v>177.16494071107601</v>
      </c>
      <c r="H16" s="5">
        <v>-0.35171639328520099</v>
      </c>
      <c r="I16" s="5">
        <v>-0.35171639328520099</v>
      </c>
      <c r="J16" s="5">
        <v>-0.35171639328520099</v>
      </c>
      <c r="K16" s="5">
        <v>-0.35171639328520099</v>
      </c>
      <c r="L16" s="5">
        <v>-0.35171639328520099</v>
      </c>
      <c r="M16" s="5">
        <v>-0.35171639328520099</v>
      </c>
      <c r="N16" s="5">
        <v>0</v>
      </c>
      <c r="O16" s="5">
        <v>0</v>
      </c>
      <c r="P16" s="5">
        <v>0</v>
      </c>
    </row>
    <row r="17" spans="1:16" x14ac:dyDescent="0.2">
      <c r="A17" s="5">
        <v>15</v>
      </c>
      <c r="B17" s="6">
        <v>45015</v>
      </c>
      <c r="C17" s="5">
        <v>177.62559699969901</v>
      </c>
      <c r="D17" s="5">
        <v>151.32563199108799</v>
      </c>
      <c r="E17" s="5">
        <v>200.95142373147499</v>
      </c>
      <c r="F17" s="5">
        <v>177.62559699969901</v>
      </c>
      <c r="G17" s="5">
        <v>177.62559699969901</v>
      </c>
      <c r="H17" s="5">
        <v>-1.3846615833157601</v>
      </c>
      <c r="I17" s="5">
        <v>-1.3846615833157601</v>
      </c>
      <c r="J17" s="5">
        <v>-1.3846615833157601</v>
      </c>
      <c r="K17" s="5">
        <v>-1.3846615833157601</v>
      </c>
      <c r="L17" s="5">
        <v>-1.3846615833157601</v>
      </c>
      <c r="M17" s="5">
        <v>-1.3846615833157601</v>
      </c>
      <c r="N17" s="5">
        <v>0</v>
      </c>
      <c r="O17" s="5">
        <v>0</v>
      </c>
      <c r="P17" s="5">
        <v>0</v>
      </c>
    </row>
    <row r="18" spans="1:16" x14ac:dyDescent="0.2">
      <c r="A18" s="5">
        <v>16</v>
      </c>
      <c r="B18" s="6">
        <v>45016</v>
      </c>
      <c r="C18" s="5">
        <v>178.08625328832201</v>
      </c>
      <c r="D18" s="5">
        <v>151.632619406054</v>
      </c>
      <c r="E18" s="5">
        <v>200.388646736065</v>
      </c>
      <c r="F18" s="5">
        <v>178.08625328832201</v>
      </c>
      <c r="G18" s="5">
        <v>178.08625328832201</v>
      </c>
      <c r="H18" s="5">
        <v>-1.4812190549955699</v>
      </c>
      <c r="I18" s="5">
        <v>-1.4812190549955699</v>
      </c>
      <c r="J18" s="5">
        <v>-1.4812190549955699</v>
      </c>
      <c r="K18" s="5">
        <v>-1.4812190549955699</v>
      </c>
      <c r="L18" s="5">
        <v>-1.4812190549955699</v>
      </c>
      <c r="M18" s="5">
        <v>-1.4812190549955699</v>
      </c>
      <c r="N18" s="5">
        <v>0</v>
      </c>
      <c r="O18" s="5">
        <v>0</v>
      </c>
      <c r="P18" s="5">
        <v>0</v>
      </c>
    </row>
    <row r="19" spans="1:16" x14ac:dyDescent="0.2">
      <c r="A19" s="5">
        <v>17</v>
      </c>
      <c r="B19" s="6">
        <v>45019</v>
      </c>
      <c r="C19" s="5">
        <v>179.468222157046</v>
      </c>
      <c r="D19" s="5">
        <v>153.20954204969399</v>
      </c>
      <c r="E19" s="5">
        <v>201.19870125615799</v>
      </c>
      <c r="F19" s="5">
        <v>179.468222157046</v>
      </c>
      <c r="G19" s="5">
        <v>179.468222157046</v>
      </c>
      <c r="H19" s="5">
        <v>-1.8234865982536601</v>
      </c>
      <c r="I19" s="5">
        <v>-1.8234865982536601</v>
      </c>
      <c r="J19" s="5">
        <v>-1.8234865982536601</v>
      </c>
      <c r="K19" s="5">
        <v>-1.8234865982536601</v>
      </c>
      <c r="L19" s="5">
        <v>-1.8234865982536601</v>
      </c>
      <c r="M19" s="5">
        <v>-1.8234865982536601</v>
      </c>
      <c r="N19" s="5">
        <v>0</v>
      </c>
      <c r="O19" s="5">
        <v>0</v>
      </c>
      <c r="P19" s="5">
        <v>0</v>
      </c>
    </row>
    <row r="20" spans="1:16" x14ac:dyDescent="0.2">
      <c r="A20" s="5">
        <v>18</v>
      </c>
      <c r="B20" s="6">
        <v>45020</v>
      </c>
      <c r="C20" s="5">
        <v>179.92887844662101</v>
      </c>
      <c r="D20" s="5">
        <v>158.09802350195099</v>
      </c>
      <c r="E20" s="5">
        <v>204.51750001881999</v>
      </c>
      <c r="F20" s="5">
        <v>179.92887844662101</v>
      </c>
      <c r="G20" s="5">
        <v>179.92887844662101</v>
      </c>
      <c r="H20" s="5">
        <v>0.50257879986842502</v>
      </c>
      <c r="I20" s="5">
        <v>0.50257879986842502</v>
      </c>
      <c r="J20" s="5">
        <v>0.50257879986842502</v>
      </c>
      <c r="K20" s="5">
        <v>0.50257879986842502</v>
      </c>
      <c r="L20" s="5">
        <v>0.50257879986842502</v>
      </c>
      <c r="M20" s="5">
        <v>0.50257879986842502</v>
      </c>
      <c r="N20" s="5">
        <v>0</v>
      </c>
      <c r="O20" s="5">
        <v>0</v>
      </c>
      <c r="P20" s="5">
        <v>0</v>
      </c>
    </row>
    <row r="21" spans="1:16" x14ac:dyDescent="0.2">
      <c r="A21" s="5">
        <v>19</v>
      </c>
      <c r="B21" s="6">
        <v>45021</v>
      </c>
      <c r="C21" s="5">
        <v>180.389534736196</v>
      </c>
      <c r="D21" s="5">
        <v>155.67240577445</v>
      </c>
      <c r="E21" s="5">
        <v>201.65928471686499</v>
      </c>
      <c r="F21" s="5">
        <v>180.389534736196</v>
      </c>
      <c r="G21" s="5">
        <v>180.389534736196</v>
      </c>
      <c r="H21" s="5">
        <v>-0.35171639328565302</v>
      </c>
      <c r="I21" s="5">
        <v>-0.35171639328565302</v>
      </c>
      <c r="J21" s="5">
        <v>-0.35171639328565302</v>
      </c>
      <c r="K21" s="5">
        <v>-0.35171639328565302</v>
      </c>
      <c r="L21" s="5">
        <v>-0.35171639328565302</v>
      </c>
      <c r="M21" s="5">
        <v>-0.35171639328565302</v>
      </c>
      <c r="N21" s="5">
        <v>0</v>
      </c>
      <c r="O21" s="5">
        <v>0</v>
      </c>
      <c r="P21" s="5">
        <v>0</v>
      </c>
    </row>
    <row r="22" spans="1:16" x14ac:dyDescent="0.2">
      <c r="A22" s="5">
        <v>20</v>
      </c>
      <c r="B22" s="6">
        <v>45022</v>
      </c>
      <c r="C22" s="5">
        <v>180.85019102577101</v>
      </c>
      <c r="D22" s="5">
        <v>156.68288356105501</v>
      </c>
      <c r="E22" s="5">
        <v>203.45634746243701</v>
      </c>
      <c r="F22" s="5">
        <v>180.85019102577101</v>
      </c>
      <c r="G22" s="5">
        <v>180.85019102577101</v>
      </c>
      <c r="H22" s="5">
        <v>-1.3846615833137801</v>
      </c>
      <c r="I22" s="5">
        <v>-1.3846615833137801</v>
      </c>
      <c r="J22" s="5">
        <v>-1.3846615833137801</v>
      </c>
      <c r="K22" s="5">
        <v>-1.3846615833137801</v>
      </c>
      <c r="L22" s="5">
        <v>-1.3846615833137801</v>
      </c>
      <c r="M22" s="5">
        <v>-1.3846615833137801</v>
      </c>
      <c r="N22" s="5">
        <v>0</v>
      </c>
      <c r="O22" s="5">
        <v>0</v>
      </c>
      <c r="P22" s="5">
        <v>0</v>
      </c>
    </row>
    <row r="23" spans="1:16" x14ac:dyDescent="0.2">
      <c r="A23" s="5">
        <v>21</v>
      </c>
      <c r="B23" s="6">
        <v>45026</v>
      </c>
      <c r="C23" s="5">
        <v>182.69281618407001</v>
      </c>
      <c r="D23" s="5">
        <v>154.592436888539</v>
      </c>
      <c r="E23" s="5">
        <v>204.13906552358301</v>
      </c>
      <c r="F23" s="5">
        <v>182.69281618407001</v>
      </c>
      <c r="G23" s="5">
        <v>182.69281618407001</v>
      </c>
      <c r="H23" s="5">
        <v>-1.82348659825243</v>
      </c>
      <c r="I23" s="5">
        <v>-1.82348659825243</v>
      </c>
      <c r="J23" s="5">
        <v>-1.82348659825243</v>
      </c>
      <c r="K23" s="5">
        <v>-1.82348659825243</v>
      </c>
      <c r="L23" s="5">
        <v>-1.82348659825243</v>
      </c>
      <c r="M23" s="5">
        <v>-1.82348659825243</v>
      </c>
      <c r="N23" s="5">
        <v>0</v>
      </c>
      <c r="O23" s="5">
        <v>0</v>
      </c>
      <c r="P23" s="5">
        <v>0</v>
      </c>
    </row>
    <row r="24" spans="1:16" x14ac:dyDescent="0.2">
      <c r="A24" s="5">
        <v>22</v>
      </c>
      <c r="B24" s="6">
        <v>45027</v>
      </c>
      <c r="C24" s="5">
        <v>183.153472473645</v>
      </c>
      <c r="D24" s="5">
        <v>158.55097768720299</v>
      </c>
      <c r="E24" s="5">
        <v>208.298050182125</v>
      </c>
      <c r="F24" s="5">
        <v>183.153472473645</v>
      </c>
      <c r="G24" s="5">
        <v>183.153472473645</v>
      </c>
      <c r="H24" s="5">
        <v>0.50257879987032095</v>
      </c>
      <c r="I24" s="5">
        <v>0.50257879987032095</v>
      </c>
      <c r="J24" s="5">
        <v>0.50257879987032095</v>
      </c>
      <c r="K24" s="5">
        <v>0.50257879987032095</v>
      </c>
      <c r="L24" s="5">
        <v>0.50257879987032095</v>
      </c>
      <c r="M24" s="5">
        <v>0.50257879987032095</v>
      </c>
      <c r="N24" s="5">
        <v>0</v>
      </c>
      <c r="O24" s="5">
        <v>0</v>
      </c>
      <c r="P24" s="5">
        <v>0</v>
      </c>
    </row>
    <row r="25" spans="1:16" x14ac:dyDescent="0.2">
      <c r="A25" s="5">
        <v>23</v>
      </c>
      <c r="B25" s="6">
        <v>45028</v>
      </c>
      <c r="C25" s="5">
        <v>183.61412876322001</v>
      </c>
      <c r="D25" s="5">
        <v>160.54837650675901</v>
      </c>
      <c r="E25" s="5">
        <v>208.020483483579</v>
      </c>
      <c r="F25" s="5">
        <v>183.61412876322001</v>
      </c>
      <c r="G25" s="5">
        <v>183.61412876322001</v>
      </c>
      <c r="H25" s="5">
        <v>-0.35171639328610499</v>
      </c>
      <c r="I25" s="5">
        <v>-0.35171639328610499</v>
      </c>
      <c r="J25" s="5">
        <v>-0.35171639328610499</v>
      </c>
      <c r="K25" s="5">
        <v>-0.35171639328610499</v>
      </c>
      <c r="L25" s="5">
        <v>-0.35171639328610499</v>
      </c>
      <c r="M25" s="5">
        <v>-0.35171639328610499</v>
      </c>
      <c r="N25" s="5">
        <v>0</v>
      </c>
      <c r="O25" s="5">
        <v>0</v>
      </c>
      <c r="P25" s="5">
        <v>0</v>
      </c>
    </row>
    <row r="26" spans="1:16" x14ac:dyDescent="0.2">
      <c r="A26" s="5">
        <v>24</v>
      </c>
      <c r="B26" s="6">
        <v>45029</v>
      </c>
      <c r="C26" s="5">
        <v>184.07478505279499</v>
      </c>
      <c r="D26" s="5">
        <v>159.01437876717901</v>
      </c>
      <c r="E26" s="5">
        <v>208.67092908894699</v>
      </c>
      <c r="F26" s="5">
        <v>184.07478505279499</v>
      </c>
      <c r="G26" s="5">
        <v>184.07478505279499</v>
      </c>
      <c r="H26" s="5">
        <v>-1.3846615833206</v>
      </c>
      <c r="I26" s="5">
        <v>-1.3846615833206</v>
      </c>
      <c r="J26" s="5">
        <v>-1.3846615833206</v>
      </c>
      <c r="K26" s="5">
        <v>-1.3846615833206</v>
      </c>
      <c r="L26" s="5">
        <v>-1.3846615833206</v>
      </c>
      <c r="M26" s="5">
        <v>-1.3846615833206</v>
      </c>
      <c r="N26" s="5">
        <v>0</v>
      </c>
      <c r="O26" s="5">
        <v>0</v>
      </c>
      <c r="P26" s="5">
        <v>0</v>
      </c>
    </row>
    <row r="27" spans="1:16" x14ac:dyDescent="0.2">
      <c r="A27" s="5">
        <v>25</v>
      </c>
      <c r="B27" s="6">
        <v>45030</v>
      </c>
      <c r="C27" s="5">
        <v>184.53544708629599</v>
      </c>
      <c r="D27" s="5">
        <v>157.76954900178399</v>
      </c>
      <c r="E27" s="5">
        <v>207.937610949168</v>
      </c>
      <c r="F27" s="5">
        <v>184.53544708629599</v>
      </c>
      <c r="G27" s="5">
        <v>184.53544708629599</v>
      </c>
      <c r="H27" s="5">
        <v>-1.48121905500719</v>
      </c>
      <c r="I27" s="5">
        <v>-1.48121905500719</v>
      </c>
      <c r="J27" s="5">
        <v>-1.48121905500719</v>
      </c>
      <c r="K27" s="5">
        <v>-1.48121905500719</v>
      </c>
      <c r="L27" s="5">
        <v>-1.48121905500719</v>
      </c>
      <c r="M27" s="5">
        <v>-1.48121905500719</v>
      </c>
      <c r="N27" s="5">
        <v>0</v>
      </c>
      <c r="O27" s="5">
        <v>0</v>
      </c>
      <c r="P27" s="5">
        <v>0</v>
      </c>
    </row>
    <row r="28" spans="1:16" x14ac:dyDescent="0.2">
      <c r="A28" s="5">
        <v>26</v>
      </c>
      <c r="B28" s="6">
        <v>45033</v>
      </c>
      <c r="C28" s="5">
        <v>185.91743318680099</v>
      </c>
      <c r="D28" s="5">
        <v>160.50290700405299</v>
      </c>
      <c r="E28" s="5">
        <v>208.86674291573601</v>
      </c>
      <c r="F28" s="5">
        <v>185.91743318680099</v>
      </c>
      <c r="G28" s="5">
        <v>185.91743318680099</v>
      </c>
      <c r="H28" s="5">
        <v>-1.8234865982512101</v>
      </c>
      <c r="I28" s="5">
        <v>-1.8234865982512101</v>
      </c>
      <c r="J28" s="5">
        <v>-1.8234865982512101</v>
      </c>
      <c r="K28" s="5">
        <v>-1.8234865982512101</v>
      </c>
      <c r="L28" s="5">
        <v>-1.8234865982512101</v>
      </c>
      <c r="M28" s="5">
        <v>-1.8234865982512101</v>
      </c>
      <c r="N28" s="5">
        <v>0</v>
      </c>
      <c r="O28" s="5">
        <v>0</v>
      </c>
      <c r="P28" s="5">
        <v>0</v>
      </c>
    </row>
    <row r="29" spans="1:16" x14ac:dyDescent="0.2">
      <c r="A29" s="5">
        <v>27</v>
      </c>
      <c r="B29" s="6">
        <v>45034</v>
      </c>
      <c r="C29" s="5">
        <v>186.37809522030199</v>
      </c>
      <c r="D29" s="5">
        <v>162.51536600534399</v>
      </c>
      <c r="E29" s="5">
        <v>209.62390115661901</v>
      </c>
      <c r="F29" s="5">
        <v>186.37809522030199</v>
      </c>
      <c r="G29" s="5">
        <v>186.37809522030199</v>
      </c>
      <c r="H29" s="5">
        <v>0.50257879986337095</v>
      </c>
      <c r="I29" s="5">
        <v>0.50257879986337095</v>
      </c>
      <c r="J29" s="5">
        <v>0.50257879986337095</v>
      </c>
      <c r="K29" s="5">
        <v>0.50257879986337095</v>
      </c>
      <c r="L29" s="5">
        <v>0.50257879986337095</v>
      </c>
      <c r="M29" s="5">
        <v>0.50257879986337095</v>
      </c>
      <c r="N29" s="5">
        <v>0</v>
      </c>
      <c r="O29" s="5">
        <v>0</v>
      </c>
      <c r="P29" s="5">
        <v>0</v>
      </c>
    </row>
    <row r="30" spans="1:16" x14ac:dyDescent="0.2">
      <c r="A30" s="5">
        <v>28</v>
      </c>
      <c r="B30" s="6">
        <v>45035</v>
      </c>
      <c r="C30" s="5">
        <v>186.838757253804</v>
      </c>
      <c r="D30" s="5">
        <v>161.11881605225301</v>
      </c>
      <c r="E30" s="5">
        <v>211.58317398950501</v>
      </c>
      <c r="F30" s="5">
        <v>186.838757253804</v>
      </c>
      <c r="G30" s="5">
        <v>186.838757253804</v>
      </c>
      <c r="H30" s="5">
        <v>-0.35171639328655702</v>
      </c>
      <c r="I30" s="5">
        <v>-0.35171639328655702</v>
      </c>
      <c r="J30" s="5">
        <v>-0.35171639328655702</v>
      </c>
      <c r="K30" s="5">
        <v>-0.35171639328655702</v>
      </c>
      <c r="L30" s="5">
        <v>-0.35171639328655702</v>
      </c>
      <c r="M30" s="5">
        <v>-0.35171639328655702</v>
      </c>
      <c r="N30" s="5">
        <v>0</v>
      </c>
      <c r="O30" s="5">
        <v>0</v>
      </c>
      <c r="P30" s="5">
        <v>0</v>
      </c>
    </row>
    <row r="31" spans="1:16" x14ac:dyDescent="0.2">
      <c r="A31" s="5">
        <v>29</v>
      </c>
      <c r="B31" s="6">
        <v>45036</v>
      </c>
      <c r="C31" s="5">
        <v>187.299419287305</v>
      </c>
      <c r="D31" s="5">
        <v>160.261178079779</v>
      </c>
      <c r="E31" s="5">
        <v>209.134473987544</v>
      </c>
      <c r="F31" s="5">
        <v>187.299419287305</v>
      </c>
      <c r="G31" s="5">
        <v>187.299419287305</v>
      </c>
      <c r="H31" s="5">
        <v>-1.38466158331862</v>
      </c>
      <c r="I31" s="5">
        <v>-1.38466158331862</v>
      </c>
      <c r="J31" s="5">
        <v>-1.38466158331862</v>
      </c>
      <c r="K31" s="5">
        <v>-1.38466158331862</v>
      </c>
      <c r="L31" s="5">
        <v>-1.38466158331862</v>
      </c>
      <c r="M31" s="5">
        <v>-1.38466158331862</v>
      </c>
      <c r="N31" s="5">
        <v>0</v>
      </c>
      <c r="O31" s="5">
        <v>0</v>
      </c>
      <c r="P31" s="5">
        <v>0</v>
      </c>
    </row>
    <row r="32" spans="1:16" x14ac:dyDescent="0.2">
      <c r="A32" s="5">
        <v>30</v>
      </c>
      <c r="B32" s="6">
        <v>45037</v>
      </c>
      <c r="C32" s="5">
        <v>187.76008132080699</v>
      </c>
      <c r="D32" s="5">
        <v>161.19258352256799</v>
      </c>
      <c r="E32" s="5">
        <v>209.89641741648401</v>
      </c>
      <c r="F32" s="5">
        <v>187.76008132080699</v>
      </c>
      <c r="G32" s="5">
        <v>187.76008132080699</v>
      </c>
      <c r="H32" s="5">
        <v>-1.48121905500914</v>
      </c>
      <c r="I32" s="5">
        <v>-1.48121905500914</v>
      </c>
      <c r="J32" s="5">
        <v>-1.48121905500914</v>
      </c>
      <c r="K32" s="5">
        <v>-1.48121905500914</v>
      </c>
      <c r="L32" s="5">
        <v>-1.48121905500914</v>
      </c>
      <c r="M32" s="5">
        <v>-1.48121905500914</v>
      </c>
      <c r="N32" s="5">
        <v>0</v>
      </c>
      <c r="O32" s="5">
        <v>0</v>
      </c>
      <c r="P32" s="5">
        <v>0</v>
      </c>
    </row>
    <row r="33" spans="1:16" x14ac:dyDescent="0.2">
      <c r="A33" s="5">
        <v>31</v>
      </c>
      <c r="B33" s="6">
        <v>45040</v>
      </c>
      <c r="C33" s="5">
        <v>189.142067421311</v>
      </c>
      <c r="D33" s="5">
        <v>164.57539781220001</v>
      </c>
      <c r="E33" s="5">
        <v>212.007814129786</v>
      </c>
      <c r="F33" s="5">
        <v>189.142067421311</v>
      </c>
      <c r="G33" s="5">
        <v>189.142067421311</v>
      </c>
      <c r="H33" s="5">
        <v>-1.82348659825571</v>
      </c>
      <c r="I33" s="5">
        <v>-1.82348659825571</v>
      </c>
      <c r="J33" s="5">
        <v>-1.82348659825571</v>
      </c>
      <c r="K33" s="5">
        <v>-1.82348659825571</v>
      </c>
      <c r="L33" s="5">
        <v>-1.82348659825571</v>
      </c>
      <c r="M33" s="5">
        <v>-1.82348659825571</v>
      </c>
      <c r="N33" s="5">
        <v>0</v>
      </c>
      <c r="O33" s="5">
        <v>0</v>
      </c>
      <c r="P33" s="5">
        <v>0</v>
      </c>
    </row>
    <row r="34" spans="1:16" x14ac:dyDescent="0.2">
      <c r="A34" s="5">
        <v>32</v>
      </c>
      <c r="B34" s="6">
        <v>45041</v>
      </c>
      <c r="C34" s="5">
        <v>189.60272945481299</v>
      </c>
      <c r="D34" s="5">
        <v>166.23245758003901</v>
      </c>
      <c r="E34" s="5">
        <v>214.14203865215799</v>
      </c>
      <c r="F34" s="5">
        <v>189.60272945481299</v>
      </c>
      <c r="G34" s="5">
        <v>189.60272945481299</v>
      </c>
      <c r="H34" s="5">
        <v>0.50257879986493204</v>
      </c>
      <c r="I34" s="5">
        <v>0.50257879986493204</v>
      </c>
      <c r="J34" s="5">
        <v>0.50257879986493204</v>
      </c>
      <c r="K34" s="5">
        <v>0.50257879986493204</v>
      </c>
      <c r="L34" s="5">
        <v>0.50257879986493204</v>
      </c>
      <c r="M34" s="5">
        <v>0.50257879986493204</v>
      </c>
      <c r="N34" s="5">
        <v>0</v>
      </c>
      <c r="O34" s="5">
        <v>0</v>
      </c>
      <c r="P34" s="5">
        <v>0</v>
      </c>
    </row>
    <row r="35" spans="1:16" x14ac:dyDescent="0.2">
      <c r="A35" s="5">
        <v>33</v>
      </c>
      <c r="B35" s="6">
        <v>45042</v>
      </c>
      <c r="C35" s="5">
        <v>190.26185327453899</v>
      </c>
      <c r="D35" s="5">
        <v>165.31782159382701</v>
      </c>
      <c r="E35" s="5">
        <v>213.92320230534401</v>
      </c>
      <c r="F35" s="5">
        <v>190.26185327453899</v>
      </c>
      <c r="G35" s="5">
        <v>190.26185327453899</v>
      </c>
      <c r="H35" s="5">
        <v>-0.35171639328168802</v>
      </c>
      <c r="I35" s="5">
        <v>-0.35171639328168802</v>
      </c>
      <c r="J35" s="5">
        <v>-0.35171639328168802</v>
      </c>
      <c r="K35" s="5">
        <v>-0.35171639328168802</v>
      </c>
      <c r="L35" s="5">
        <v>-0.35171639328168802</v>
      </c>
      <c r="M35" s="5">
        <v>-0.35171639328168802</v>
      </c>
      <c r="N35" s="5">
        <v>0</v>
      </c>
      <c r="O35" s="5">
        <v>0</v>
      </c>
      <c r="P35" s="5">
        <v>0</v>
      </c>
    </row>
    <row r="36" spans="1:16" x14ac:dyDescent="0.2">
      <c r="A36" s="5">
        <v>34</v>
      </c>
      <c r="B36" s="6">
        <v>45043</v>
      </c>
      <c r="C36" s="5">
        <v>190.92097709426599</v>
      </c>
      <c r="D36" s="5">
        <v>165.35146894464799</v>
      </c>
      <c r="E36" s="5">
        <v>213.73565753029399</v>
      </c>
      <c r="F36" s="5">
        <v>190.92097709426599</v>
      </c>
      <c r="G36" s="5">
        <v>190.92097709426599</v>
      </c>
      <c r="H36" s="5">
        <v>-1.3846615833210401</v>
      </c>
      <c r="I36" s="5">
        <v>-1.3846615833210401</v>
      </c>
      <c r="J36" s="5">
        <v>-1.3846615833210401</v>
      </c>
      <c r="K36" s="5">
        <v>-1.3846615833210401</v>
      </c>
      <c r="L36" s="5">
        <v>-1.3846615833210401</v>
      </c>
      <c r="M36" s="5">
        <v>-1.3846615833210401</v>
      </c>
      <c r="N36" s="5">
        <v>0</v>
      </c>
      <c r="O36" s="5">
        <v>0</v>
      </c>
      <c r="P36" s="5">
        <v>0</v>
      </c>
    </row>
    <row r="37" spans="1:16" x14ac:dyDescent="0.2">
      <c r="A37" s="5">
        <v>35</v>
      </c>
      <c r="B37" s="6">
        <v>45044</v>
      </c>
      <c r="C37" s="5">
        <v>191.58010091399299</v>
      </c>
      <c r="D37" s="5">
        <v>166.89384645739199</v>
      </c>
      <c r="E37" s="5">
        <v>215.66590297606501</v>
      </c>
      <c r="F37" s="5">
        <v>191.58010091399299</v>
      </c>
      <c r="G37" s="5">
        <v>191.58010091399299</v>
      </c>
      <c r="H37" s="5">
        <v>-1.4812190550111</v>
      </c>
      <c r="I37" s="5">
        <v>-1.4812190550111</v>
      </c>
      <c r="J37" s="5">
        <v>-1.4812190550111</v>
      </c>
      <c r="K37" s="5">
        <v>-1.4812190550111</v>
      </c>
      <c r="L37" s="5">
        <v>-1.4812190550111</v>
      </c>
      <c r="M37" s="5">
        <v>-1.4812190550111</v>
      </c>
      <c r="N37" s="5">
        <v>0</v>
      </c>
      <c r="O37" s="5">
        <v>0</v>
      </c>
      <c r="P37" s="5">
        <v>0</v>
      </c>
    </row>
    <row r="38" spans="1:16" x14ac:dyDescent="0.2">
      <c r="A38" s="5">
        <v>36</v>
      </c>
      <c r="B38" s="6">
        <v>45047</v>
      </c>
      <c r="C38" s="5">
        <v>193.557472373173</v>
      </c>
      <c r="D38" s="5">
        <v>167.05021081590999</v>
      </c>
      <c r="E38" s="5">
        <v>216.75055782431801</v>
      </c>
      <c r="F38" s="5">
        <v>193.557472373173</v>
      </c>
      <c r="G38" s="5">
        <v>193.557472373173</v>
      </c>
      <c r="H38" s="5">
        <v>-1.8234865982544799</v>
      </c>
      <c r="I38" s="5">
        <v>-1.8234865982544799</v>
      </c>
      <c r="J38" s="5">
        <v>-1.8234865982544799</v>
      </c>
      <c r="K38" s="5">
        <v>-1.8234865982544799</v>
      </c>
      <c r="L38" s="5">
        <v>-1.8234865982544799</v>
      </c>
      <c r="M38" s="5">
        <v>-1.8234865982544799</v>
      </c>
      <c r="N38" s="5">
        <v>0</v>
      </c>
      <c r="O38" s="5">
        <v>0</v>
      </c>
      <c r="P38" s="5">
        <v>0</v>
      </c>
    </row>
    <row r="39" spans="1:16" x14ac:dyDescent="0.2">
      <c r="A39" s="5">
        <v>37</v>
      </c>
      <c r="B39" s="6">
        <v>45048</v>
      </c>
      <c r="C39" s="5">
        <v>194.2165961929</v>
      </c>
      <c r="D39" s="5">
        <v>170.34100658913499</v>
      </c>
      <c r="E39" s="5">
        <v>216.92867887217199</v>
      </c>
      <c r="F39" s="5">
        <v>194.2165961929</v>
      </c>
      <c r="G39" s="5">
        <v>194.2165961929</v>
      </c>
      <c r="H39" s="5">
        <v>0.50257879986615805</v>
      </c>
      <c r="I39" s="5">
        <v>0.50257879986615805</v>
      </c>
      <c r="J39" s="5">
        <v>0.50257879986615805</v>
      </c>
      <c r="K39" s="5">
        <v>0.50257879986615805</v>
      </c>
      <c r="L39" s="5">
        <v>0.50257879986615805</v>
      </c>
      <c r="M39" s="5">
        <v>0.50257879986615805</v>
      </c>
      <c r="N39" s="5">
        <v>0</v>
      </c>
      <c r="O39" s="5">
        <v>0</v>
      </c>
      <c r="P39" s="5">
        <v>0</v>
      </c>
    </row>
    <row r="40" spans="1:16" x14ac:dyDescent="0.2">
      <c r="A40" s="5">
        <v>38</v>
      </c>
      <c r="B40" s="6">
        <v>45049</v>
      </c>
      <c r="C40" s="5">
        <v>194.875720012627</v>
      </c>
      <c r="D40" s="5">
        <v>170.83398076381499</v>
      </c>
      <c r="E40" s="5">
        <v>219.777496606982</v>
      </c>
      <c r="F40" s="5">
        <v>194.875720012627</v>
      </c>
      <c r="G40" s="5">
        <v>194.875720012627</v>
      </c>
      <c r="H40" s="5">
        <v>-0.35171639328213999</v>
      </c>
      <c r="I40" s="5">
        <v>-0.35171639328213999</v>
      </c>
      <c r="J40" s="5">
        <v>-0.35171639328213999</v>
      </c>
      <c r="K40" s="5">
        <v>-0.35171639328213999</v>
      </c>
      <c r="L40" s="5">
        <v>-0.35171639328213999</v>
      </c>
      <c r="M40" s="5">
        <v>-0.35171639328213999</v>
      </c>
      <c r="N40" s="5">
        <v>0</v>
      </c>
      <c r="O40" s="5">
        <v>0</v>
      </c>
      <c r="P40" s="5">
        <v>0</v>
      </c>
    </row>
    <row r="41" spans="1:16" x14ac:dyDescent="0.2">
      <c r="A41" s="5">
        <v>39</v>
      </c>
      <c r="B41" s="6">
        <v>45050</v>
      </c>
      <c r="C41" s="5">
        <v>195.534843832353</v>
      </c>
      <c r="D41" s="5">
        <v>169.56010965660201</v>
      </c>
      <c r="E41" s="5">
        <v>219.02143618012599</v>
      </c>
      <c r="F41" s="5">
        <v>195.534843832353</v>
      </c>
      <c r="G41" s="5">
        <v>195.534843832353</v>
      </c>
      <c r="H41" s="5">
        <v>-1.3846615833156499</v>
      </c>
      <c r="I41" s="5">
        <v>-1.3846615833156499</v>
      </c>
      <c r="J41" s="5">
        <v>-1.3846615833156499</v>
      </c>
      <c r="K41" s="5">
        <v>-1.3846615833156499</v>
      </c>
      <c r="L41" s="5">
        <v>-1.3846615833156499</v>
      </c>
      <c r="M41" s="5">
        <v>-1.3846615833156499</v>
      </c>
      <c r="N41" s="5">
        <v>0</v>
      </c>
      <c r="O41" s="5">
        <v>0</v>
      </c>
      <c r="P41" s="5">
        <v>0</v>
      </c>
    </row>
    <row r="42" spans="1:16" x14ac:dyDescent="0.2">
      <c r="A42" s="5">
        <v>40</v>
      </c>
      <c r="B42" s="6">
        <v>45051</v>
      </c>
      <c r="C42" s="5">
        <v>196.19396765208</v>
      </c>
      <c r="D42" s="5">
        <v>171.47646521585401</v>
      </c>
      <c r="E42" s="5">
        <v>218.90063782622201</v>
      </c>
      <c r="F42" s="5">
        <v>196.19396765208</v>
      </c>
      <c r="G42" s="5">
        <v>196.19396765208</v>
      </c>
      <c r="H42" s="5">
        <v>-1.4812190550016899</v>
      </c>
      <c r="I42" s="5">
        <v>-1.4812190550016899</v>
      </c>
      <c r="J42" s="5">
        <v>-1.4812190550016899</v>
      </c>
      <c r="K42" s="5">
        <v>-1.4812190550016899</v>
      </c>
      <c r="L42" s="5">
        <v>-1.4812190550016899</v>
      </c>
      <c r="M42" s="5">
        <v>-1.4812190550016899</v>
      </c>
      <c r="N42" s="5">
        <v>0</v>
      </c>
      <c r="O42" s="5">
        <v>0</v>
      </c>
      <c r="P42" s="5">
        <v>0</v>
      </c>
    </row>
    <row r="43" spans="1:16" x14ac:dyDescent="0.2">
      <c r="A43" s="5">
        <v>41</v>
      </c>
      <c r="B43" s="6">
        <v>45054</v>
      </c>
      <c r="C43" s="5">
        <v>198.78734104779201</v>
      </c>
      <c r="D43" s="5">
        <v>172.400907401403</v>
      </c>
      <c r="E43" s="5">
        <v>222.49174691607899</v>
      </c>
      <c r="F43" s="5">
        <v>198.78734104779201</v>
      </c>
      <c r="G43" s="5">
        <v>198.78734104779201</v>
      </c>
      <c r="H43" s="5">
        <v>-1.8234865982561199</v>
      </c>
      <c r="I43" s="5">
        <v>-1.8234865982561199</v>
      </c>
      <c r="J43" s="5">
        <v>-1.8234865982561199</v>
      </c>
      <c r="K43" s="5">
        <v>-1.8234865982561199</v>
      </c>
      <c r="L43" s="5">
        <v>-1.8234865982561199</v>
      </c>
      <c r="M43" s="5">
        <v>-1.8234865982561199</v>
      </c>
      <c r="N43" s="5">
        <v>0</v>
      </c>
      <c r="O43" s="5">
        <v>0</v>
      </c>
      <c r="P43" s="5">
        <v>0</v>
      </c>
    </row>
    <row r="44" spans="1:16" x14ac:dyDescent="0.2">
      <c r="A44" s="5">
        <v>42</v>
      </c>
      <c r="B44" s="6">
        <v>45055</v>
      </c>
      <c r="C44" s="5">
        <v>199.65179884636299</v>
      </c>
      <c r="D44" s="5">
        <v>176.168128249593</v>
      </c>
      <c r="E44" s="5">
        <v>224.523217108587</v>
      </c>
      <c r="F44" s="5">
        <v>199.65179884636299</v>
      </c>
      <c r="G44" s="5">
        <v>199.65179884636299</v>
      </c>
      <c r="H44" s="5">
        <v>0.50257879986738396</v>
      </c>
      <c r="I44" s="5">
        <v>0.50257879986738396</v>
      </c>
      <c r="J44" s="5">
        <v>0.50257879986738396</v>
      </c>
      <c r="K44" s="5">
        <v>0.50257879986738396</v>
      </c>
      <c r="L44" s="5">
        <v>0.50257879986738396</v>
      </c>
      <c r="M44" s="5">
        <v>0.50257879986738396</v>
      </c>
      <c r="N44" s="5">
        <v>0</v>
      </c>
      <c r="O44" s="5">
        <v>0</v>
      </c>
      <c r="P44" s="5">
        <v>0</v>
      </c>
    </row>
    <row r="45" spans="1:16" x14ac:dyDescent="0.2">
      <c r="A45" s="5">
        <v>43</v>
      </c>
      <c r="B45" s="6">
        <v>45056</v>
      </c>
      <c r="C45" s="5">
        <v>200.51625664493301</v>
      </c>
      <c r="D45" s="5">
        <v>176.91507347626199</v>
      </c>
      <c r="E45" s="5">
        <v>222.55717845221699</v>
      </c>
      <c r="F45" s="5">
        <v>200.51625664493301</v>
      </c>
      <c r="G45" s="5">
        <v>200.51625664493301</v>
      </c>
      <c r="H45" s="5">
        <v>-0.35171639328485099</v>
      </c>
      <c r="I45" s="5">
        <v>-0.35171639328485099</v>
      </c>
      <c r="J45" s="5">
        <v>-0.35171639328485099</v>
      </c>
      <c r="K45" s="5">
        <v>-0.35171639328485099</v>
      </c>
      <c r="L45" s="5">
        <v>-0.35171639328485099</v>
      </c>
      <c r="M45" s="5">
        <v>-0.35171639328485099</v>
      </c>
      <c r="N45" s="5">
        <v>0</v>
      </c>
      <c r="O45" s="5">
        <v>0</v>
      </c>
      <c r="P45" s="5">
        <v>0</v>
      </c>
    </row>
    <row r="46" spans="1:16" x14ac:dyDescent="0.2">
      <c r="A46" s="5">
        <v>44</v>
      </c>
      <c r="B46" s="6">
        <v>45057</v>
      </c>
      <c r="C46" s="5">
        <v>201.38071444350399</v>
      </c>
      <c r="D46" s="5">
        <v>176.713609444247</v>
      </c>
      <c r="E46" s="5">
        <v>222.840545377757</v>
      </c>
      <c r="F46" s="5">
        <v>201.38071444350399</v>
      </c>
      <c r="G46" s="5">
        <v>201.38071444350399</v>
      </c>
      <c r="H46" s="5">
        <v>-1.38466158331807</v>
      </c>
      <c r="I46" s="5">
        <v>-1.38466158331807</v>
      </c>
      <c r="J46" s="5">
        <v>-1.38466158331807</v>
      </c>
      <c r="K46" s="5">
        <v>-1.38466158331807</v>
      </c>
      <c r="L46" s="5">
        <v>-1.38466158331807</v>
      </c>
      <c r="M46" s="5">
        <v>-1.38466158331807</v>
      </c>
      <c r="N46" s="5">
        <v>0</v>
      </c>
      <c r="O46" s="5">
        <v>0</v>
      </c>
      <c r="P46" s="5">
        <v>0</v>
      </c>
    </row>
    <row r="47" spans="1:16" x14ac:dyDescent="0.2">
      <c r="A47" s="5">
        <v>45</v>
      </c>
      <c r="B47" s="6">
        <v>45058</v>
      </c>
      <c r="C47" s="5">
        <v>202.245172242075</v>
      </c>
      <c r="D47" s="5">
        <v>174.88370998221899</v>
      </c>
      <c r="E47" s="5">
        <v>225.406375401904</v>
      </c>
      <c r="F47" s="5">
        <v>202.245172242075</v>
      </c>
      <c r="G47" s="5">
        <v>202.245172242075</v>
      </c>
      <c r="H47" s="5">
        <v>-1.4812190550036499</v>
      </c>
      <c r="I47" s="5">
        <v>-1.4812190550036499</v>
      </c>
      <c r="J47" s="5">
        <v>-1.4812190550036499</v>
      </c>
      <c r="K47" s="5">
        <v>-1.4812190550036499</v>
      </c>
      <c r="L47" s="5">
        <v>-1.4812190550036499</v>
      </c>
      <c r="M47" s="5">
        <v>-1.4812190550036499</v>
      </c>
      <c r="N47" s="5">
        <v>0</v>
      </c>
      <c r="O47" s="5">
        <v>0</v>
      </c>
      <c r="P47" s="5">
        <v>0</v>
      </c>
    </row>
    <row r="48" spans="1:16" x14ac:dyDescent="0.2">
      <c r="A48" s="5">
        <v>46</v>
      </c>
      <c r="B48" s="6">
        <v>45061</v>
      </c>
      <c r="C48" s="5">
        <v>204.83854563778601</v>
      </c>
      <c r="D48" s="5">
        <v>179.297807424881</v>
      </c>
      <c r="E48" s="5">
        <v>227.38886939595201</v>
      </c>
      <c r="F48" s="5">
        <v>204.83854563778601</v>
      </c>
      <c r="G48" s="5">
        <v>204.83854563778601</v>
      </c>
      <c r="H48" s="5">
        <v>-1.8234865982523301</v>
      </c>
      <c r="I48" s="5">
        <v>-1.8234865982523301</v>
      </c>
      <c r="J48" s="5">
        <v>-1.8234865982523301</v>
      </c>
      <c r="K48" s="5">
        <v>-1.8234865982523301</v>
      </c>
      <c r="L48" s="5">
        <v>-1.8234865982523301</v>
      </c>
      <c r="M48" s="5">
        <v>-1.8234865982523301</v>
      </c>
      <c r="N48" s="5">
        <v>0</v>
      </c>
      <c r="O48" s="5">
        <v>0</v>
      </c>
      <c r="P48" s="5">
        <v>0</v>
      </c>
    </row>
    <row r="49" spans="1:16" x14ac:dyDescent="0.2">
      <c r="A49" s="5">
        <v>47</v>
      </c>
      <c r="B49" s="6">
        <v>45062</v>
      </c>
      <c r="C49" s="5">
        <v>205.70300343635699</v>
      </c>
      <c r="D49" s="5">
        <v>181.89641652676301</v>
      </c>
      <c r="E49" s="5">
        <v>229.980355983897</v>
      </c>
      <c r="F49" s="5">
        <v>205.70300343635699</v>
      </c>
      <c r="G49" s="5">
        <v>205.70300343635699</v>
      </c>
      <c r="H49" s="5">
        <v>0.50257879986928</v>
      </c>
      <c r="I49" s="5">
        <v>0.50257879986928</v>
      </c>
      <c r="J49" s="5">
        <v>0.50257879986928</v>
      </c>
      <c r="K49" s="5">
        <v>0.50257879986928</v>
      </c>
      <c r="L49" s="5">
        <v>0.50257879986928</v>
      </c>
      <c r="M49" s="5">
        <v>0.50257879986928</v>
      </c>
      <c r="N49" s="5">
        <v>0</v>
      </c>
      <c r="O49" s="5">
        <v>0</v>
      </c>
      <c r="P49" s="5">
        <v>0</v>
      </c>
    </row>
    <row r="50" spans="1:16" x14ac:dyDescent="0.2">
      <c r="A50" s="5">
        <v>48</v>
      </c>
      <c r="B50" s="6">
        <v>45063</v>
      </c>
      <c r="C50" s="5">
        <v>206.567461234928</v>
      </c>
      <c r="D50" s="5">
        <v>181.58825421006901</v>
      </c>
      <c r="E50" s="5">
        <v>231.73568762176001</v>
      </c>
      <c r="F50" s="5">
        <v>206.567461234928</v>
      </c>
      <c r="G50" s="5">
        <v>206.567461234928</v>
      </c>
      <c r="H50" s="5">
        <v>-0.35171639328304399</v>
      </c>
      <c r="I50" s="5">
        <v>-0.35171639328304399</v>
      </c>
      <c r="J50" s="5">
        <v>-0.35171639328304399</v>
      </c>
      <c r="K50" s="5">
        <v>-0.35171639328304399</v>
      </c>
      <c r="L50" s="5">
        <v>-0.35171639328304399</v>
      </c>
      <c r="M50" s="5">
        <v>-0.35171639328304399</v>
      </c>
      <c r="N50" s="5">
        <v>0</v>
      </c>
      <c r="O50" s="5">
        <v>0</v>
      </c>
      <c r="P50" s="5">
        <v>0</v>
      </c>
    </row>
    <row r="51" spans="1:16" x14ac:dyDescent="0.2">
      <c r="A51" s="5">
        <v>49</v>
      </c>
      <c r="B51" s="6">
        <v>45064</v>
      </c>
      <c r="C51" s="5">
        <v>207.43737453055999</v>
      </c>
      <c r="D51" s="5">
        <v>180.514700259439</v>
      </c>
      <c r="E51" s="5">
        <v>231.720902874248</v>
      </c>
      <c r="F51" s="5">
        <v>207.43737453055999</v>
      </c>
      <c r="G51" s="5">
        <v>207.43737453055999</v>
      </c>
      <c r="H51" s="5">
        <v>-1.38466158331609</v>
      </c>
      <c r="I51" s="5">
        <v>-1.38466158331609</v>
      </c>
      <c r="J51" s="5">
        <v>-1.38466158331609</v>
      </c>
      <c r="K51" s="5">
        <v>-1.38466158331609</v>
      </c>
      <c r="L51" s="5">
        <v>-1.38466158331609</v>
      </c>
      <c r="M51" s="5">
        <v>-1.38466158331609</v>
      </c>
      <c r="N51" s="5">
        <v>0</v>
      </c>
      <c r="O51" s="5">
        <v>0</v>
      </c>
      <c r="P51" s="5">
        <v>0</v>
      </c>
    </row>
    <row r="52" spans="1:16" x14ac:dyDescent="0.2">
      <c r="A52" s="5">
        <v>50</v>
      </c>
      <c r="B52" s="6">
        <v>45065</v>
      </c>
      <c r="C52" s="5">
        <v>208.307287826193</v>
      </c>
      <c r="D52" s="5">
        <v>180.899396742665</v>
      </c>
      <c r="E52" s="5">
        <v>231.21163602002699</v>
      </c>
      <c r="F52" s="5">
        <v>208.307287826193</v>
      </c>
      <c r="G52" s="5">
        <v>208.307287826193</v>
      </c>
      <c r="H52" s="5">
        <v>-1.48121905499992</v>
      </c>
      <c r="I52" s="5">
        <v>-1.48121905499992</v>
      </c>
      <c r="J52" s="5">
        <v>-1.48121905499992</v>
      </c>
      <c r="K52" s="5">
        <v>-1.48121905499992</v>
      </c>
      <c r="L52" s="5">
        <v>-1.48121905499992</v>
      </c>
      <c r="M52" s="5">
        <v>-1.48121905499992</v>
      </c>
      <c r="N52" s="5">
        <v>0</v>
      </c>
      <c r="O52" s="5">
        <v>0</v>
      </c>
      <c r="P52" s="5">
        <v>0</v>
      </c>
    </row>
    <row r="53" spans="1:16" x14ac:dyDescent="0.2">
      <c r="A53" s="5">
        <v>51</v>
      </c>
      <c r="B53" s="6">
        <v>45068</v>
      </c>
      <c r="C53" s="5">
        <v>210.91702771309099</v>
      </c>
      <c r="D53" s="5">
        <v>186.86319609242301</v>
      </c>
      <c r="E53" s="5">
        <v>233.46624422187</v>
      </c>
      <c r="F53" s="5">
        <v>210.91702771309099</v>
      </c>
      <c r="G53" s="5">
        <v>210.91702771309099</v>
      </c>
      <c r="H53" s="5">
        <v>-1.8234865982539701</v>
      </c>
      <c r="I53" s="5">
        <v>-1.8234865982539701</v>
      </c>
      <c r="J53" s="5">
        <v>-1.8234865982539701</v>
      </c>
      <c r="K53" s="5">
        <v>-1.8234865982539701</v>
      </c>
      <c r="L53" s="5">
        <v>-1.8234865982539701</v>
      </c>
      <c r="M53" s="5">
        <v>-1.8234865982539701</v>
      </c>
      <c r="N53" s="5">
        <v>0</v>
      </c>
      <c r="O53" s="5">
        <v>0</v>
      </c>
      <c r="P53" s="5">
        <v>0</v>
      </c>
    </row>
    <row r="54" spans="1:16" x14ac:dyDescent="0.2">
      <c r="A54" s="5">
        <v>52</v>
      </c>
      <c r="B54" s="6">
        <v>45069</v>
      </c>
      <c r="C54" s="5">
        <v>211.786941008724</v>
      </c>
      <c r="D54" s="5">
        <v>188.126358434336</v>
      </c>
      <c r="E54" s="5">
        <v>235.432509713553</v>
      </c>
      <c r="F54" s="5">
        <v>211.786941008724</v>
      </c>
      <c r="G54" s="5">
        <v>211.786941008724</v>
      </c>
      <c r="H54" s="5">
        <v>0.50257879987050502</v>
      </c>
      <c r="I54" s="5">
        <v>0.50257879987050502</v>
      </c>
      <c r="J54" s="5">
        <v>0.50257879987050502</v>
      </c>
      <c r="K54" s="5">
        <v>0.50257879987050502</v>
      </c>
      <c r="L54" s="5">
        <v>0.50257879987050502</v>
      </c>
      <c r="M54" s="5">
        <v>0.50257879987050502</v>
      </c>
      <c r="N54" s="5">
        <v>0</v>
      </c>
      <c r="O54" s="5">
        <v>0</v>
      </c>
      <c r="P54" s="5">
        <v>0</v>
      </c>
    </row>
    <row r="55" spans="1:16" x14ac:dyDescent="0.2">
      <c r="A55" s="5">
        <v>53</v>
      </c>
      <c r="B55" s="6">
        <v>45070</v>
      </c>
      <c r="C55" s="5">
        <v>212.65685430435701</v>
      </c>
      <c r="D55" s="5">
        <v>188.59734641491701</v>
      </c>
      <c r="E55" s="5">
        <v>235.55298748818001</v>
      </c>
      <c r="F55" s="5">
        <v>212.65685430435701</v>
      </c>
      <c r="G55" s="5">
        <v>212.65685430435701</v>
      </c>
      <c r="H55" s="5">
        <v>-0.35171639328575499</v>
      </c>
      <c r="I55" s="5">
        <v>-0.35171639328575499</v>
      </c>
      <c r="J55" s="5">
        <v>-0.35171639328575499</v>
      </c>
      <c r="K55" s="5">
        <v>-0.35171639328575499</v>
      </c>
      <c r="L55" s="5">
        <v>-0.35171639328575499</v>
      </c>
      <c r="M55" s="5">
        <v>-0.35171639328575499</v>
      </c>
      <c r="N55" s="5">
        <v>0</v>
      </c>
      <c r="O55" s="5">
        <v>0</v>
      </c>
      <c r="P55" s="5">
        <v>0</v>
      </c>
    </row>
    <row r="56" spans="1:16" x14ac:dyDescent="0.2">
      <c r="A56" s="5">
        <v>54</v>
      </c>
      <c r="B56" s="6">
        <v>45071</v>
      </c>
      <c r="C56" s="5">
        <v>213.526767599989</v>
      </c>
      <c r="D56" s="5">
        <v>186.89392954714501</v>
      </c>
      <c r="E56" s="5">
        <v>236.10063086887001</v>
      </c>
      <c r="F56" s="5">
        <v>213.526767599989</v>
      </c>
      <c r="G56" s="5">
        <v>213.526767599989</v>
      </c>
      <c r="H56" s="5">
        <v>-1.3846615833185101</v>
      </c>
      <c r="I56" s="5">
        <v>-1.3846615833185101</v>
      </c>
      <c r="J56" s="5">
        <v>-1.3846615833185101</v>
      </c>
      <c r="K56" s="5">
        <v>-1.3846615833185101</v>
      </c>
      <c r="L56" s="5">
        <v>-1.3846615833185101</v>
      </c>
      <c r="M56" s="5">
        <v>-1.3846615833185101</v>
      </c>
      <c r="N56" s="5">
        <v>0</v>
      </c>
      <c r="O56" s="5">
        <v>0</v>
      </c>
      <c r="P56" s="5">
        <v>0</v>
      </c>
    </row>
    <row r="57" spans="1:16" x14ac:dyDescent="0.2">
      <c r="A57" s="5">
        <v>55</v>
      </c>
      <c r="B57" s="6">
        <v>45072</v>
      </c>
      <c r="C57" s="5">
        <v>214.39668089562201</v>
      </c>
      <c r="D57" s="5">
        <v>187.87299067291099</v>
      </c>
      <c r="E57" s="5">
        <v>238.250655922367</v>
      </c>
      <c r="F57" s="5">
        <v>214.39668089562201</v>
      </c>
      <c r="G57" s="5">
        <v>214.39668089562201</v>
      </c>
      <c r="H57" s="5">
        <v>-1.4812190550095901</v>
      </c>
      <c r="I57" s="5">
        <v>-1.4812190550095901</v>
      </c>
      <c r="J57" s="5">
        <v>-1.4812190550095901</v>
      </c>
      <c r="K57" s="5">
        <v>-1.4812190550095901</v>
      </c>
      <c r="L57" s="5">
        <v>-1.4812190550095901</v>
      </c>
      <c r="M57" s="5">
        <v>-1.4812190550095901</v>
      </c>
      <c r="N57" s="5">
        <v>0</v>
      </c>
      <c r="O57" s="5">
        <v>0</v>
      </c>
      <c r="P57" s="5">
        <v>0</v>
      </c>
    </row>
    <row r="58" spans="1:16" x14ac:dyDescent="0.2">
      <c r="A58" s="5">
        <v>56</v>
      </c>
      <c r="B58" s="6">
        <v>45076</v>
      </c>
      <c r="C58" s="5">
        <v>217.87633407815301</v>
      </c>
      <c r="D58" s="5">
        <v>192.67879898151301</v>
      </c>
      <c r="E58" s="5">
        <v>241.16379681200999</v>
      </c>
      <c r="F58" s="5">
        <v>217.87633407815301</v>
      </c>
      <c r="G58" s="5">
        <v>217.87633407815301</v>
      </c>
      <c r="H58" s="5">
        <v>0.50257879986422505</v>
      </c>
      <c r="I58" s="5">
        <v>0.50257879986422505</v>
      </c>
      <c r="J58" s="5">
        <v>0.50257879986422505</v>
      </c>
      <c r="K58" s="5">
        <v>0.50257879986422505</v>
      </c>
      <c r="L58" s="5">
        <v>0.50257879986422505</v>
      </c>
      <c r="M58" s="5">
        <v>0.50257879986422505</v>
      </c>
      <c r="N58" s="5">
        <v>0</v>
      </c>
      <c r="O58" s="5">
        <v>0</v>
      </c>
      <c r="P58" s="5">
        <v>0</v>
      </c>
    </row>
    <row r="59" spans="1:16" x14ac:dyDescent="0.2">
      <c r="A59" s="5">
        <v>57</v>
      </c>
      <c r="B59" s="6">
        <v>45077</v>
      </c>
      <c r="C59" s="5">
        <v>218.74624736890101</v>
      </c>
      <c r="D59" s="5">
        <v>196.63531717622001</v>
      </c>
      <c r="E59" s="5">
        <v>243.68153011468499</v>
      </c>
      <c r="F59" s="5">
        <v>218.74624736890101</v>
      </c>
      <c r="G59" s="5">
        <v>218.74624736890101</v>
      </c>
      <c r="H59" s="5">
        <v>-0.351716393280886</v>
      </c>
      <c r="I59" s="5">
        <v>-0.351716393280886</v>
      </c>
      <c r="J59" s="5">
        <v>-0.351716393280886</v>
      </c>
      <c r="K59" s="5">
        <v>-0.351716393280886</v>
      </c>
      <c r="L59" s="5">
        <v>-0.351716393280886</v>
      </c>
      <c r="M59" s="5">
        <v>-0.351716393280886</v>
      </c>
      <c r="N59" s="5">
        <v>0</v>
      </c>
      <c r="O59" s="5">
        <v>0</v>
      </c>
      <c r="P59" s="5">
        <v>0</v>
      </c>
    </row>
    <row r="60" spans="1:16" x14ac:dyDescent="0.2">
      <c r="A60" s="5">
        <v>58</v>
      </c>
      <c r="B60" s="6">
        <v>45078</v>
      </c>
      <c r="C60" s="5">
        <v>219.61616065964901</v>
      </c>
      <c r="D60" s="5">
        <v>194.86020330414701</v>
      </c>
      <c r="E60" s="5">
        <v>242.81912462133201</v>
      </c>
      <c r="F60" s="5">
        <v>219.61616065964901</v>
      </c>
      <c r="G60" s="5">
        <v>219.61616065964901</v>
      </c>
      <c r="H60" s="5">
        <v>-1.3846615833165301</v>
      </c>
      <c r="I60" s="5">
        <v>-1.3846615833165301</v>
      </c>
      <c r="J60" s="5">
        <v>-1.3846615833165301</v>
      </c>
      <c r="K60" s="5">
        <v>-1.3846615833165301</v>
      </c>
      <c r="L60" s="5">
        <v>-1.3846615833165301</v>
      </c>
      <c r="M60" s="5">
        <v>-1.3846615833165301</v>
      </c>
      <c r="N60" s="5">
        <v>0</v>
      </c>
      <c r="O60" s="5">
        <v>0</v>
      </c>
      <c r="P60" s="5">
        <v>0</v>
      </c>
    </row>
    <row r="61" spans="1:16" x14ac:dyDescent="0.2">
      <c r="A61" s="5">
        <v>59</v>
      </c>
      <c r="B61" s="6">
        <v>45079</v>
      </c>
      <c r="C61" s="5">
        <v>220.48607395039701</v>
      </c>
      <c r="D61" s="5">
        <v>193.83141220949901</v>
      </c>
      <c r="E61" s="5">
        <v>244.475425158684</v>
      </c>
      <c r="F61" s="5">
        <v>220.48607395039701</v>
      </c>
      <c r="G61" s="5">
        <v>220.48607395039701</v>
      </c>
      <c r="H61" s="5">
        <v>-1.4812190550058699</v>
      </c>
      <c r="I61" s="5">
        <v>-1.4812190550058699</v>
      </c>
      <c r="J61" s="5">
        <v>-1.4812190550058699</v>
      </c>
      <c r="K61" s="5">
        <v>-1.4812190550058699</v>
      </c>
      <c r="L61" s="5">
        <v>-1.4812190550058699</v>
      </c>
      <c r="M61" s="5">
        <v>-1.4812190550058699</v>
      </c>
      <c r="N61" s="5">
        <v>0</v>
      </c>
      <c r="O61" s="5">
        <v>0</v>
      </c>
      <c r="P61" s="5">
        <v>0</v>
      </c>
    </row>
    <row r="62" spans="1:16" x14ac:dyDescent="0.2">
      <c r="A62" s="5">
        <v>60</v>
      </c>
      <c r="B62" s="6">
        <v>45082</v>
      </c>
      <c r="C62" s="5">
        <v>223.09581382264</v>
      </c>
      <c r="D62" s="5">
        <v>196.31474548741201</v>
      </c>
      <c r="E62" s="5">
        <v>247.82727859114101</v>
      </c>
      <c r="F62" s="5">
        <v>223.09581382264</v>
      </c>
      <c r="G62" s="5">
        <v>223.09581382264</v>
      </c>
      <c r="H62" s="5">
        <v>-1.82348659825438</v>
      </c>
      <c r="I62" s="5">
        <v>-1.82348659825438</v>
      </c>
      <c r="J62" s="5">
        <v>-1.82348659825438</v>
      </c>
      <c r="K62" s="5">
        <v>-1.82348659825438</v>
      </c>
      <c r="L62" s="5">
        <v>-1.82348659825438</v>
      </c>
      <c r="M62" s="5">
        <v>-1.82348659825438</v>
      </c>
      <c r="N62" s="5">
        <v>0</v>
      </c>
      <c r="O62" s="5">
        <v>0</v>
      </c>
      <c r="P62" s="5">
        <v>0</v>
      </c>
    </row>
    <row r="63" spans="1:16" x14ac:dyDescent="0.2">
      <c r="A63" s="5">
        <v>61</v>
      </c>
      <c r="B63" s="6">
        <v>45083</v>
      </c>
      <c r="C63" s="5">
        <v>223.965727113388</v>
      </c>
      <c r="D63" s="5">
        <v>200.54756310222999</v>
      </c>
      <c r="E63" s="5">
        <v>248.08403837802999</v>
      </c>
      <c r="F63" s="5">
        <v>223.965727113388</v>
      </c>
      <c r="G63" s="5">
        <v>223.965727113388</v>
      </c>
      <c r="H63" s="5">
        <v>0.50257879986545095</v>
      </c>
      <c r="I63" s="5">
        <v>0.50257879986545095</v>
      </c>
      <c r="J63" s="5">
        <v>0.50257879986545095</v>
      </c>
      <c r="K63" s="5">
        <v>0.50257879986545095</v>
      </c>
      <c r="L63" s="5">
        <v>0.50257879986545095</v>
      </c>
      <c r="M63" s="5">
        <v>0.50257879986545095</v>
      </c>
      <c r="N63" s="5">
        <v>0</v>
      </c>
      <c r="O63" s="5">
        <v>0</v>
      </c>
      <c r="P63" s="5">
        <v>0</v>
      </c>
    </row>
    <row r="64" spans="1:16" x14ac:dyDescent="0.2">
      <c r="A64" s="5">
        <v>62</v>
      </c>
      <c r="B64" s="6">
        <v>45084</v>
      </c>
      <c r="C64" s="5">
        <v>224.835640404136</v>
      </c>
      <c r="D64" s="5">
        <v>198.622213967872</v>
      </c>
      <c r="E64" s="5">
        <v>249.978270030906</v>
      </c>
      <c r="F64" s="5">
        <v>224.835640404136</v>
      </c>
      <c r="G64" s="5">
        <v>224.835640404136</v>
      </c>
      <c r="H64" s="5">
        <v>-0.35171639328133802</v>
      </c>
      <c r="I64" s="5">
        <v>-0.35171639328133802</v>
      </c>
      <c r="J64" s="5">
        <v>-0.35171639328133802</v>
      </c>
      <c r="K64" s="5">
        <v>-0.35171639328133802</v>
      </c>
      <c r="L64" s="5">
        <v>-0.35171639328133802</v>
      </c>
      <c r="M64" s="5">
        <v>-0.35171639328133802</v>
      </c>
      <c r="N64" s="5">
        <v>0</v>
      </c>
      <c r="O64" s="5">
        <v>0</v>
      </c>
      <c r="P64" s="5">
        <v>0</v>
      </c>
    </row>
    <row r="65" spans="1:16" x14ac:dyDescent="0.2">
      <c r="A65" s="5">
        <v>63</v>
      </c>
      <c r="B65" s="6">
        <v>45085</v>
      </c>
      <c r="C65" s="5">
        <v>225.705553694884</v>
      </c>
      <c r="D65" s="5">
        <v>200.89011921777899</v>
      </c>
      <c r="E65" s="5">
        <v>248.88842151081499</v>
      </c>
      <c r="F65" s="5">
        <v>225.705553694884</v>
      </c>
      <c r="G65" s="5">
        <v>225.705553694884</v>
      </c>
      <c r="H65" s="5">
        <v>-1.38466158332335</v>
      </c>
      <c r="I65" s="5">
        <v>-1.38466158332335</v>
      </c>
      <c r="J65" s="5">
        <v>-1.38466158332335</v>
      </c>
      <c r="K65" s="5">
        <v>-1.38466158332335</v>
      </c>
      <c r="L65" s="5">
        <v>-1.38466158332335</v>
      </c>
      <c r="M65" s="5">
        <v>-1.38466158332335</v>
      </c>
      <c r="N65" s="5">
        <v>0</v>
      </c>
      <c r="O65" s="5">
        <v>0</v>
      </c>
      <c r="P65" s="5">
        <v>0</v>
      </c>
    </row>
    <row r="66" spans="1:16" x14ac:dyDescent="0.2">
      <c r="A66" s="5">
        <v>64</v>
      </c>
      <c r="B66" s="6">
        <v>45086</v>
      </c>
      <c r="C66" s="5">
        <v>226.575466985632</v>
      </c>
      <c r="D66" s="5">
        <v>201.71272962705001</v>
      </c>
      <c r="E66" s="5">
        <v>248.64650605289901</v>
      </c>
      <c r="F66" s="5">
        <v>226.575466985632</v>
      </c>
      <c r="G66" s="5">
        <v>226.575466985632</v>
      </c>
      <c r="H66" s="5">
        <v>-1.48121905500214</v>
      </c>
      <c r="I66" s="5">
        <v>-1.48121905500214</v>
      </c>
      <c r="J66" s="5">
        <v>-1.48121905500214</v>
      </c>
      <c r="K66" s="5">
        <v>-1.48121905500214</v>
      </c>
      <c r="L66" s="5">
        <v>-1.48121905500214</v>
      </c>
      <c r="M66" s="5">
        <v>-1.48121905500214</v>
      </c>
      <c r="N66" s="5">
        <v>0</v>
      </c>
      <c r="O66" s="5">
        <v>0</v>
      </c>
      <c r="P66" s="5">
        <v>0</v>
      </c>
    </row>
    <row r="67" spans="1:16" x14ac:dyDescent="0.2">
      <c r="A67" s="5">
        <v>65</v>
      </c>
      <c r="B67" s="6">
        <v>45089</v>
      </c>
      <c r="C67" s="5">
        <v>229.18520685114601</v>
      </c>
      <c r="D67" s="5">
        <v>203.68177086085501</v>
      </c>
      <c r="E67" s="5">
        <v>253.02553010497999</v>
      </c>
      <c r="F67" s="5">
        <v>229.18520685114601</v>
      </c>
      <c r="G67" s="5">
        <v>229.18520685114601</v>
      </c>
      <c r="H67" s="5">
        <v>-1.8234865982531501</v>
      </c>
      <c r="I67" s="5">
        <v>-1.8234865982531501</v>
      </c>
      <c r="J67" s="5">
        <v>-1.8234865982531501</v>
      </c>
      <c r="K67" s="5">
        <v>-1.8234865982531501</v>
      </c>
      <c r="L67" s="5">
        <v>-1.8234865982531501</v>
      </c>
      <c r="M67" s="5">
        <v>-1.8234865982531501</v>
      </c>
      <c r="N67" s="5">
        <v>0</v>
      </c>
      <c r="O67" s="5">
        <v>0</v>
      </c>
      <c r="P67" s="5">
        <v>0</v>
      </c>
    </row>
    <row r="68" spans="1:16" x14ac:dyDescent="0.2">
      <c r="A68" s="5">
        <v>66</v>
      </c>
      <c r="B68" s="6">
        <v>45090</v>
      </c>
      <c r="C68" s="5">
        <v>230.05512013965</v>
      </c>
      <c r="D68" s="5">
        <v>206.38289830638601</v>
      </c>
      <c r="E68" s="5">
        <v>254.96972102230501</v>
      </c>
      <c r="F68" s="5">
        <v>230.05512013965</v>
      </c>
      <c r="G68" s="5">
        <v>230.05512013965</v>
      </c>
      <c r="H68" s="5">
        <v>0.50257879986701104</v>
      </c>
      <c r="I68" s="5">
        <v>0.50257879986701104</v>
      </c>
      <c r="J68" s="5">
        <v>0.50257879986701104</v>
      </c>
      <c r="K68" s="5">
        <v>0.50257879986701104</v>
      </c>
      <c r="L68" s="5">
        <v>0.50257879986701104</v>
      </c>
      <c r="M68" s="5">
        <v>0.50257879986701104</v>
      </c>
      <c r="N68" s="5">
        <v>0</v>
      </c>
      <c r="O68" s="5">
        <v>0</v>
      </c>
      <c r="P68" s="5">
        <v>0</v>
      </c>
    </row>
    <row r="69" spans="1:16" x14ac:dyDescent="0.2">
      <c r="A69" s="5">
        <v>67</v>
      </c>
      <c r="B69" s="6">
        <v>45091</v>
      </c>
      <c r="C69" s="5">
        <v>230.92503342815499</v>
      </c>
      <c r="D69" s="5">
        <v>205.56088964083099</v>
      </c>
      <c r="E69" s="5">
        <v>256.17376985055699</v>
      </c>
      <c r="F69" s="5">
        <v>230.92503342815499</v>
      </c>
      <c r="G69" s="5">
        <v>230.92503342815499</v>
      </c>
      <c r="H69" s="5">
        <v>-0.35171639328179</v>
      </c>
      <c r="I69" s="5">
        <v>-0.35171639328179</v>
      </c>
      <c r="J69" s="5">
        <v>-0.35171639328179</v>
      </c>
      <c r="K69" s="5">
        <v>-0.35171639328179</v>
      </c>
      <c r="L69" s="5">
        <v>-0.35171639328179</v>
      </c>
      <c r="M69" s="5">
        <v>-0.35171639328179</v>
      </c>
      <c r="N69" s="5">
        <v>0</v>
      </c>
      <c r="O69" s="5">
        <v>0</v>
      </c>
      <c r="P69" s="5">
        <v>0</v>
      </c>
    </row>
    <row r="70" spans="1:16" x14ac:dyDescent="0.2">
      <c r="A70" s="5">
        <v>68</v>
      </c>
      <c r="B70" s="6">
        <v>45092</v>
      </c>
      <c r="C70" s="5">
        <v>231.79494671665901</v>
      </c>
      <c r="D70" s="5">
        <v>208.58346583228399</v>
      </c>
      <c r="E70" s="5">
        <v>255.259458791725</v>
      </c>
      <c r="F70" s="5">
        <v>231.79494671665901</v>
      </c>
      <c r="G70" s="5">
        <v>231.79494671665901</v>
      </c>
      <c r="H70" s="5">
        <v>-1.38466158332137</v>
      </c>
      <c r="I70" s="5">
        <v>-1.38466158332137</v>
      </c>
      <c r="J70" s="5">
        <v>-1.38466158332137</v>
      </c>
      <c r="K70" s="5">
        <v>-1.38466158332137</v>
      </c>
      <c r="L70" s="5">
        <v>-1.38466158332137</v>
      </c>
      <c r="M70" s="5">
        <v>-1.38466158332137</v>
      </c>
      <c r="N70" s="5">
        <v>0</v>
      </c>
      <c r="O70" s="5">
        <v>0</v>
      </c>
      <c r="P70" s="5">
        <v>0</v>
      </c>
    </row>
    <row r="71" spans="1:16" x14ac:dyDescent="0.2">
      <c r="A71" s="5">
        <v>69</v>
      </c>
      <c r="B71" s="6">
        <v>45093</v>
      </c>
      <c r="C71" s="5">
        <v>232.664860005164</v>
      </c>
      <c r="D71" s="5">
        <v>205.98625666728401</v>
      </c>
      <c r="E71" s="5">
        <v>255.70816673201901</v>
      </c>
      <c r="F71" s="5">
        <v>232.664860005164</v>
      </c>
      <c r="G71" s="5">
        <v>232.664860005164</v>
      </c>
      <c r="H71" s="5">
        <v>-1.4812190550118201</v>
      </c>
      <c r="I71" s="5">
        <v>-1.4812190550118201</v>
      </c>
      <c r="J71" s="5">
        <v>-1.4812190550118201</v>
      </c>
      <c r="K71" s="5">
        <v>-1.4812190550118201</v>
      </c>
      <c r="L71" s="5">
        <v>-1.4812190550118201</v>
      </c>
      <c r="M71" s="5">
        <v>-1.4812190550118201</v>
      </c>
      <c r="N71" s="5">
        <v>0</v>
      </c>
      <c r="O71" s="5">
        <v>0</v>
      </c>
      <c r="P71" s="5">
        <v>0</v>
      </c>
    </row>
    <row r="72" spans="1:16" x14ac:dyDescent="0.2">
      <c r="A72" s="5">
        <v>70</v>
      </c>
      <c r="B72" s="6">
        <v>45097</v>
      </c>
      <c r="C72" s="5">
        <v>236.144513159182</v>
      </c>
      <c r="D72" s="5">
        <v>212.88233100654901</v>
      </c>
      <c r="E72" s="5">
        <v>262.38969520195798</v>
      </c>
      <c r="F72" s="5">
        <v>236.144513159182</v>
      </c>
      <c r="G72" s="5">
        <v>236.144513159182</v>
      </c>
      <c r="H72" s="5">
        <v>0.50257879986857201</v>
      </c>
      <c r="I72" s="5">
        <v>0.50257879986857201</v>
      </c>
      <c r="J72" s="5">
        <v>0.50257879986857201</v>
      </c>
      <c r="K72" s="5">
        <v>0.50257879986857201</v>
      </c>
      <c r="L72" s="5">
        <v>0.50257879986857201</v>
      </c>
      <c r="M72" s="5">
        <v>0.50257879986857201</v>
      </c>
      <c r="N72" s="5">
        <v>0</v>
      </c>
      <c r="O72" s="5">
        <v>0</v>
      </c>
      <c r="P72" s="5">
        <v>0</v>
      </c>
    </row>
    <row r="73" spans="1:16" x14ac:dyDescent="0.2">
      <c r="A73" s="5">
        <v>71</v>
      </c>
      <c r="B73" s="6">
        <v>45098</v>
      </c>
      <c r="C73" s="5">
        <v>237.01442644768599</v>
      </c>
      <c r="D73" s="5">
        <v>213.05033247251799</v>
      </c>
      <c r="E73" s="5">
        <v>261.35964110314501</v>
      </c>
      <c r="F73" s="5">
        <v>237.01442644768599</v>
      </c>
      <c r="G73" s="5">
        <v>237.01442644768599</v>
      </c>
      <c r="H73" s="5">
        <v>-0.35171639328450099</v>
      </c>
      <c r="I73" s="5">
        <v>-0.35171639328450099</v>
      </c>
      <c r="J73" s="5">
        <v>-0.35171639328450099</v>
      </c>
      <c r="K73" s="5">
        <v>-0.35171639328450099</v>
      </c>
      <c r="L73" s="5">
        <v>-0.35171639328450099</v>
      </c>
      <c r="M73" s="5">
        <v>-0.35171639328450099</v>
      </c>
      <c r="N73" s="5">
        <v>0</v>
      </c>
      <c r="O73" s="5">
        <v>0</v>
      </c>
      <c r="P73" s="5">
        <v>0</v>
      </c>
    </row>
    <row r="74" spans="1:16" x14ac:dyDescent="0.2">
      <c r="A74" s="5">
        <v>72</v>
      </c>
      <c r="B74" s="6">
        <v>45099</v>
      </c>
      <c r="C74" s="5">
        <v>237.88433973619101</v>
      </c>
      <c r="D74" s="5">
        <v>211.72797122283799</v>
      </c>
      <c r="E74" s="5">
        <v>258.38441655636399</v>
      </c>
      <c r="F74" s="5">
        <v>237.88433973619101</v>
      </c>
      <c r="G74" s="5">
        <v>237.88433973619101</v>
      </c>
      <c r="H74" s="5">
        <v>-1.3846615833159801</v>
      </c>
      <c r="I74" s="5">
        <v>-1.3846615833159801</v>
      </c>
      <c r="J74" s="5">
        <v>-1.3846615833159801</v>
      </c>
      <c r="K74" s="5">
        <v>-1.3846615833159801</v>
      </c>
      <c r="L74" s="5">
        <v>-1.3846615833159801</v>
      </c>
      <c r="M74" s="5">
        <v>-1.3846615833159801</v>
      </c>
      <c r="N74" s="5">
        <v>0</v>
      </c>
      <c r="O74" s="5">
        <v>0</v>
      </c>
      <c r="P74" s="5">
        <v>0</v>
      </c>
    </row>
    <row r="75" spans="1:16" x14ac:dyDescent="0.2">
      <c r="A75" s="5">
        <v>73</v>
      </c>
      <c r="B75" s="6">
        <v>45100</v>
      </c>
      <c r="C75" s="5">
        <v>238.75425107280299</v>
      </c>
      <c r="D75" s="5">
        <v>211.60339699074299</v>
      </c>
      <c r="E75" s="5">
        <v>259.18456772696902</v>
      </c>
      <c r="F75" s="5">
        <v>238.75425107280299</v>
      </c>
      <c r="G75" s="5">
        <v>238.75425107280299</v>
      </c>
      <c r="H75" s="5">
        <v>-1.48121905501377</v>
      </c>
      <c r="I75" s="5">
        <v>-1.48121905501377</v>
      </c>
      <c r="J75" s="5">
        <v>-1.48121905501377</v>
      </c>
      <c r="K75" s="5">
        <v>-1.48121905501377</v>
      </c>
      <c r="L75" s="5">
        <v>-1.48121905501377</v>
      </c>
      <c r="M75" s="5">
        <v>-1.48121905501377</v>
      </c>
      <c r="N75" s="5">
        <v>0</v>
      </c>
      <c r="O75" s="5">
        <v>0</v>
      </c>
      <c r="P75" s="5">
        <v>0</v>
      </c>
    </row>
    <row r="76" spans="1:16" x14ac:dyDescent="0.2">
      <c r="A76" s="5">
        <v>74</v>
      </c>
      <c r="B76" s="6">
        <v>45103</v>
      </c>
      <c r="C76" s="5">
        <v>241.363985082639</v>
      </c>
      <c r="D76" s="5">
        <v>214.860821694653</v>
      </c>
      <c r="E76" s="5">
        <v>262.472830846112</v>
      </c>
      <c r="F76" s="5">
        <v>241.363985082639</v>
      </c>
      <c r="G76" s="5">
        <v>241.363985082639</v>
      </c>
      <c r="H76" s="5">
        <v>-1.8234865982538599</v>
      </c>
      <c r="I76" s="5">
        <v>-1.8234865982538599</v>
      </c>
      <c r="J76" s="5">
        <v>-1.8234865982538599</v>
      </c>
      <c r="K76" s="5">
        <v>-1.8234865982538599</v>
      </c>
      <c r="L76" s="5">
        <v>-1.8234865982538599</v>
      </c>
      <c r="M76" s="5">
        <v>-1.8234865982538599</v>
      </c>
      <c r="N76" s="5">
        <v>0</v>
      </c>
      <c r="O76" s="5">
        <v>0</v>
      </c>
      <c r="P76" s="5">
        <v>0</v>
      </c>
    </row>
    <row r="77" spans="1:16" x14ac:dyDescent="0.2">
      <c r="A77" s="5">
        <v>75</v>
      </c>
      <c r="B77" s="6">
        <v>45104</v>
      </c>
      <c r="C77" s="5">
        <v>242.23389641925101</v>
      </c>
      <c r="D77" s="5">
        <v>219.212965918012</v>
      </c>
      <c r="E77" s="5">
        <v>266.903956488608</v>
      </c>
      <c r="F77" s="5">
        <v>242.23389641925101</v>
      </c>
      <c r="G77" s="5">
        <v>242.23389641925101</v>
      </c>
      <c r="H77" s="5">
        <v>0.50257879986195697</v>
      </c>
      <c r="I77" s="5">
        <v>0.50257879986195697</v>
      </c>
      <c r="J77" s="5">
        <v>0.50257879986195697</v>
      </c>
      <c r="K77" s="5">
        <v>0.50257879986195697</v>
      </c>
      <c r="L77" s="5">
        <v>0.50257879986195697</v>
      </c>
      <c r="M77" s="5">
        <v>0.50257879986195697</v>
      </c>
      <c r="N77" s="5">
        <v>0</v>
      </c>
      <c r="O77" s="5">
        <v>0</v>
      </c>
      <c r="P77" s="5">
        <v>0</v>
      </c>
    </row>
    <row r="78" spans="1:16" x14ac:dyDescent="0.2">
      <c r="A78" s="5">
        <v>76</v>
      </c>
      <c r="B78" s="6">
        <v>45105</v>
      </c>
      <c r="C78" s="5">
        <v>243.10380775586299</v>
      </c>
      <c r="D78" s="5">
        <v>218.53238036317501</v>
      </c>
      <c r="E78" s="5">
        <v>268.01847779493897</v>
      </c>
      <c r="F78" s="5">
        <v>243.10380775586299</v>
      </c>
      <c r="G78" s="5">
        <v>243.10380775586299</v>
      </c>
      <c r="H78" s="5">
        <v>-0.35171639328721099</v>
      </c>
      <c r="I78" s="5">
        <v>-0.35171639328721099</v>
      </c>
      <c r="J78" s="5">
        <v>-0.35171639328721099</v>
      </c>
      <c r="K78" s="5">
        <v>-0.35171639328721099</v>
      </c>
      <c r="L78" s="5">
        <v>-0.35171639328721099</v>
      </c>
      <c r="M78" s="5">
        <v>-0.35171639328721099</v>
      </c>
      <c r="N78" s="5">
        <v>0</v>
      </c>
      <c r="O78" s="5">
        <v>0</v>
      </c>
      <c r="P78" s="5">
        <v>0</v>
      </c>
    </row>
    <row r="79" spans="1:16" x14ac:dyDescent="0.2">
      <c r="A79" s="5">
        <v>77</v>
      </c>
      <c r="B79" s="6">
        <v>45106</v>
      </c>
      <c r="C79" s="5">
        <v>243.97371909247499</v>
      </c>
      <c r="D79" s="5">
        <v>218.850863130292</v>
      </c>
      <c r="E79" s="5">
        <v>267.970413713661</v>
      </c>
      <c r="F79" s="5">
        <v>243.97371909247499</v>
      </c>
      <c r="G79" s="5">
        <v>243.97371909247499</v>
      </c>
      <c r="H79" s="5">
        <v>-1.3846615833183999</v>
      </c>
      <c r="I79" s="5">
        <v>-1.3846615833183999</v>
      </c>
      <c r="J79" s="5">
        <v>-1.3846615833183999</v>
      </c>
      <c r="K79" s="5">
        <v>-1.3846615833183999</v>
      </c>
      <c r="L79" s="5">
        <v>-1.3846615833183999</v>
      </c>
      <c r="M79" s="5">
        <v>-1.3846615833183999</v>
      </c>
      <c r="N79" s="5">
        <v>0</v>
      </c>
      <c r="O79" s="5">
        <v>0</v>
      </c>
      <c r="P79" s="5">
        <v>0</v>
      </c>
    </row>
    <row r="80" spans="1:16" x14ac:dyDescent="0.2">
      <c r="A80" s="5">
        <v>78</v>
      </c>
      <c r="B80" s="6">
        <v>45107</v>
      </c>
      <c r="C80" s="5">
        <v>244.84363042908799</v>
      </c>
      <c r="D80" s="5">
        <v>218.70250457753701</v>
      </c>
      <c r="E80" s="5">
        <v>267.05263861962101</v>
      </c>
      <c r="F80" s="5">
        <v>244.84363042908799</v>
      </c>
      <c r="G80" s="5">
        <v>244.84363042908799</v>
      </c>
      <c r="H80" s="5">
        <v>-1.48121905500437</v>
      </c>
      <c r="I80" s="5">
        <v>-1.48121905500437</v>
      </c>
      <c r="J80" s="5">
        <v>-1.48121905500437</v>
      </c>
      <c r="K80" s="5">
        <v>-1.48121905500437</v>
      </c>
      <c r="L80" s="5">
        <v>-1.48121905500437</v>
      </c>
      <c r="M80" s="5">
        <v>-1.48121905500437</v>
      </c>
      <c r="N80" s="5">
        <v>0</v>
      </c>
      <c r="O80" s="5">
        <v>0</v>
      </c>
      <c r="P80" s="5">
        <v>0</v>
      </c>
    </row>
    <row r="81" spans="1:16" x14ac:dyDescent="0.2">
      <c r="A81" s="5">
        <v>79</v>
      </c>
      <c r="B81" s="6">
        <v>45110</v>
      </c>
      <c r="C81" s="5">
        <v>247.45336443892401</v>
      </c>
      <c r="D81" s="5">
        <v>222.20620503517199</v>
      </c>
      <c r="E81" s="5">
        <v>270.43526605601801</v>
      </c>
      <c r="F81" s="5">
        <v>247.45336443892401</v>
      </c>
      <c r="G81" s="5">
        <v>247.45336443892401</v>
      </c>
      <c r="H81" s="5">
        <v>-1.8234865982555</v>
      </c>
      <c r="I81" s="5">
        <v>-1.8234865982555</v>
      </c>
      <c r="J81" s="5">
        <v>-1.8234865982555</v>
      </c>
      <c r="K81" s="5">
        <v>-1.8234865982555</v>
      </c>
      <c r="L81" s="5">
        <v>-1.8234865982555</v>
      </c>
      <c r="M81" s="5">
        <v>-1.8234865982555</v>
      </c>
      <c r="N81" s="5">
        <v>0</v>
      </c>
      <c r="O81" s="5">
        <v>0</v>
      </c>
      <c r="P81" s="5">
        <v>0</v>
      </c>
    </row>
    <row r="82" spans="1:16" x14ac:dyDescent="0.2">
      <c r="A82" s="5">
        <v>80</v>
      </c>
      <c r="B82" s="6">
        <v>45112</v>
      </c>
      <c r="C82" s="5">
        <v>249.193187112148</v>
      </c>
      <c r="D82" s="5">
        <v>225.80391420609499</v>
      </c>
      <c r="E82" s="5">
        <v>272.19676309581001</v>
      </c>
      <c r="F82" s="5">
        <v>249.193187112148</v>
      </c>
      <c r="G82" s="5">
        <v>249.193187112148</v>
      </c>
      <c r="H82" s="5">
        <v>-0.35171639328766302</v>
      </c>
      <c r="I82" s="5">
        <v>-0.35171639328766302</v>
      </c>
      <c r="J82" s="5">
        <v>-0.35171639328766302</v>
      </c>
      <c r="K82" s="5">
        <v>-0.35171639328766302</v>
      </c>
      <c r="L82" s="5">
        <v>-0.35171639328766302</v>
      </c>
      <c r="M82" s="5">
        <v>-0.35171639328766302</v>
      </c>
      <c r="N82" s="5">
        <v>0</v>
      </c>
      <c r="O82" s="5">
        <v>0</v>
      </c>
      <c r="P82" s="5">
        <v>0</v>
      </c>
    </row>
    <row r="83" spans="1:16" x14ac:dyDescent="0.2">
      <c r="A83" s="5">
        <v>81</v>
      </c>
      <c r="B83" s="6">
        <v>45113</v>
      </c>
      <c r="C83" s="5">
        <v>249.75927536534201</v>
      </c>
      <c r="D83" s="5">
        <v>225.36731866007401</v>
      </c>
      <c r="E83" s="5">
        <v>271.87385925970398</v>
      </c>
      <c r="F83" s="5">
        <v>249.75927536534201</v>
      </c>
      <c r="G83" s="5">
        <v>249.75927536534201</v>
      </c>
      <c r="H83" s="5">
        <v>-1.38466158332082</v>
      </c>
      <c r="I83" s="5">
        <v>-1.38466158332082</v>
      </c>
      <c r="J83" s="5">
        <v>-1.38466158332082</v>
      </c>
      <c r="K83" s="5">
        <v>-1.38466158332082</v>
      </c>
      <c r="L83" s="5">
        <v>-1.38466158332082</v>
      </c>
      <c r="M83" s="5">
        <v>-1.38466158332082</v>
      </c>
      <c r="N83" s="5">
        <v>0</v>
      </c>
      <c r="O83" s="5">
        <v>0</v>
      </c>
      <c r="P83" s="5">
        <v>0</v>
      </c>
    </row>
    <row r="84" spans="1:16" x14ac:dyDescent="0.2">
      <c r="A84" s="5">
        <v>82</v>
      </c>
      <c r="B84" s="6">
        <v>45114</v>
      </c>
      <c r="C84" s="5">
        <v>250.32536361853499</v>
      </c>
      <c r="D84" s="5">
        <v>224.26343577772701</v>
      </c>
      <c r="E84" s="5">
        <v>274.43305665327603</v>
      </c>
      <c r="F84" s="5">
        <v>250.32536361853499</v>
      </c>
      <c r="G84" s="5">
        <v>250.32536361853499</v>
      </c>
      <c r="H84" s="5">
        <v>-1.48121905500632</v>
      </c>
      <c r="I84" s="5">
        <v>-1.48121905500632</v>
      </c>
      <c r="J84" s="5">
        <v>-1.48121905500632</v>
      </c>
      <c r="K84" s="5">
        <v>-1.48121905500632</v>
      </c>
      <c r="L84" s="5">
        <v>-1.48121905500632</v>
      </c>
      <c r="M84" s="5">
        <v>-1.48121905500632</v>
      </c>
      <c r="N84" s="5">
        <v>0</v>
      </c>
      <c r="O84" s="5">
        <v>0</v>
      </c>
      <c r="P84" s="5">
        <v>0</v>
      </c>
    </row>
    <row r="85" spans="1:16" x14ac:dyDescent="0.2">
      <c r="A85" s="5">
        <v>83</v>
      </c>
      <c r="B85" s="6">
        <v>45117</v>
      </c>
      <c r="C85" s="5">
        <v>252.02362837811501</v>
      </c>
      <c r="D85" s="5">
        <v>227.25700254336101</v>
      </c>
      <c r="E85" s="5">
        <v>276.869407370543</v>
      </c>
      <c r="F85" s="5">
        <v>252.02362837811501</v>
      </c>
      <c r="G85" s="5">
        <v>252.02362837811501</v>
      </c>
      <c r="H85" s="5">
        <v>-1.8234865982542701</v>
      </c>
      <c r="I85" s="5">
        <v>-1.8234865982542701</v>
      </c>
      <c r="J85" s="5">
        <v>-1.8234865982542701</v>
      </c>
      <c r="K85" s="5">
        <v>-1.8234865982542701</v>
      </c>
      <c r="L85" s="5">
        <v>-1.8234865982542701</v>
      </c>
      <c r="M85" s="5">
        <v>-1.8234865982542701</v>
      </c>
      <c r="N85" s="5">
        <v>0</v>
      </c>
      <c r="O85" s="5">
        <v>0</v>
      </c>
      <c r="P85" s="5">
        <v>0</v>
      </c>
    </row>
    <row r="86" spans="1:16" x14ac:dyDescent="0.2">
      <c r="A86" s="5">
        <v>84</v>
      </c>
      <c r="B86" s="6">
        <v>45118</v>
      </c>
      <c r="C86" s="5">
        <v>252.58971663130899</v>
      </c>
      <c r="D86" s="5">
        <v>226.677244495526</v>
      </c>
      <c r="E86" s="5">
        <v>277.49153243428202</v>
      </c>
      <c r="F86" s="5">
        <v>252.58971663130899</v>
      </c>
      <c r="G86" s="5">
        <v>252.58971663130899</v>
      </c>
      <c r="H86" s="5">
        <v>0.50257879986507903</v>
      </c>
      <c r="I86" s="5">
        <v>0.50257879986507903</v>
      </c>
      <c r="J86" s="5">
        <v>0.50257879986507903</v>
      </c>
      <c r="K86" s="5">
        <v>0.50257879986507903</v>
      </c>
      <c r="L86" s="5">
        <v>0.50257879986507903</v>
      </c>
      <c r="M86" s="5">
        <v>0.50257879986507903</v>
      </c>
      <c r="N86" s="5">
        <v>0</v>
      </c>
      <c r="O86" s="5">
        <v>0</v>
      </c>
      <c r="P86" s="5">
        <v>0</v>
      </c>
    </row>
    <row r="87" spans="1:16" x14ac:dyDescent="0.2">
      <c r="A87" s="5">
        <v>85</v>
      </c>
      <c r="B87" s="6">
        <v>45119</v>
      </c>
      <c r="C87" s="5">
        <v>253.155804884502</v>
      </c>
      <c r="D87" s="5">
        <v>229.89315603212299</v>
      </c>
      <c r="E87" s="5">
        <v>277.00884412732802</v>
      </c>
      <c r="F87" s="5">
        <v>253.155804884502</v>
      </c>
      <c r="G87" s="5">
        <v>253.155804884502</v>
      </c>
      <c r="H87" s="5">
        <v>-0.35171639328811499</v>
      </c>
      <c r="I87" s="5">
        <v>-0.35171639328811499</v>
      </c>
      <c r="J87" s="5">
        <v>-0.35171639328811499</v>
      </c>
      <c r="K87" s="5">
        <v>-0.35171639328811499</v>
      </c>
      <c r="L87" s="5">
        <v>-0.35171639328811499</v>
      </c>
      <c r="M87" s="5">
        <v>-0.35171639328811499</v>
      </c>
      <c r="N87" s="5">
        <v>0</v>
      </c>
      <c r="O87" s="5">
        <v>0</v>
      </c>
      <c r="P87" s="5">
        <v>0</v>
      </c>
    </row>
    <row r="88" spans="1:16" x14ac:dyDescent="0.2">
      <c r="A88" s="5">
        <v>86</v>
      </c>
      <c r="B88" s="6">
        <v>45120</v>
      </c>
      <c r="C88" s="5">
        <v>253.72189313769599</v>
      </c>
      <c r="D88" s="5">
        <v>228.08315868131299</v>
      </c>
      <c r="E88" s="5">
        <v>275.46568676529103</v>
      </c>
      <c r="F88" s="5">
        <v>253.72189313769599</v>
      </c>
      <c r="G88" s="5">
        <v>253.72189313769599</v>
      </c>
      <c r="H88" s="5">
        <v>-1.3846615833154301</v>
      </c>
      <c r="I88" s="5">
        <v>-1.3846615833154301</v>
      </c>
      <c r="J88" s="5">
        <v>-1.3846615833154301</v>
      </c>
      <c r="K88" s="5">
        <v>-1.3846615833154301</v>
      </c>
      <c r="L88" s="5">
        <v>-1.3846615833154301</v>
      </c>
      <c r="M88" s="5">
        <v>-1.3846615833154301</v>
      </c>
      <c r="N88" s="5">
        <v>0</v>
      </c>
      <c r="O88" s="5">
        <v>0</v>
      </c>
      <c r="P88" s="5">
        <v>0</v>
      </c>
    </row>
    <row r="89" spans="1:16" x14ac:dyDescent="0.2">
      <c r="A89" s="5">
        <v>87</v>
      </c>
      <c r="B89" s="6">
        <v>45121</v>
      </c>
      <c r="C89" s="5">
        <v>254.287981390889</v>
      </c>
      <c r="D89" s="5">
        <v>228.71496477956401</v>
      </c>
      <c r="E89" s="5">
        <v>277.53829229593401</v>
      </c>
      <c r="F89" s="5">
        <v>254.287981390889</v>
      </c>
      <c r="G89" s="5">
        <v>254.287981390889</v>
      </c>
      <c r="H89" s="5">
        <v>-1.4812190550025901</v>
      </c>
      <c r="I89" s="5">
        <v>-1.4812190550025901</v>
      </c>
      <c r="J89" s="5">
        <v>-1.4812190550025901</v>
      </c>
      <c r="K89" s="5">
        <v>-1.4812190550025901</v>
      </c>
      <c r="L89" s="5">
        <v>-1.4812190550025901</v>
      </c>
      <c r="M89" s="5">
        <v>-1.4812190550025901</v>
      </c>
      <c r="N89" s="5">
        <v>0</v>
      </c>
      <c r="O89" s="5">
        <v>0</v>
      </c>
      <c r="P89" s="5">
        <v>0</v>
      </c>
    </row>
    <row r="90" spans="1:16" x14ac:dyDescent="0.2">
      <c r="A90" s="5">
        <v>88</v>
      </c>
      <c r="B90" s="6">
        <v>45124</v>
      </c>
      <c r="C90" s="5">
        <v>255.98624615046899</v>
      </c>
      <c r="D90" s="5">
        <v>230.37072140687701</v>
      </c>
      <c r="E90" s="5">
        <v>279.52016402939</v>
      </c>
      <c r="F90" s="5">
        <v>255.98624615046899</v>
      </c>
      <c r="G90" s="5">
        <v>255.98624615046899</v>
      </c>
      <c r="H90" s="5">
        <v>-1.8234865982559101</v>
      </c>
      <c r="I90" s="5">
        <v>-1.8234865982559101</v>
      </c>
      <c r="J90" s="5">
        <v>-1.8234865982559101</v>
      </c>
      <c r="K90" s="5">
        <v>-1.8234865982559101</v>
      </c>
      <c r="L90" s="5">
        <v>-1.8234865982559101</v>
      </c>
      <c r="M90" s="5">
        <v>-1.8234865982559101</v>
      </c>
      <c r="N90" s="5">
        <v>0</v>
      </c>
      <c r="O90" s="5">
        <v>0</v>
      </c>
      <c r="P90" s="5">
        <v>0</v>
      </c>
    </row>
    <row r="91" spans="1:16" x14ac:dyDescent="0.2">
      <c r="A91" s="5">
        <v>89</v>
      </c>
      <c r="B91" s="6">
        <v>45125</v>
      </c>
      <c r="C91" s="5">
        <v>256.159806912796</v>
      </c>
      <c r="D91" s="5">
        <v>231.03289335591501</v>
      </c>
      <c r="E91" s="5">
        <v>281.89069488488798</v>
      </c>
      <c r="F91" s="5">
        <v>256.159806912796</v>
      </c>
      <c r="G91" s="5">
        <v>256.159806912796</v>
      </c>
      <c r="H91" s="5">
        <v>0.50257879986630505</v>
      </c>
      <c r="I91" s="5">
        <v>0.50257879986630505</v>
      </c>
      <c r="J91" s="5">
        <v>0.50257879986630505</v>
      </c>
      <c r="K91" s="5">
        <v>0.50257879986630505</v>
      </c>
      <c r="L91" s="5">
        <v>0.50257879986630505</v>
      </c>
      <c r="M91" s="5">
        <v>0.50257879986630505</v>
      </c>
      <c r="N91" s="5">
        <v>0</v>
      </c>
      <c r="O91" s="5">
        <v>0</v>
      </c>
      <c r="P91" s="5">
        <v>0</v>
      </c>
    </row>
    <row r="92" spans="1:16" x14ac:dyDescent="0.2">
      <c r="A92" s="5">
        <v>90</v>
      </c>
      <c r="B92" s="6">
        <v>45126</v>
      </c>
      <c r="C92" s="5">
        <v>256.33336767512299</v>
      </c>
      <c r="D92" s="5">
        <v>231.87284238554801</v>
      </c>
      <c r="E92" s="5">
        <v>281.47577848361198</v>
      </c>
      <c r="F92" s="5">
        <v>256.33336767512299</v>
      </c>
      <c r="G92" s="5">
        <v>256.33336767512299</v>
      </c>
      <c r="H92" s="5">
        <v>-0.351716393283246</v>
      </c>
      <c r="I92" s="5">
        <v>-0.351716393283246</v>
      </c>
      <c r="J92" s="5">
        <v>-0.351716393283246</v>
      </c>
      <c r="K92" s="5">
        <v>-0.351716393283246</v>
      </c>
      <c r="L92" s="5">
        <v>-0.351716393283246</v>
      </c>
      <c r="M92" s="5">
        <v>-0.351716393283246</v>
      </c>
      <c r="N92" s="5">
        <v>0</v>
      </c>
      <c r="O92" s="5">
        <v>0</v>
      </c>
      <c r="P92" s="5">
        <v>0</v>
      </c>
    </row>
    <row r="93" spans="1:16" x14ac:dyDescent="0.2">
      <c r="A93" s="5">
        <v>91</v>
      </c>
      <c r="B93" s="6">
        <v>45127</v>
      </c>
      <c r="C93" s="5">
        <v>256.50692843744997</v>
      </c>
      <c r="D93" s="5">
        <v>231.54976045721801</v>
      </c>
      <c r="E93" s="5">
        <v>280.26848309218599</v>
      </c>
      <c r="F93" s="5">
        <v>256.50692843744997</v>
      </c>
      <c r="G93" s="5">
        <v>256.50692843744997</v>
      </c>
      <c r="H93" s="5">
        <v>-1.3846615833178499</v>
      </c>
      <c r="I93" s="5">
        <v>-1.3846615833178499</v>
      </c>
      <c r="J93" s="5">
        <v>-1.3846615833178499</v>
      </c>
      <c r="K93" s="5">
        <v>-1.3846615833178499</v>
      </c>
      <c r="L93" s="5">
        <v>-1.3846615833178499</v>
      </c>
      <c r="M93" s="5">
        <v>-1.3846615833178499</v>
      </c>
      <c r="N93" s="5">
        <v>0</v>
      </c>
      <c r="O93" s="5">
        <v>0</v>
      </c>
      <c r="P93" s="5">
        <v>0</v>
      </c>
    </row>
    <row r="94" spans="1:16" x14ac:dyDescent="0.2">
      <c r="A94" s="5">
        <v>92</v>
      </c>
      <c r="B94" s="6">
        <v>45128</v>
      </c>
      <c r="C94" s="5">
        <v>256.68048919977701</v>
      </c>
      <c r="D94" s="5">
        <v>230.135567979949</v>
      </c>
      <c r="E94" s="5">
        <v>279.72097550197498</v>
      </c>
      <c r="F94" s="5">
        <v>256.68048919977701</v>
      </c>
      <c r="G94" s="5">
        <v>256.68048919977701</v>
      </c>
      <c r="H94" s="5">
        <v>-1.4812190550045501</v>
      </c>
      <c r="I94" s="5">
        <v>-1.4812190550045501</v>
      </c>
      <c r="J94" s="5">
        <v>-1.4812190550045501</v>
      </c>
      <c r="K94" s="5">
        <v>-1.4812190550045501</v>
      </c>
      <c r="L94" s="5">
        <v>-1.4812190550045501</v>
      </c>
      <c r="M94" s="5">
        <v>-1.4812190550045501</v>
      </c>
      <c r="N94" s="5">
        <v>0</v>
      </c>
      <c r="O94" s="5">
        <v>0</v>
      </c>
      <c r="P94" s="5">
        <v>0</v>
      </c>
    </row>
    <row r="95" spans="1:16" x14ac:dyDescent="0.2">
      <c r="A95" s="5">
        <v>93</v>
      </c>
      <c r="B95" s="6">
        <v>45131</v>
      </c>
      <c r="C95" s="5">
        <v>257.201171486757</v>
      </c>
      <c r="D95" s="5">
        <v>231.75157111192499</v>
      </c>
      <c r="E95" s="5">
        <v>277.82132555288001</v>
      </c>
      <c r="F95" s="5">
        <v>257.201171486757</v>
      </c>
      <c r="G95" s="5">
        <v>257.201171486757</v>
      </c>
      <c r="H95" s="5">
        <v>-1.82348659825212</v>
      </c>
      <c r="I95" s="5">
        <v>-1.82348659825212</v>
      </c>
      <c r="J95" s="5">
        <v>-1.82348659825212</v>
      </c>
      <c r="K95" s="5">
        <v>-1.82348659825212</v>
      </c>
      <c r="L95" s="5">
        <v>-1.82348659825212</v>
      </c>
      <c r="M95" s="5">
        <v>-1.82348659825212</v>
      </c>
      <c r="N95" s="5">
        <v>0</v>
      </c>
      <c r="O95" s="5">
        <v>0</v>
      </c>
      <c r="P95" s="5">
        <v>0</v>
      </c>
    </row>
    <row r="96" spans="1:16" x14ac:dyDescent="0.2">
      <c r="A96" s="5">
        <v>94</v>
      </c>
      <c r="B96" s="6">
        <v>45132</v>
      </c>
      <c r="C96" s="5">
        <v>257.37473224908399</v>
      </c>
      <c r="D96" s="5">
        <v>233.84911721916799</v>
      </c>
      <c r="E96" s="5">
        <v>280.84876106954499</v>
      </c>
      <c r="F96" s="5">
        <v>257.37473224908399</v>
      </c>
      <c r="G96" s="5">
        <v>257.37473224908399</v>
      </c>
      <c r="H96" s="5">
        <v>0.50257879986786502</v>
      </c>
      <c r="I96" s="5">
        <v>0.50257879986786502</v>
      </c>
      <c r="J96" s="5">
        <v>0.50257879986786502</v>
      </c>
      <c r="K96" s="5">
        <v>0.50257879986786502</v>
      </c>
      <c r="L96" s="5">
        <v>0.50257879986786502</v>
      </c>
      <c r="M96" s="5">
        <v>0.50257879986786502</v>
      </c>
      <c r="N96" s="5">
        <v>0</v>
      </c>
      <c r="O96" s="5">
        <v>0</v>
      </c>
      <c r="P96" s="5">
        <v>0</v>
      </c>
    </row>
    <row r="97" spans="1:16" x14ac:dyDescent="0.2">
      <c r="A97" s="5">
        <v>95</v>
      </c>
      <c r="B97" s="6">
        <v>45133</v>
      </c>
      <c r="C97" s="5">
        <v>257.54829301141001</v>
      </c>
      <c r="D97" s="5">
        <v>233.455606494249</v>
      </c>
      <c r="E97" s="5">
        <v>280.42487861459398</v>
      </c>
      <c r="F97" s="5">
        <v>257.54829301141001</v>
      </c>
      <c r="G97" s="5">
        <v>257.54829301141001</v>
      </c>
      <c r="H97" s="5">
        <v>-0.351716393285957</v>
      </c>
      <c r="I97" s="5">
        <v>-0.351716393285957</v>
      </c>
      <c r="J97" s="5">
        <v>-0.351716393285957</v>
      </c>
      <c r="K97" s="5">
        <v>-0.351716393285957</v>
      </c>
      <c r="L97" s="5">
        <v>-0.351716393285957</v>
      </c>
      <c r="M97" s="5">
        <v>-0.351716393285957</v>
      </c>
      <c r="N97" s="5">
        <v>0</v>
      </c>
      <c r="O97" s="5">
        <v>0</v>
      </c>
      <c r="P97" s="5">
        <v>0</v>
      </c>
    </row>
    <row r="98" spans="1:16" x14ac:dyDescent="0.2">
      <c r="A98" s="5">
        <v>96</v>
      </c>
      <c r="B98" s="6">
        <v>45134</v>
      </c>
      <c r="C98" s="5">
        <v>257.721853773737</v>
      </c>
      <c r="D98" s="5">
        <v>231.157014275384</v>
      </c>
      <c r="E98" s="5">
        <v>278.50145058633001</v>
      </c>
      <c r="F98" s="5">
        <v>257.721853773737</v>
      </c>
      <c r="G98" s="5">
        <v>257.721853773737</v>
      </c>
      <c r="H98" s="5">
        <v>-1.38466158331587</v>
      </c>
      <c r="I98" s="5">
        <v>-1.38466158331587</v>
      </c>
      <c r="J98" s="5">
        <v>-1.38466158331587</v>
      </c>
      <c r="K98" s="5">
        <v>-1.38466158331587</v>
      </c>
      <c r="L98" s="5">
        <v>-1.38466158331587</v>
      </c>
      <c r="M98" s="5">
        <v>-1.38466158331587</v>
      </c>
      <c r="N98" s="5">
        <v>0</v>
      </c>
      <c r="O98" s="5">
        <v>0</v>
      </c>
      <c r="P98" s="5">
        <v>0</v>
      </c>
    </row>
    <row r="99" spans="1:16" x14ac:dyDescent="0.2">
      <c r="A99" s="5">
        <v>97</v>
      </c>
      <c r="B99" s="6">
        <v>45135</v>
      </c>
      <c r="C99" s="5">
        <v>257.609943284998</v>
      </c>
      <c r="D99" s="5">
        <v>231.85615677715401</v>
      </c>
      <c r="E99" s="5">
        <v>278.32994402383002</v>
      </c>
      <c r="F99" s="5">
        <v>257.609943284998</v>
      </c>
      <c r="G99" s="5">
        <v>257.609943284998</v>
      </c>
      <c r="H99" s="5">
        <v>-1.48121905500082</v>
      </c>
      <c r="I99" s="5">
        <v>-1.48121905500082</v>
      </c>
      <c r="J99" s="5">
        <v>-1.48121905500082</v>
      </c>
      <c r="K99" s="5">
        <v>-1.48121905500082</v>
      </c>
      <c r="L99" s="5">
        <v>-1.48121905500082</v>
      </c>
      <c r="M99" s="5">
        <v>-1.48121905500082</v>
      </c>
      <c r="N99" s="5">
        <v>0</v>
      </c>
      <c r="O99" s="5">
        <v>0</v>
      </c>
      <c r="P99" s="5">
        <v>0</v>
      </c>
    </row>
    <row r="100" spans="1:16" x14ac:dyDescent="0.2">
      <c r="A100" s="5">
        <v>98</v>
      </c>
      <c r="B100" s="6">
        <v>45138</v>
      </c>
      <c r="C100" s="5">
        <v>257.27421181877997</v>
      </c>
      <c r="D100" s="5">
        <v>231.12663233969599</v>
      </c>
      <c r="E100" s="5">
        <v>279.78940045646198</v>
      </c>
      <c r="F100" s="5">
        <v>257.27421181877997</v>
      </c>
      <c r="G100" s="5">
        <v>257.27421181877997</v>
      </c>
      <c r="H100" s="5">
        <v>-1.82348659825376</v>
      </c>
      <c r="I100" s="5">
        <v>-1.82348659825376</v>
      </c>
      <c r="J100" s="5">
        <v>-1.82348659825376</v>
      </c>
      <c r="K100" s="5">
        <v>-1.82348659825376</v>
      </c>
      <c r="L100" s="5">
        <v>-1.82348659825376</v>
      </c>
      <c r="M100" s="5">
        <v>-1.82348659825376</v>
      </c>
      <c r="N100" s="5">
        <v>0</v>
      </c>
      <c r="O100" s="5">
        <v>0</v>
      </c>
      <c r="P100" s="5">
        <v>0</v>
      </c>
    </row>
    <row r="101" spans="1:16" x14ac:dyDescent="0.2">
      <c r="A101" s="5">
        <v>99</v>
      </c>
      <c r="B101" s="6">
        <v>45139</v>
      </c>
      <c r="C101" s="5">
        <v>257.16230133004001</v>
      </c>
      <c r="D101" s="5">
        <v>233.24671385093001</v>
      </c>
      <c r="E101" s="5">
        <v>280.79540038066301</v>
      </c>
      <c r="F101" s="5">
        <v>257.16230133004001</v>
      </c>
      <c r="G101" s="5">
        <v>257.16230133004001</v>
      </c>
      <c r="H101" s="5">
        <v>0.50257879986909104</v>
      </c>
      <c r="I101" s="5">
        <v>0.50257879986909104</v>
      </c>
      <c r="J101" s="5">
        <v>0.50257879986909104</v>
      </c>
      <c r="K101" s="5">
        <v>0.50257879986909104</v>
      </c>
      <c r="L101" s="5">
        <v>0.50257879986909104</v>
      </c>
      <c r="M101" s="5">
        <v>0.50257879986909104</v>
      </c>
      <c r="N101" s="5">
        <v>0</v>
      </c>
      <c r="O101" s="5">
        <v>0</v>
      </c>
      <c r="P101" s="5">
        <v>0</v>
      </c>
    </row>
    <row r="102" spans="1:16" x14ac:dyDescent="0.2">
      <c r="A102" s="5">
        <v>100</v>
      </c>
      <c r="B102" s="6">
        <v>45140</v>
      </c>
      <c r="C102" s="5">
        <v>257.05039084130101</v>
      </c>
      <c r="D102" s="5">
        <v>232.77101585837701</v>
      </c>
      <c r="E102" s="5">
        <v>281.32600421885701</v>
      </c>
      <c r="F102" s="5">
        <v>257.05039084130101</v>
      </c>
      <c r="G102" s="5">
        <v>257.05039084130101</v>
      </c>
      <c r="H102" s="5">
        <v>-0.35171639328415</v>
      </c>
      <c r="I102" s="5">
        <v>-0.35171639328415</v>
      </c>
      <c r="J102" s="5">
        <v>-0.35171639328415</v>
      </c>
      <c r="K102" s="5">
        <v>-0.35171639328415</v>
      </c>
      <c r="L102" s="5">
        <v>-0.35171639328415</v>
      </c>
      <c r="M102" s="5">
        <v>-0.35171639328415</v>
      </c>
      <c r="N102" s="5">
        <v>0</v>
      </c>
      <c r="O102" s="5">
        <v>0</v>
      </c>
      <c r="P102" s="5">
        <v>0</v>
      </c>
    </row>
    <row r="103" spans="1:16" x14ac:dyDescent="0.2">
      <c r="A103" s="5">
        <v>101</v>
      </c>
      <c r="B103" s="6">
        <v>45141</v>
      </c>
      <c r="C103" s="5">
        <v>256.93848035256099</v>
      </c>
      <c r="D103" s="5">
        <v>231.412009332172</v>
      </c>
      <c r="E103" s="5">
        <v>279.668891705362</v>
      </c>
      <c r="F103" s="5">
        <v>256.93848035256099</v>
      </c>
      <c r="G103" s="5">
        <v>256.93848035256099</v>
      </c>
      <c r="H103" s="5">
        <v>-1.3846615833226901</v>
      </c>
      <c r="I103" s="5">
        <v>-1.3846615833226901</v>
      </c>
      <c r="J103" s="5">
        <v>-1.3846615833226901</v>
      </c>
      <c r="K103" s="5">
        <v>-1.3846615833226901</v>
      </c>
      <c r="L103" s="5">
        <v>-1.3846615833226901</v>
      </c>
      <c r="M103" s="5">
        <v>-1.3846615833226901</v>
      </c>
      <c r="N103" s="5">
        <v>0</v>
      </c>
      <c r="O103" s="5">
        <v>0</v>
      </c>
      <c r="P103" s="5">
        <v>0</v>
      </c>
    </row>
    <row r="104" spans="1:16" x14ac:dyDescent="0.2">
      <c r="A104" s="5">
        <v>102</v>
      </c>
      <c r="B104" s="6">
        <v>45142</v>
      </c>
      <c r="C104" s="5">
        <v>256.82656986382199</v>
      </c>
      <c r="D104" s="5">
        <v>229.32101937116201</v>
      </c>
      <c r="E104" s="5">
        <v>281.34263031169502</v>
      </c>
      <c r="F104" s="5">
        <v>256.82656986382199</v>
      </c>
      <c r="G104" s="5">
        <v>256.82656986382199</v>
      </c>
      <c r="H104" s="5">
        <v>-1.48121905501049</v>
      </c>
      <c r="I104" s="5">
        <v>-1.48121905501049</v>
      </c>
      <c r="J104" s="5">
        <v>-1.48121905501049</v>
      </c>
      <c r="K104" s="5">
        <v>-1.48121905501049</v>
      </c>
      <c r="L104" s="5">
        <v>-1.48121905501049</v>
      </c>
      <c r="M104" s="5">
        <v>-1.48121905501049</v>
      </c>
      <c r="N104" s="5">
        <v>0</v>
      </c>
      <c r="O104" s="5">
        <v>0</v>
      </c>
      <c r="P104" s="5">
        <v>0</v>
      </c>
    </row>
    <row r="105" spans="1:16" x14ac:dyDescent="0.2">
      <c r="A105" s="5">
        <v>103</v>
      </c>
      <c r="B105" s="6">
        <v>45145</v>
      </c>
      <c r="C105" s="5">
        <v>256.49083839760402</v>
      </c>
      <c r="D105" s="5">
        <v>229.918433876948</v>
      </c>
      <c r="E105" s="5">
        <v>280.09906254903001</v>
      </c>
      <c r="F105" s="5">
        <v>256.49083839760402</v>
      </c>
      <c r="G105" s="5">
        <v>256.49083839760402</v>
      </c>
      <c r="H105" s="5">
        <v>-1.8234865982525299</v>
      </c>
      <c r="I105" s="5">
        <v>-1.8234865982525299</v>
      </c>
      <c r="J105" s="5">
        <v>-1.8234865982525299</v>
      </c>
      <c r="K105" s="5">
        <v>-1.8234865982525299</v>
      </c>
      <c r="L105" s="5">
        <v>-1.8234865982525299</v>
      </c>
      <c r="M105" s="5">
        <v>-1.8234865982525299</v>
      </c>
      <c r="N105" s="5">
        <v>0</v>
      </c>
      <c r="O105" s="5">
        <v>0</v>
      </c>
      <c r="P105" s="5">
        <v>0</v>
      </c>
    </row>
    <row r="106" spans="1:16" x14ac:dyDescent="0.2">
      <c r="A106" s="5">
        <v>104</v>
      </c>
      <c r="B106" s="6">
        <v>45146</v>
      </c>
      <c r="C106" s="5">
        <v>256.378927908864</v>
      </c>
      <c r="D106" s="5">
        <v>233.796166538807</v>
      </c>
      <c r="E106" s="5">
        <v>282.30930561657499</v>
      </c>
      <c r="F106" s="5">
        <v>256.378927908864</v>
      </c>
      <c r="G106" s="5">
        <v>256.378927908864</v>
      </c>
      <c r="H106" s="5">
        <v>0.50257879987065202</v>
      </c>
      <c r="I106" s="5">
        <v>0.50257879987065202</v>
      </c>
      <c r="J106" s="5">
        <v>0.50257879987065202</v>
      </c>
      <c r="K106" s="5">
        <v>0.50257879987065202</v>
      </c>
      <c r="L106" s="5">
        <v>0.50257879987065202</v>
      </c>
      <c r="M106" s="5">
        <v>0.50257879987065202</v>
      </c>
      <c r="N106" s="5">
        <v>0</v>
      </c>
      <c r="O106" s="5">
        <v>0</v>
      </c>
      <c r="P106" s="5">
        <v>0</v>
      </c>
    </row>
    <row r="107" spans="1:16" x14ac:dyDescent="0.2">
      <c r="A107" s="5">
        <v>105</v>
      </c>
      <c r="B107" s="6">
        <v>45147</v>
      </c>
      <c r="C107" s="5">
        <v>256.19380538282201</v>
      </c>
      <c r="D107" s="5">
        <v>229.74714403178899</v>
      </c>
      <c r="E107" s="5">
        <v>282.33794965843202</v>
      </c>
      <c r="F107" s="5">
        <v>256.19380538282201</v>
      </c>
      <c r="G107" s="5">
        <v>256.19380538282201</v>
      </c>
      <c r="H107" s="5">
        <v>-0.35171639328153997</v>
      </c>
      <c r="I107" s="5">
        <v>-0.35171639328153997</v>
      </c>
      <c r="J107" s="5">
        <v>-0.35171639328153997</v>
      </c>
      <c r="K107" s="5">
        <v>-0.35171639328153997</v>
      </c>
      <c r="L107" s="5">
        <v>-0.35171639328153997</v>
      </c>
      <c r="M107" s="5">
        <v>-0.35171639328153997</v>
      </c>
      <c r="N107" s="5">
        <v>0</v>
      </c>
      <c r="O107" s="5">
        <v>0</v>
      </c>
      <c r="P107" s="5">
        <v>0</v>
      </c>
    </row>
    <row r="108" spans="1:16" x14ac:dyDescent="0.2">
      <c r="A108" s="5">
        <v>106</v>
      </c>
      <c r="B108" s="6">
        <v>45148</v>
      </c>
      <c r="C108" s="5">
        <v>256.00868285677899</v>
      </c>
      <c r="D108" s="5">
        <v>230.96262902481101</v>
      </c>
      <c r="E108" s="5">
        <v>280.03039532665201</v>
      </c>
      <c r="F108" s="5">
        <v>256.00868285677899</v>
      </c>
      <c r="G108" s="5">
        <v>256.00868285677899</v>
      </c>
      <c r="H108" s="5">
        <v>-1.3846615833207101</v>
      </c>
      <c r="I108" s="5">
        <v>-1.3846615833207101</v>
      </c>
      <c r="J108" s="5">
        <v>-1.3846615833207101</v>
      </c>
      <c r="K108" s="5">
        <v>-1.3846615833207101</v>
      </c>
      <c r="L108" s="5">
        <v>-1.3846615833207101</v>
      </c>
      <c r="M108" s="5">
        <v>-1.3846615833207101</v>
      </c>
      <c r="N108" s="5">
        <v>0</v>
      </c>
      <c r="O108" s="5">
        <v>0</v>
      </c>
      <c r="P108" s="5">
        <v>0</v>
      </c>
    </row>
    <row r="109" spans="1:16" x14ac:dyDescent="0.2">
      <c r="A109" s="5">
        <v>107</v>
      </c>
      <c r="B109" s="6">
        <v>45149</v>
      </c>
      <c r="C109" s="5">
        <v>255.823560330737</v>
      </c>
      <c r="D109" s="5">
        <v>230.90840191511799</v>
      </c>
      <c r="E109" s="5">
        <v>279.11604905400299</v>
      </c>
      <c r="F109" s="5">
        <v>255.823560330737</v>
      </c>
      <c r="G109" s="5">
        <v>255.823560330737</v>
      </c>
      <c r="H109" s="5">
        <v>-1.4812190550067701</v>
      </c>
      <c r="I109" s="5">
        <v>-1.4812190550067701</v>
      </c>
      <c r="J109" s="5">
        <v>-1.4812190550067701</v>
      </c>
      <c r="K109" s="5">
        <v>-1.4812190550067701</v>
      </c>
      <c r="L109" s="5">
        <v>-1.4812190550067701</v>
      </c>
      <c r="M109" s="5">
        <v>-1.4812190550067701</v>
      </c>
      <c r="N109" s="5">
        <v>0</v>
      </c>
      <c r="O109" s="5">
        <v>0</v>
      </c>
      <c r="P109" s="5">
        <v>0</v>
      </c>
    </row>
    <row r="110" spans="1:16" x14ac:dyDescent="0.2">
      <c r="A110" s="5">
        <v>108</v>
      </c>
      <c r="B110" s="6">
        <v>45152</v>
      </c>
      <c r="C110" s="5">
        <v>255.268192752609</v>
      </c>
      <c r="D110" s="5">
        <v>227.54963184352999</v>
      </c>
      <c r="E110" s="5">
        <v>276.948384707694</v>
      </c>
      <c r="F110" s="5">
        <v>255.268192752609</v>
      </c>
      <c r="G110" s="5">
        <v>255.268192752609</v>
      </c>
      <c r="H110" s="5">
        <v>-1.8234865982570301</v>
      </c>
      <c r="I110" s="5">
        <v>-1.8234865982570301</v>
      </c>
      <c r="J110" s="5">
        <v>-1.8234865982570301</v>
      </c>
      <c r="K110" s="5">
        <v>-1.8234865982570301</v>
      </c>
      <c r="L110" s="5">
        <v>-1.8234865982570301</v>
      </c>
      <c r="M110" s="5">
        <v>-1.8234865982570301</v>
      </c>
      <c r="N110" s="5">
        <v>0</v>
      </c>
      <c r="O110" s="5">
        <v>0</v>
      </c>
      <c r="P110" s="5">
        <v>0</v>
      </c>
    </row>
    <row r="111" spans="1:16" x14ac:dyDescent="0.2">
      <c r="A111" s="5">
        <v>109</v>
      </c>
      <c r="B111" s="6">
        <v>45153</v>
      </c>
      <c r="C111" s="5">
        <v>255.083070226567</v>
      </c>
      <c r="D111" s="5">
        <v>232.45977395890799</v>
      </c>
      <c r="E111" s="5">
        <v>280.05757282574899</v>
      </c>
      <c r="F111" s="5">
        <v>255.083070226567</v>
      </c>
      <c r="G111" s="5">
        <v>255.083070226567</v>
      </c>
      <c r="H111" s="5">
        <v>0.50257879986403697</v>
      </c>
      <c r="I111" s="5">
        <v>0.50257879986403697</v>
      </c>
      <c r="J111" s="5">
        <v>0.50257879986403697</v>
      </c>
      <c r="K111" s="5">
        <v>0.50257879986403697</v>
      </c>
      <c r="L111" s="5">
        <v>0.50257879986403697</v>
      </c>
      <c r="M111" s="5">
        <v>0.50257879986403697</v>
      </c>
      <c r="N111" s="5">
        <v>0</v>
      </c>
      <c r="O111" s="5">
        <v>0</v>
      </c>
      <c r="P111" s="5">
        <v>0</v>
      </c>
    </row>
    <row r="112" spans="1:16" x14ac:dyDescent="0.2">
      <c r="A112" s="5">
        <v>110</v>
      </c>
      <c r="B112" s="6">
        <v>45154</v>
      </c>
      <c r="C112" s="5">
        <v>254.89794770052401</v>
      </c>
      <c r="D112" s="5">
        <v>230.60044645403801</v>
      </c>
      <c r="E112" s="5">
        <v>277.94164294549103</v>
      </c>
      <c r="F112" s="5">
        <v>254.89794770052401</v>
      </c>
      <c r="G112" s="5">
        <v>254.89794770052401</v>
      </c>
      <c r="H112" s="5">
        <v>-0.35171639327973397</v>
      </c>
      <c r="I112" s="5">
        <v>-0.35171639327973397</v>
      </c>
      <c r="J112" s="5">
        <v>-0.35171639327973397</v>
      </c>
      <c r="K112" s="5">
        <v>-0.35171639327973397</v>
      </c>
      <c r="L112" s="5">
        <v>-0.35171639327973397</v>
      </c>
      <c r="M112" s="5">
        <v>-0.35171639327973397</v>
      </c>
      <c r="N112" s="5">
        <v>0</v>
      </c>
      <c r="O112" s="5">
        <v>0</v>
      </c>
      <c r="P112" s="5">
        <v>0</v>
      </c>
    </row>
    <row r="113" spans="1:16" x14ac:dyDescent="0.2">
      <c r="A113" s="5">
        <v>111</v>
      </c>
      <c r="B113" s="6">
        <v>45155</v>
      </c>
      <c r="C113" s="5">
        <v>254.71282517448199</v>
      </c>
      <c r="D113" s="5">
        <v>229.29867159473301</v>
      </c>
      <c r="E113" s="5">
        <v>277.77982473744999</v>
      </c>
      <c r="F113" s="5">
        <v>254.71282517448199</v>
      </c>
      <c r="G113" s="5">
        <v>254.71282517448199</v>
      </c>
      <c r="H113" s="5">
        <v>-1.3846615833187299</v>
      </c>
      <c r="I113" s="5">
        <v>-1.3846615833187299</v>
      </c>
      <c r="J113" s="5">
        <v>-1.3846615833187299</v>
      </c>
      <c r="K113" s="5">
        <v>-1.3846615833187299</v>
      </c>
      <c r="L113" s="5">
        <v>-1.3846615833187299</v>
      </c>
      <c r="M113" s="5">
        <v>-1.3846615833187299</v>
      </c>
      <c r="N113" s="5">
        <v>0</v>
      </c>
      <c r="O113" s="5">
        <v>0</v>
      </c>
      <c r="P113" s="5">
        <v>0</v>
      </c>
    </row>
    <row r="114" spans="1:16" x14ac:dyDescent="0.2">
      <c r="A114" s="5">
        <v>112</v>
      </c>
      <c r="B114" s="6">
        <v>45156</v>
      </c>
      <c r="C114" s="5">
        <v>254.527702648439</v>
      </c>
      <c r="D114" s="5">
        <v>227.676344553928</v>
      </c>
      <c r="E114" s="5">
        <v>278.59571324913298</v>
      </c>
      <c r="F114" s="5">
        <v>254.527702648439</v>
      </c>
      <c r="G114" s="5">
        <v>254.527702648439</v>
      </c>
      <c r="H114" s="5">
        <v>-1.4812190550087201</v>
      </c>
      <c r="I114" s="5">
        <v>-1.4812190550087201</v>
      </c>
      <c r="J114" s="5">
        <v>-1.4812190550087201</v>
      </c>
      <c r="K114" s="5">
        <v>-1.4812190550087201</v>
      </c>
      <c r="L114" s="5">
        <v>-1.4812190550087201</v>
      </c>
      <c r="M114" s="5">
        <v>-1.4812190550087201</v>
      </c>
      <c r="N114" s="5">
        <v>0</v>
      </c>
      <c r="O114" s="5">
        <v>0</v>
      </c>
      <c r="P114" s="5">
        <v>0</v>
      </c>
    </row>
    <row r="115" spans="1:16" x14ac:dyDescent="0.2">
      <c r="A115" s="5">
        <v>113</v>
      </c>
      <c r="B115" s="6">
        <v>45159</v>
      </c>
      <c r="C115" s="5">
        <v>253.97233506099101</v>
      </c>
      <c r="D115" s="5">
        <v>228.16595456251</v>
      </c>
      <c r="E115" s="5">
        <v>275.03411822946498</v>
      </c>
      <c r="F115" s="5">
        <v>253.97233506099101</v>
      </c>
      <c r="G115" s="5">
        <v>253.97233506099101</v>
      </c>
      <c r="H115" s="5">
        <v>-1.8234865982558</v>
      </c>
      <c r="I115" s="5">
        <v>-1.8234865982558</v>
      </c>
      <c r="J115" s="5">
        <v>-1.8234865982558</v>
      </c>
      <c r="K115" s="5">
        <v>-1.8234865982558</v>
      </c>
      <c r="L115" s="5">
        <v>-1.8234865982558</v>
      </c>
      <c r="M115" s="5">
        <v>-1.8234865982558</v>
      </c>
      <c r="N115" s="5">
        <v>0</v>
      </c>
      <c r="O115" s="5">
        <v>0</v>
      </c>
      <c r="P115" s="5">
        <v>0</v>
      </c>
    </row>
    <row r="116" spans="1:16" x14ac:dyDescent="0.2">
      <c r="A116" s="5">
        <v>114</v>
      </c>
      <c r="B116" s="6">
        <v>45160</v>
      </c>
      <c r="C116" s="5">
        <v>253.78721253184099</v>
      </c>
      <c r="D116" s="5">
        <v>229.35182458984201</v>
      </c>
      <c r="E116" s="5">
        <v>277.93376277951899</v>
      </c>
      <c r="F116" s="5">
        <v>253.78721253184099</v>
      </c>
      <c r="G116" s="5">
        <v>253.78721253184099</v>
      </c>
      <c r="H116" s="5">
        <v>0.50257879986559695</v>
      </c>
      <c r="I116" s="5">
        <v>0.50257879986559695</v>
      </c>
      <c r="J116" s="5">
        <v>0.50257879986559695</v>
      </c>
      <c r="K116" s="5">
        <v>0.50257879986559695</v>
      </c>
      <c r="L116" s="5">
        <v>0.50257879986559695</v>
      </c>
      <c r="M116" s="5">
        <v>0.50257879986559695</v>
      </c>
      <c r="N116" s="5">
        <v>0</v>
      </c>
      <c r="O116" s="5">
        <v>0</v>
      </c>
      <c r="P116" s="5">
        <v>0</v>
      </c>
    </row>
    <row r="117" spans="1:16" x14ac:dyDescent="0.2">
      <c r="A117" s="5">
        <v>115</v>
      </c>
      <c r="B117" s="6">
        <v>45161</v>
      </c>
      <c r="C117" s="5">
        <v>253.602090002691</v>
      </c>
      <c r="D117" s="5">
        <v>228.32251494401001</v>
      </c>
      <c r="E117" s="5">
        <v>276.99883281214102</v>
      </c>
      <c r="F117" s="5">
        <v>253.602090002691</v>
      </c>
      <c r="G117" s="5">
        <v>253.602090002691</v>
      </c>
      <c r="H117" s="5">
        <v>-0.35171639328244397</v>
      </c>
      <c r="I117" s="5">
        <v>-0.35171639328244397</v>
      </c>
      <c r="J117" s="5">
        <v>-0.35171639328244397</v>
      </c>
      <c r="K117" s="5">
        <v>-0.35171639328244397</v>
      </c>
      <c r="L117" s="5">
        <v>-0.35171639328244397</v>
      </c>
      <c r="M117" s="5">
        <v>-0.35171639328244397</v>
      </c>
      <c r="N117" s="5">
        <v>0</v>
      </c>
      <c r="O117" s="5">
        <v>0</v>
      </c>
      <c r="P117" s="5">
        <v>0</v>
      </c>
    </row>
    <row r="118" spans="1:16" x14ac:dyDescent="0.2">
      <c r="A118" s="5">
        <v>116</v>
      </c>
      <c r="B118" s="6">
        <v>45162</v>
      </c>
      <c r="C118" s="5">
        <v>253.416967473542</v>
      </c>
      <c r="D118" s="5">
        <v>226.473942592154</v>
      </c>
      <c r="E118" s="5">
        <v>275.491232440472</v>
      </c>
      <c r="F118" s="5">
        <v>253.416967473542</v>
      </c>
      <c r="G118" s="5">
        <v>253.416967473542</v>
      </c>
      <c r="H118" s="5">
        <v>-1.38466158332115</v>
      </c>
      <c r="I118" s="5">
        <v>-1.38466158332115</v>
      </c>
      <c r="J118" s="5">
        <v>-1.38466158332115</v>
      </c>
      <c r="K118" s="5">
        <v>-1.38466158332115</v>
      </c>
      <c r="L118" s="5">
        <v>-1.38466158332115</v>
      </c>
      <c r="M118" s="5">
        <v>-1.38466158332115</v>
      </c>
      <c r="N118" s="5">
        <v>0</v>
      </c>
      <c r="O118" s="5">
        <v>0</v>
      </c>
      <c r="P118" s="5">
        <v>0</v>
      </c>
    </row>
    <row r="119" spans="1:16" x14ac:dyDescent="0.2">
      <c r="A119" s="5">
        <v>117</v>
      </c>
      <c r="B119" s="6">
        <v>45163</v>
      </c>
      <c r="C119" s="5">
        <v>253.23184494439201</v>
      </c>
      <c r="D119" s="5">
        <v>228.09350985738601</v>
      </c>
      <c r="E119" s="5">
        <v>275.845986050595</v>
      </c>
      <c r="F119" s="5">
        <v>253.23184494439201</v>
      </c>
      <c r="G119" s="5">
        <v>253.23184494439201</v>
      </c>
      <c r="H119" s="5">
        <v>-1.4812190549993201</v>
      </c>
      <c r="I119" s="5">
        <v>-1.4812190549993201</v>
      </c>
      <c r="J119" s="5">
        <v>-1.4812190549993201</v>
      </c>
      <c r="K119" s="5">
        <v>-1.4812190549993201</v>
      </c>
      <c r="L119" s="5">
        <v>-1.4812190549993201</v>
      </c>
      <c r="M119" s="5">
        <v>-1.4812190549993201</v>
      </c>
      <c r="N119" s="5">
        <v>0</v>
      </c>
      <c r="O119" s="5">
        <v>0</v>
      </c>
      <c r="P119" s="5">
        <v>0</v>
      </c>
    </row>
    <row r="120" spans="1:16" x14ac:dyDescent="0.2">
      <c r="A120" s="5">
        <v>118</v>
      </c>
      <c r="B120" s="6">
        <v>45166</v>
      </c>
      <c r="C120" s="5">
        <v>252.676477356943</v>
      </c>
      <c r="D120" s="5">
        <v>226.16466784852199</v>
      </c>
      <c r="E120" s="5">
        <v>274.59201459972201</v>
      </c>
      <c r="F120" s="5">
        <v>252.676477356943</v>
      </c>
      <c r="G120" s="5">
        <v>252.676477356943</v>
      </c>
      <c r="H120" s="5">
        <v>-1.82348659825458</v>
      </c>
      <c r="I120" s="5">
        <v>-1.82348659825458</v>
      </c>
      <c r="J120" s="5">
        <v>-1.82348659825458</v>
      </c>
      <c r="K120" s="5">
        <v>-1.82348659825458</v>
      </c>
      <c r="L120" s="5">
        <v>-1.82348659825458</v>
      </c>
      <c r="M120" s="5">
        <v>-1.82348659825458</v>
      </c>
      <c r="N120" s="5">
        <v>0</v>
      </c>
      <c r="O120" s="5">
        <v>0</v>
      </c>
      <c r="P120" s="5">
        <v>0</v>
      </c>
    </row>
    <row r="121" spans="1:16" x14ac:dyDescent="0.2">
      <c r="A121" s="5">
        <v>119</v>
      </c>
      <c r="B121" s="6">
        <v>45167</v>
      </c>
      <c r="C121" s="5">
        <v>252.491354827794</v>
      </c>
      <c r="D121" s="5">
        <v>228.16924496330299</v>
      </c>
      <c r="E121" s="5">
        <v>274.91576885866601</v>
      </c>
      <c r="F121" s="5">
        <v>252.491354827794</v>
      </c>
      <c r="G121" s="5">
        <v>252.491354827794</v>
      </c>
      <c r="H121" s="5">
        <v>0.50257879986682297</v>
      </c>
      <c r="I121" s="5">
        <v>0.50257879986682297</v>
      </c>
      <c r="J121" s="5">
        <v>0.50257879986682297</v>
      </c>
      <c r="K121" s="5">
        <v>0.50257879986682297</v>
      </c>
      <c r="L121" s="5">
        <v>0.50257879986682297</v>
      </c>
      <c r="M121" s="5">
        <v>0.50257879986682297</v>
      </c>
      <c r="N121" s="5">
        <v>0</v>
      </c>
      <c r="O121" s="5">
        <v>0</v>
      </c>
      <c r="P121" s="5">
        <v>0</v>
      </c>
    </row>
    <row r="122" spans="1:16" x14ac:dyDescent="0.2">
      <c r="A122" s="5">
        <v>120</v>
      </c>
      <c r="B122" s="6">
        <v>45168</v>
      </c>
      <c r="C122" s="5">
        <v>252.30623229864401</v>
      </c>
      <c r="D122" s="5">
        <v>226.69494979568</v>
      </c>
      <c r="E122" s="5">
        <v>276.16027984031302</v>
      </c>
      <c r="F122" s="5">
        <v>252.30623229864401</v>
      </c>
      <c r="G122" s="5">
        <v>252.30623229864401</v>
      </c>
      <c r="H122" s="5">
        <v>-0.351716393282896</v>
      </c>
      <c r="I122" s="5">
        <v>-0.351716393282896</v>
      </c>
      <c r="J122" s="5">
        <v>-0.351716393282896</v>
      </c>
      <c r="K122" s="5">
        <v>-0.351716393282896</v>
      </c>
      <c r="L122" s="5">
        <v>-0.351716393282896</v>
      </c>
      <c r="M122" s="5">
        <v>-0.351716393282896</v>
      </c>
      <c r="N122" s="5">
        <v>0</v>
      </c>
      <c r="O122" s="5">
        <v>0</v>
      </c>
      <c r="P122" s="5">
        <v>0</v>
      </c>
    </row>
    <row r="123" spans="1:16" x14ac:dyDescent="0.2">
      <c r="A123" s="5">
        <v>121</v>
      </c>
      <c r="B123" s="6">
        <v>45169</v>
      </c>
      <c r="C123" s="5">
        <v>252.12110965446399</v>
      </c>
      <c r="D123" s="5">
        <v>227.484040603371</v>
      </c>
      <c r="E123" s="5">
        <v>274.12620426363202</v>
      </c>
      <c r="F123" s="5">
        <v>252.12110965446399</v>
      </c>
      <c r="G123" s="5">
        <v>252.12110965446399</v>
      </c>
      <c r="H123" s="5">
        <v>-1.38466158331135</v>
      </c>
      <c r="I123" s="5">
        <v>-1.38466158331135</v>
      </c>
      <c r="J123" s="5">
        <v>-1.38466158331135</v>
      </c>
      <c r="K123" s="5">
        <v>-1.38466158331135</v>
      </c>
      <c r="L123" s="5">
        <v>-1.38466158331135</v>
      </c>
      <c r="M123" s="5">
        <v>-1.38466158331135</v>
      </c>
      <c r="N123" s="5">
        <v>0</v>
      </c>
      <c r="O123" s="5">
        <v>0</v>
      </c>
      <c r="P123" s="5">
        <v>0</v>
      </c>
    </row>
    <row r="124" spans="1:16" x14ac:dyDescent="0.2">
      <c r="A124" s="5">
        <v>122</v>
      </c>
      <c r="B124" s="6">
        <v>45170</v>
      </c>
      <c r="C124" s="5">
        <v>251.93598701028401</v>
      </c>
      <c r="D124" s="5">
        <v>227.12925779378</v>
      </c>
      <c r="E124" s="5">
        <v>273.96596261178701</v>
      </c>
      <c r="F124" s="5">
        <v>251.93598701028401</v>
      </c>
      <c r="G124" s="5">
        <v>251.93598701028401</v>
      </c>
      <c r="H124" s="5">
        <v>-1.48121905500127</v>
      </c>
      <c r="I124" s="5">
        <v>-1.48121905500127</v>
      </c>
      <c r="J124" s="5">
        <v>-1.48121905500127</v>
      </c>
      <c r="K124" s="5">
        <v>-1.48121905500127</v>
      </c>
      <c r="L124" s="5">
        <v>-1.48121905500127</v>
      </c>
      <c r="M124" s="5">
        <v>-1.48121905500127</v>
      </c>
      <c r="N124" s="5">
        <v>0</v>
      </c>
      <c r="O124" s="5">
        <v>0</v>
      </c>
      <c r="P124" s="5">
        <v>0</v>
      </c>
    </row>
    <row r="125" spans="1:16" x14ac:dyDescent="0.2">
      <c r="A125" s="5">
        <v>123</v>
      </c>
      <c r="B125" s="6">
        <v>45174</v>
      </c>
      <c r="C125" s="5">
        <v>251.19549643356501</v>
      </c>
      <c r="D125" s="5">
        <v>228.436382449945</v>
      </c>
      <c r="E125" s="5">
        <v>274.96297897932999</v>
      </c>
      <c r="F125" s="5">
        <v>251.19549643356501</v>
      </c>
      <c r="G125" s="5">
        <v>251.19549643356501</v>
      </c>
      <c r="H125" s="5">
        <v>0.50257879986054299</v>
      </c>
      <c r="I125" s="5">
        <v>0.50257879986054299</v>
      </c>
      <c r="J125" s="5">
        <v>0.50257879986054299</v>
      </c>
      <c r="K125" s="5">
        <v>0.50257879986054299</v>
      </c>
      <c r="L125" s="5">
        <v>0.50257879986054299</v>
      </c>
      <c r="M125" s="5">
        <v>0.50257879986054299</v>
      </c>
      <c r="N125" s="5">
        <v>0</v>
      </c>
      <c r="O125" s="5">
        <v>0</v>
      </c>
      <c r="P125" s="5">
        <v>0</v>
      </c>
    </row>
    <row r="126" spans="1:16" x14ac:dyDescent="0.2">
      <c r="A126" s="5">
        <v>124</v>
      </c>
      <c r="B126" s="6">
        <v>45175</v>
      </c>
      <c r="C126" s="5">
        <v>251.010373789385</v>
      </c>
      <c r="D126" s="5">
        <v>227.90691943496699</v>
      </c>
      <c r="E126" s="5">
        <v>275.45215311759</v>
      </c>
      <c r="F126" s="5">
        <v>251.010373789385</v>
      </c>
      <c r="G126" s="5">
        <v>251.010373789385</v>
      </c>
      <c r="H126" s="5">
        <v>-0.35171639328334797</v>
      </c>
      <c r="I126" s="5">
        <v>-0.35171639328334797</v>
      </c>
      <c r="J126" s="5">
        <v>-0.35171639328334797</v>
      </c>
      <c r="K126" s="5">
        <v>-0.35171639328334797</v>
      </c>
      <c r="L126" s="5">
        <v>-0.35171639328334797</v>
      </c>
      <c r="M126" s="5">
        <v>-0.35171639328334797</v>
      </c>
      <c r="N126" s="5">
        <v>0</v>
      </c>
      <c r="O126" s="5">
        <v>0</v>
      </c>
      <c r="P126" s="5">
        <v>0</v>
      </c>
    </row>
    <row r="127" spans="1:16" x14ac:dyDescent="0.2">
      <c r="A127" s="5">
        <v>125</v>
      </c>
      <c r="B127" s="6">
        <v>45176</v>
      </c>
      <c r="C127" s="5">
        <v>250.82525114520499</v>
      </c>
      <c r="D127" s="5">
        <v>225.554494811637</v>
      </c>
      <c r="E127" s="5">
        <v>274.00641497556802</v>
      </c>
      <c r="F127" s="5">
        <v>250.82525114520499</v>
      </c>
      <c r="G127" s="5">
        <v>250.82525114520499</v>
      </c>
      <c r="H127" s="5">
        <v>-1.3846615833181799</v>
      </c>
      <c r="I127" s="5">
        <v>-1.3846615833181799</v>
      </c>
      <c r="J127" s="5">
        <v>-1.3846615833181799</v>
      </c>
      <c r="K127" s="5">
        <v>-1.3846615833181799</v>
      </c>
      <c r="L127" s="5">
        <v>-1.3846615833181799</v>
      </c>
      <c r="M127" s="5">
        <v>-1.3846615833181799</v>
      </c>
      <c r="N127" s="5">
        <v>0</v>
      </c>
      <c r="O127" s="5">
        <v>0</v>
      </c>
      <c r="P127" s="5">
        <v>0</v>
      </c>
    </row>
    <row r="128" spans="1:16" x14ac:dyDescent="0.2">
      <c r="A128" s="5">
        <v>126</v>
      </c>
      <c r="B128" s="6">
        <v>45177</v>
      </c>
      <c r="C128" s="5">
        <v>250.640128501025</v>
      </c>
      <c r="D128" s="5">
        <v>226.20083317572201</v>
      </c>
      <c r="E128" s="5">
        <v>275.57122819478502</v>
      </c>
      <c r="F128" s="5">
        <v>250.640128501025</v>
      </c>
      <c r="G128" s="5">
        <v>250.640128501025</v>
      </c>
      <c r="H128" s="5">
        <v>-1.48121905500322</v>
      </c>
      <c r="I128" s="5">
        <v>-1.48121905500322</v>
      </c>
      <c r="J128" s="5">
        <v>-1.48121905500322</v>
      </c>
      <c r="K128" s="5">
        <v>-1.48121905500322</v>
      </c>
      <c r="L128" s="5">
        <v>-1.48121905500322</v>
      </c>
      <c r="M128" s="5">
        <v>-1.48121905500322</v>
      </c>
      <c r="N128" s="5">
        <v>0</v>
      </c>
      <c r="O128" s="5">
        <v>0</v>
      </c>
      <c r="P128" s="5">
        <v>0</v>
      </c>
    </row>
    <row r="129" spans="1:16" x14ac:dyDescent="0.2">
      <c r="A129" s="5">
        <v>127</v>
      </c>
      <c r="B129" s="6">
        <v>45180</v>
      </c>
      <c r="C129" s="5">
        <v>250.08476056848599</v>
      </c>
      <c r="D129" s="5">
        <v>221.38692816975001</v>
      </c>
      <c r="E129" s="5">
        <v>273.09645305082898</v>
      </c>
      <c r="F129" s="5">
        <v>250.08476056848599</v>
      </c>
      <c r="G129" s="5">
        <v>250.08476056848599</v>
      </c>
      <c r="H129" s="5">
        <v>-1.82348659824957</v>
      </c>
      <c r="I129" s="5">
        <v>-1.82348659824957</v>
      </c>
      <c r="J129" s="5">
        <v>-1.82348659824957</v>
      </c>
      <c r="K129" s="5">
        <v>-1.82348659824957</v>
      </c>
      <c r="L129" s="5">
        <v>-1.82348659824957</v>
      </c>
      <c r="M129" s="5">
        <v>-1.82348659824957</v>
      </c>
      <c r="N129" s="5">
        <v>0</v>
      </c>
      <c r="O129" s="5">
        <v>0</v>
      </c>
      <c r="P129" s="5">
        <v>0</v>
      </c>
    </row>
    <row r="130" spans="1:16" x14ac:dyDescent="0.2">
      <c r="A130" s="5">
        <v>128</v>
      </c>
      <c r="B130" s="6">
        <v>45181</v>
      </c>
      <c r="C130" s="5">
        <v>249.89963792430601</v>
      </c>
      <c r="D130" s="5">
        <v>224.67011857547399</v>
      </c>
      <c r="E130" s="5">
        <v>275.49173138140401</v>
      </c>
      <c r="F130" s="5">
        <v>249.89963792430601</v>
      </c>
      <c r="G130" s="5">
        <v>249.89963792430601</v>
      </c>
      <c r="H130" s="5">
        <v>0.50257879986176901</v>
      </c>
      <c r="I130" s="5">
        <v>0.50257879986176901</v>
      </c>
      <c r="J130" s="5">
        <v>0.50257879986176901</v>
      </c>
      <c r="K130" s="5">
        <v>0.50257879986176901</v>
      </c>
      <c r="L130" s="5">
        <v>0.50257879986176901</v>
      </c>
      <c r="M130" s="5">
        <v>0.50257879986176901</v>
      </c>
      <c r="N130" s="5">
        <v>0</v>
      </c>
      <c r="O130" s="5">
        <v>0</v>
      </c>
      <c r="P130" s="5">
        <v>0</v>
      </c>
    </row>
    <row r="131" spans="1:16" x14ac:dyDescent="0.2">
      <c r="A131" s="5">
        <v>129</v>
      </c>
      <c r="B131" s="6">
        <v>45182</v>
      </c>
      <c r="C131" s="5">
        <v>249.714279503885</v>
      </c>
      <c r="D131" s="5">
        <v>225.45561036418201</v>
      </c>
      <c r="E131" s="5">
        <v>273.31303964499199</v>
      </c>
      <c r="F131" s="5">
        <v>249.714279503885</v>
      </c>
      <c r="G131" s="5">
        <v>249.714279503885</v>
      </c>
      <c r="H131" s="5">
        <v>-0.3517163932838</v>
      </c>
      <c r="I131" s="5">
        <v>-0.3517163932838</v>
      </c>
      <c r="J131" s="5">
        <v>-0.3517163932838</v>
      </c>
      <c r="K131" s="5">
        <v>-0.3517163932838</v>
      </c>
      <c r="L131" s="5">
        <v>-0.3517163932838</v>
      </c>
      <c r="M131" s="5">
        <v>-0.3517163932838</v>
      </c>
      <c r="N131" s="5">
        <v>0</v>
      </c>
      <c r="O131" s="5">
        <v>0</v>
      </c>
      <c r="P131" s="5">
        <v>0</v>
      </c>
    </row>
    <row r="132" spans="1:16" x14ac:dyDescent="0.2">
      <c r="A132" s="5">
        <v>130</v>
      </c>
      <c r="B132" s="6">
        <v>45183</v>
      </c>
      <c r="C132" s="5">
        <v>249.52892108346401</v>
      </c>
      <c r="D132" s="5">
        <v>223.156382022359</v>
      </c>
      <c r="E132" s="5">
        <v>272.25581429176202</v>
      </c>
      <c r="F132" s="5">
        <v>249.52892108346401</v>
      </c>
      <c r="G132" s="5">
        <v>249.52892108346401</v>
      </c>
      <c r="H132" s="5">
        <v>-1.3846615833161899</v>
      </c>
      <c r="I132" s="5">
        <v>-1.3846615833161899</v>
      </c>
      <c r="J132" s="5">
        <v>-1.3846615833161899</v>
      </c>
      <c r="K132" s="5">
        <v>-1.3846615833161899</v>
      </c>
      <c r="L132" s="5">
        <v>-1.3846615833161899</v>
      </c>
      <c r="M132" s="5">
        <v>-1.3846615833161899</v>
      </c>
      <c r="N132" s="5">
        <v>0</v>
      </c>
      <c r="O132" s="5">
        <v>0</v>
      </c>
      <c r="P132" s="5">
        <v>0</v>
      </c>
    </row>
    <row r="133" spans="1:16" x14ac:dyDescent="0.2">
      <c r="A133" s="5">
        <v>131</v>
      </c>
      <c r="B133" s="6">
        <v>45184</v>
      </c>
      <c r="C133" s="5">
        <v>249.343562663043</v>
      </c>
      <c r="D133" s="5">
        <v>220.99276271816899</v>
      </c>
      <c r="E133" s="5">
        <v>270.39992761000502</v>
      </c>
      <c r="F133" s="5">
        <v>249.343562663043</v>
      </c>
      <c r="G133" s="5">
        <v>249.343562663043</v>
      </c>
      <c r="H133" s="5">
        <v>-1.4812190549994999</v>
      </c>
      <c r="I133" s="5">
        <v>-1.4812190549994999</v>
      </c>
      <c r="J133" s="5">
        <v>-1.4812190549994999</v>
      </c>
      <c r="K133" s="5">
        <v>-1.4812190549994999</v>
      </c>
      <c r="L133" s="5">
        <v>-1.4812190549994999</v>
      </c>
      <c r="M133" s="5">
        <v>-1.4812190549994999</v>
      </c>
      <c r="N133" s="5">
        <v>0</v>
      </c>
      <c r="O133" s="5">
        <v>0</v>
      </c>
      <c r="P133" s="5">
        <v>0</v>
      </c>
    </row>
    <row r="134" spans="1:16" x14ac:dyDescent="0.2">
      <c r="A134" s="5">
        <v>132</v>
      </c>
      <c r="B134" s="6">
        <v>45187</v>
      </c>
      <c r="C134" s="5">
        <v>248.78748740178</v>
      </c>
      <c r="D134" s="5">
        <v>222.69911495343001</v>
      </c>
      <c r="E134" s="5">
        <v>272.193045213007</v>
      </c>
      <c r="F134" s="5">
        <v>248.78748740178</v>
      </c>
      <c r="G134" s="5">
        <v>248.78748740178</v>
      </c>
      <c r="H134" s="5">
        <v>-1.82348659825406</v>
      </c>
      <c r="I134" s="5">
        <v>-1.82348659825406</v>
      </c>
      <c r="J134" s="5">
        <v>-1.82348659825406</v>
      </c>
      <c r="K134" s="5">
        <v>-1.82348659825406</v>
      </c>
      <c r="L134" s="5">
        <v>-1.82348659825406</v>
      </c>
      <c r="M134" s="5">
        <v>-1.82348659825406</v>
      </c>
      <c r="N134" s="5">
        <v>0</v>
      </c>
      <c r="O134" s="5">
        <v>0</v>
      </c>
      <c r="P134" s="5">
        <v>0</v>
      </c>
    </row>
    <row r="135" spans="1:16" x14ac:dyDescent="0.2">
      <c r="A135" s="5">
        <v>133</v>
      </c>
      <c r="B135" s="6">
        <v>45188</v>
      </c>
      <c r="C135" s="5">
        <v>248.60212898136001</v>
      </c>
      <c r="D135" s="5">
        <v>224.707372663911</v>
      </c>
      <c r="E135" s="5">
        <v>274.36462894730897</v>
      </c>
      <c r="F135" s="5">
        <v>248.60212898136001</v>
      </c>
      <c r="G135" s="5">
        <v>248.60212898136001</v>
      </c>
      <c r="H135" s="5">
        <v>0.50257879986366505</v>
      </c>
      <c r="I135" s="5">
        <v>0.50257879986366505</v>
      </c>
      <c r="J135" s="5">
        <v>0.50257879986366505</v>
      </c>
      <c r="K135" s="5">
        <v>0.50257879986366505</v>
      </c>
      <c r="L135" s="5">
        <v>0.50257879986366505</v>
      </c>
      <c r="M135" s="5">
        <v>0.50257879986366505</v>
      </c>
      <c r="N135" s="5">
        <v>0</v>
      </c>
      <c r="O135" s="5">
        <v>0</v>
      </c>
      <c r="P135" s="5">
        <v>0</v>
      </c>
    </row>
    <row r="136" spans="1:16" x14ac:dyDescent="0.2">
      <c r="A136" s="5">
        <v>134</v>
      </c>
      <c r="B136" s="6">
        <v>45189</v>
      </c>
      <c r="C136" s="5">
        <v>248.416770560939</v>
      </c>
      <c r="D136" s="5">
        <v>223.28412596848</v>
      </c>
      <c r="E136" s="5">
        <v>272.70602861094301</v>
      </c>
      <c r="F136" s="5">
        <v>248.416770560939</v>
      </c>
      <c r="G136" s="5">
        <v>248.416770560939</v>
      </c>
      <c r="H136" s="5">
        <v>-0.35171639328651</v>
      </c>
      <c r="I136" s="5">
        <v>-0.35171639328651</v>
      </c>
      <c r="J136" s="5">
        <v>-0.35171639328651</v>
      </c>
      <c r="K136" s="5">
        <v>-0.35171639328651</v>
      </c>
      <c r="L136" s="5">
        <v>-0.35171639328651</v>
      </c>
      <c r="M136" s="5">
        <v>-0.35171639328651</v>
      </c>
      <c r="N136" s="5">
        <v>0</v>
      </c>
      <c r="O136" s="5">
        <v>0</v>
      </c>
      <c r="P136" s="5">
        <v>0</v>
      </c>
    </row>
    <row r="137" spans="1:16" x14ac:dyDescent="0.2">
      <c r="A137" s="5">
        <v>135</v>
      </c>
      <c r="B137" s="6">
        <v>45190</v>
      </c>
      <c r="C137" s="5">
        <v>248.23141214051799</v>
      </c>
      <c r="D137" s="5">
        <v>223.48369668356301</v>
      </c>
      <c r="E137" s="5">
        <v>272.31626933719502</v>
      </c>
      <c r="F137" s="5">
        <v>248.23141214051799</v>
      </c>
      <c r="G137" s="5">
        <v>248.23141214051799</v>
      </c>
      <c r="H137" s="5">
        <v>-1.38466158331861</v>
      </c>
      <c r="I137" s="5">
        <v>-1.38466158331861</v>
      </c>
      <c r="J137" s="5">
        <v>-1.38466158331861</v>
      </c>
      <c r="K137" s="5">
        <v>-1.38466158331861</v>
      </c>
      <c r="L137" s="5">
        <v>-1.38466158331861</v>
      </c>
      <c r="M137" s="5">
        <v>-1.38466158331861</v>
      </c>
      <c r="N137" s="5">
        <v>0</v>
      </c>
      <c r="O137" s="5">
        <v>0</v>
      </c>
      <c r="P137" s="5">
        <v>0</v>
      </c>
    </row>
    <row r="138" spans="1:16" x14ac:dyDescent="0.2">
      <c r="A138" s="5">
        <v>136</v>
      </c>
      <c r="B138" s="6">
        <v>45191</v>
      </c>
      <c r="C138" s="5">
        <v>248.04605372009701</v>
      </c>
      <c r="D138" s="5">
        <v>222.52081871880799</v>
      </c>
      <c r="E138" s="5">
        <v>271.40778811505203</v>
      </c>
      <c r="F138" s="5">
        <v>248.04605372009701</v>
      </c>
      <c r="G138" s="5">
        <v>248.04605372009701</v>
      </c>
      <c r="H138" s="5">
        <v>-1.4812190550091699</v>
      </c>
      <c r="I138" s="5">
        <v>-1.4812190550091699</v>
      </c>
      <c r="J138" s="5">
        <v>-1.4812190550091699</v>
      </c>
      <c r="K138" s="5">
        <v>-1.4812190550091699</v>
      </c>
      <c r="L138" s="5">
        <v>-1.4812190550091699</v>
      </c>
      <c r="M138" s="5">
        <v>-1.4812190550091699</v>
      </c>
      <c r="N138" s="5">
        <v>0</v>
      </c>
      <c r="O138" s="5">
        <v>0</v>
      </c>
      <c r="P138" s="5">
        <v>0</v>
      </c>
    </row>
    <row r="139" spans="1:16" x14ac:dyDescent="0.2">
      <c r="A139" s="5">
        <v>137</v>
      </c>
      <c r="B139" s="6">
        <v>45194</v>
      </c>
      <c r="C139" s="5">
        <v>247.48997829730601</v>
      </c>
      <c r="D139" s="5">
        <v>223.819076050207</v>
      </c>
      <c r="E139" s="5">
        <v>269.90431327080802</v>
      </c>
      <c r="F139" s="5">
        <v>247.48997829730601</v>
      </c>
      <c r="G139" s="5">
        <v>247.48997829730601</v>
      </c>
      <c r="H139" s="5">
        <v>-1.8234865982528401</v>
      </c>
      <c r="I139" s="5">
        <v>-1.8234865982528401</v>
      </c>
      <c r="J139" s="5">
        <v>-1.8234865982528401</v>
      </c>
      <c r="K139" s="5">
        <v>-1.8234865982528401</v>
      </c>
      <c r="L139" s="5">
        <v>-1.8234865982528401</v>
      </c>
      <c r="M139" s="5">
        <v>-1.8234865982528401</v>
      </c>
      <c r="N139" s="5">
        <v>0</v>
      </c>
      <c r="O139" s="5">
        <v>0</v>
      </c>
      <c r="P139" s="5">
        <v>0</v>
      </c>
    </row>
    <row r="140" spans="1:16" x14ac:dyDescent="0.2">
      <c r="A140" s="5">
        <v>138</v>
      </c>
      <c r="B140" s="6">
        <v>45195</v>
      </c>
      <c r="C140" s="5">
        <v>247.304619823042</v>
      </c>
      <c r="D140" s="5">
        <v>224.59832663425601</v>
      </c>
      <c r="E140" s="5">
        <v>273.49333917485097</v>
      </c>
      <c r="F140" s="5">
        <v>247.304619823042</v>
      </c>
      <c r="G140" s="5">
        <v>247.304619823042</v>
      </c>
      <c r="H140" s="5">
        <v>0.50257879986489096</v>
      </c>
      <c r="I140" s="5">
        <v>0.50257879986489096</v>
      </c>
      <c r="J140" s="5">
        <v>0.50257879986489096</v>
      </c>
      <c r="K140" s="5">
        <v>0.50257879986489096</v>
      </c>
      <c r="L140" s="5">
        <v>0.50257879986489096</v>
      </c>
      <c r="M140" s="5">
        <v>0.50257879986489096</v>
      </c>
      <c r="N140" s="5">
        <v>0</v>
      </c>
      <c r="O140" s="5">
        <v>0</v>
      </c>
      <c r="P140" s="5">
        <v>0</v>
      </c>
    </row>
    <row r="141" spans="1:16" x14ac:dyDescent="0.2">
      <c r="A141" s="5">
        <v>139</v>
      </c>
      <c r="B141" s="6">
        <v>45196</v>
      </c>
      <c r="C141" s="5">
        <v>247.11926134877899</v>
      </c>
      <c r="D141" s="5">
        <v>221.67439863930599</v>
      </c>
      <c r="E141" s="5">
        <v>272.10407819407197</v>
      </c>
      <c r="F141" s="5">
        <v>247.11926134877899</v>
      </c>
      <c r="G141" s="5">
        <v>247.11926134877899</v>
      </c>
      <c r="H141" s="5">
        <v>-0.351716393281642</v>
      </c>
      <c r="I141" s="5">
        <v>-0.351716393281642</v>
      </c>
      <c r="J141" s="5">
        <v>-0.351716393281642</v>
      </c>
      <c r="K141" s="5">
        <v>-0.351716393281642</v>
      </c>
      <c r="L141" s="5">
        <v>-0.351716393281642</v>
      </c>
      <c r="M141" s="5">
        <v>-0.351716393281642</v>
      </c>
      <c r="N141" s="5">
        <v>0</v>
      </c>
      <c r="O141" s="5">
        <v>0</v>
      </c>
      <c r="P141" s="5">
        <v>0</v>
      </c>
    </row>
    <row r="142" spans="1:16" x14ac:dyDescent="0.2">
      <c r="A142" s="5">
        <v>140</v>
      </c>
      <c r="B142" s="6">
        <v>45197</v>
      </c>
      <c r="C142" s="5">
        <v>246.93390287451501</v>
      </c>
      <c r="D142" s="5">
        <v>222.20196688726</v>
      </c>
      <c r="E142" s="5">
        <v>270.42435291815701</v>
      </c>
      <c r="F142" s="5">
        <v>246.93390287451501</v>
      </c>
      <c r="G142" s="5">
        <v>246.93390287451501</v>
      </c>
      <c r="H142" s="5">
        <v>-1.3846615833210401</v>
      </c>
      <c r="I142" s="5">
        <v>-1.3846615833210401</v>
      </c>
      <c r="J142" s="5">
        <v>-1.3846615833210401</v>
      </c>
      <c r="K142" s="5">
        <v>-1.3846615833210401</v>
      </c>
      <c r="L142" s="5">
        <v>-1.3846615833210401</v>
      </c>
      <c r="M142" s="5">
        <v>-1.3846615833210401</v>
      </c>
      <c r="N142" s="5">
        <v>0</v>
      </c>
      <c r="O142" s="5">
        <v>0</v>
      </c>
      <c r="P142" s="5">
        <v>0</v>
      </c>
    </row>
    <row r="143" spans="1:16" x14ac:dyDescent="0.2">
      <c r="A143" s="5">
        <v>141</v>
      </c>
      <c r="B143" s="6">
        <v>45198</v>
      </c>
      <c r="C143" s="5">
        <v>246.748544400252</v>
      </c>
      <c r="D143" s="5">
        <v>220.42999568178101</v>
      </c>
      <c r="E143" s="5">
        <v>269.04157037234</v>
      </c>
      <c r="F143" s="5">
        <v>246.748544400252</v>
      </c>
      <c r="G143" s="5">
        <v>246.748544400252</v>
      </c>
      <c r="H143" s="5">
        <v>-1.4812190549997699</v>
      </c>
      <c r="I143" s="5">
        <v>-1.4812190549997699</v>
      </c>
      <c r="J143" s="5">
        <v>-1.4812190549997699</v>
      </c>
      <c r="K143" s="5">
        <v>-1.4812190549997699</v>
      </c>
      <c r="L143" s="5">
        <v>-1.4812190549997699</v>
      </c>
      <c r="M143" s="5">
        <v>-1.4812190549997699</v>
      </c>
      <c r="N143" s="5">
        <v>0</v>
      </c>
      <c r="O143" s="5">
        <v>0</v>
      </c>
      <c r="P143" s="5">
        <v>0</v>
      </c>
    </row>
    <row r="144" spans="1:16" x14ac:dyDescent="0.2">
      <c r="A144" s="5">
        <v>142</v>
      </c>
      <c r="B144" s="6">
        <v>45201</v>
      </c>
      <c r="C144" s="5">
        <v>246.192468977461</v>
      </c>
      <c r="D144" s="5">
        <v>218.30940472848499</v>
      </c>
      <c r="E144" s="5">
        <v>268.24585831590099</v>
      </c>
      <c r="F144" s="5">
        <v>246.192468977461</v>
      </c>
      <c r="G144" s="5">
        <v>246.192468977461</v>
      </c>
      <c r="H144" s="5">
        <v>-1.8234865982544699</v>
      </c>
      <c r="I144" s="5">
        <v>-1.8234865982544699</v>
      </c>
      <c r="J144" s="5">
        <v>-1.8234865982544699</v>
      </c>
      <c r="K144" s="5">
        <v>-1.8234865982544699</v>
      </c>
      <c r="L144" s="5">
        <v>-1.8234865982544699</v>
      </c>
      <c r="M144" s="5">
        <v>-1.8234865982544699</v>
      </c>
      <c r="N144" s="5">
        <v>0</v>
      </c>
      <c r="O144" s="5">
        <v>0</v>
      </c>
      <c r="P144" s="5">
        <v>0</v>
      </c>
    </row>
    <row r="145" spans="1:16" x14ac:dyDescent="0.2">
      <c r="A145" s="5">
        <v>143</v>
      </c>
      <c r="B145" s="6">
        <v>45202</v>
      </c>
      <c r="C145" s="5">
        <v>246.007110503197</v>
      </c>
      <c r="D145" s="5">
        <v>222.79988969552301</v>
      </c>
      <c r="E145" s="5">
        <v>269.69701690830101</v>
      </c>
      <c r="F145" s="5">
        <v>246.007110503197</v>
      </c>
      <c r="G145" s="5">
        <v>246.007110503197</v>
      </c>
      <c r="H145" s="5">
        <v>0.50257879986611598</v>
      </c>
      <c r="I145" s="5">
        <v>0.50257879986611598</v>
      </c>
      <c r="J145" s="5">
        <v>0.50257879986611598</v>
      </c>
      <c r="K145" s="5">
        <v>0.50257879986611598</v>
      </c>
      <c r="L145" s="5">
        <v>0.50257879986611598</v>
      </c>
      <c r="M145" s="5">
        <v>0.50257879986611598</v>
      </c>
      <c r="N145" s="5">
        <v>0</v>
      </c>
      <c r="O145" s="5">
        <v>0</v>
      </c>
      <c r="P145" s="5">
        <v>0</v>
      </c>
    </row>
    <row r="146" spans="1:16" x14ac:dyDescent="0.2">
      <c r="A146" s="5">
        <v>144</v>
      </c>
      <c r="B146" s="6">
        <v>45203</v>
      </c>
      <c r="C146" s="5">
        <v>245.82175202893399</v>
      </c>
      <c r="D146" s="5">
        <v>220.715885205733</v>
      </c>
      <c r="E146" s="5">
        <v>267.34468981854297</v>
      </c>
      <c r="F146" s="5">
        <v>245.82175202893399</v>
      </c>
      <c r="G146" s="5">
        <v>245.82175202893399</v>
      </c>
      <c r="H146" s="5">
        <v>-0.351716393284352</v>
      </c>
      <c r="I146" s="5">
        <v>-0.351716393284352</v>
      </c>
      <c r="J146" s="5">
        <v>-0.351716393284352</v>
      </c>
      <c r="K146" s="5">
        <v>-0.351716393284352</v>
      </c>
      <c r="L146" s="5">
        <v>-0.351716393284352</v>
      </c>
      <c r="M146" s="5">
        <v>-0.351716393284352</v>
      </c>
      <c r="N146" s="5">
        <v>0</v>
      </c>
      <c r="O146" s="5">
        <v>0</v>
      </c>
      <c r="P146" s="5">
        <v>0</v>
      </c>
    </row>
    <row r="147" spans="1:16" x14ac:dyDescent="0.2">
      <c r="A147" s="5">
        <v>145</v>
      </c>
      <c r="B147" s="6">
        <v>45204</v>
      </c>
      <c r="C147" s="5">
        <v>245.63639354321799</v>
      </c>
      <c r="D147" s="5">
        <v>220.068220163066</v>
      </c>
      <c r="E147" s="5">
        <v>269.47413884881399</v>
      </c>
      <c r="F147" s="5">
        <v>245.63639354321799</v>
      </c>
      <c r="G147" s="5">
        <v>245.63639354321799</v>
      </c>
      <c r="H147" s="5">
        <v>-1.3846615833234599</v>
      </c>
      <c r="I147" s="5">
        <v>-1.3846615833234599</v>
      </c>
      <c r="J147" s="5">
        <v>-1.3846615833234599</v>
      </c>
      <c r="K147" s="5">
        <v>-1.3846615833234599</v>
      </c>
      <c r="L147" s="5">
        <v>-1.3846615833234599</v>
      </c>
      <c r="M147" s="5">
        <v>-1.3846615833234599</v>
      </c>
      <c r="N147" s="5">
        <v>0</v>
      </c>
      <c r="O147" s="5">
        <v>0</v>
      </c>
      <c r="P147" s="5">
        <v>0</v>
      </c>
    </row>
    <row r="148" spans="1:16" x14ac:dyDescent="0.2">
      <c r="A148" s="5">
        <v>146</v>
      </c>
      <c r="B148" s="6">
        <v>45205</v>
      </c>
      <c r="C148" s="5">
        <v>245.451035057502</v>
      </c>
      <c r="D148" s="5">
        <v>219.37658024252499</v>
      </c>
      <c r="E148" s="5">
        <v>268.20978146205402</v>
      </c>
      <c r="F148" s="5">
        <v>245.451035057502</v>
      </c>
      <c r="G148" s="5">
        <v>245.451035057502</v>
      </c>
      <c r="H148" s="5">
        <v>-1.4812190550017199</v>
      </c>
      <c r="I148" s="5">
        <v>-1.4812190550017199</v>
      </c>
      <c r="J148" s="5">
        <v>-1.4812190550017199</v>
      </c>
      <c r="K148" s="5">
        <v>-1.4812190550017199</v>
      </c>
      <c r="L148" s="5">
        <v>-1.4812190550017199</v>
      </c>
      <c r="M148" s="5">
        <v>-1.4812190550017199</v>
      </c>
      <c r="N148" s="5">
        <v>0</v>
      </c>
      <c r="O148" s="5">
        <v>0</v>
      </c>
      <c r="P148" s="5">
        <v>0</v>
      </c>
    </row>
    <row r="149" spans="1:16" x14ac:dyDescent="0.2">
      <c r="A149" s="5">
        <v>147</v>
      </c>
      <c r="B149" s="6">
        <v>45208</v>
      </c>
      <c r="C149" s="5">
        <v>244.894959600356</v>
      </c>
      <c r="D149" s="5">
        <v>218.60623587172401</v>
      </c>
      <c r="E149" s="5">
        <v>267.460289211283</v>
      </c>
      <c r="F149" s="5">
        <v>244.894959600356</v>
      </c>
      <c r="G149" s="5">
        <v>244.894959600356</v>
      </c>
      <c r="H149" s="5">
        <v>-1.82348659825069</v>
      </c>
      <c r="I149" s="5">
        <v>-1.82348659825069</v>
      </c>
      <c r="J149" s="5">
        <v>-1.82348659825069</v>
      </c>
      <c r="K149" s="5">
        <v>-1.82348659825069</v>
      </c>
      <c r="L149" s="5">
        <v>-1.82348659825069</v>
      </c>
      <c r="M149" s="5">
        <v>-1.82348659825069</v>
      </c>
      <c r="N149" s="5">
        <v>0</v>
      </c>
      <c r="O149" s="5">
        <v>0</v>
      </c>
      <c r="P149" s="5">
        <v>0</v>
      </c>
    </row>
    <row r="150" spans="1:16" x14ac:dyDescent="0.2">
      <c r="A150" s="5">
        <v>148</v>
      </c>
      <c r="B150" s="6">
        <v>45209</v>
      </c>
      <c r="C150" s="5">
        <v>244.70960111464001</v>
      </c>
      <c r="D150" s="5">
        <v>220.60427274227899</v>
      </c>
      <c r="E150" s="5">
        <v>268.800135467301</v>
      </c>
      <c r="F150" s="5">
        <v>244.70960111464001</v>
      </c>
      <c r="G150" s="5">
        <v>244.70960111464001</v>
      </c>
      <c r="H150" s="5">
        <v>0.50257879986801202</v>
      </c>
      <c r="I150" s="5">
        <v>0.50257879986801202</v>
      </c>
      <c r="J150" s="5">
        <v>0.50257879986801202</v>
      </c>
      <c r="K150" s="5">
        <v>0.50257879986801202</v>
      </c>
      <c r="L150" s="5">
        <v>0.50257879986801202</v>
      </c>
      <c r="M150" s="5">
        <v>0.50257879986801202</v>
      </c>
      <c r="N150" s="5">
        <v>0</v>
      </c>
      <c r="O150" s="5">
        <v>0</v>
      </c>
      <c r="P150" s="5">
        <v>0</v>
      </c>
    </row>
    <row r="151" spans="1:16" x14ac:dyDescent="0.2">
      <c r="A151" s="5">
        <v>149</v>
      </c>
      <c r="B151" s="6">
        <v>45210</v>
      </c>
      <c r="C151" s="5">
        <v>244.52424262892399</v>
      </c>
      <c r="D151" s="5">
        <v>219.991982571509</v>
      </c>
      <c r="E151" s="5">
        <v>268.77927069003101</v>
      </c>
      <c r="F151" s="5">
        <v>244.52424262892399</v>
      </c>
      <c r="G151" s="5">
        <v>244.52424262892399</v>
      </c>
      <c r="H151" s="5">
        <v>-0.351716393282546</v>
      </c>
      <c r="I151" s="5">
        <v>-0.351716393282546</v>
      </c>
      <c r="J151" s="5">
        <v>-0.351716393282546</v>
      </c>
      <c r="K151" s="5">
        <v>-0.351716393282546</v>
      </c>
      <c r="L151" s="5">
        <v>-0.351716393282546</v>
      </c>
      <c r="M151" s="5">
        <v>-0.351716393282546</v>
      </c>
      <c r="N151" s="5">
        <v>0</v>
      </c>
      <c r="O151" s="5">
        <v>0</v>
      </c>
      <c r="P151" s="5">
        <v>0</v>
      </c>
    </row>
    <row r="152" spans="1:16" x14ac:dyDescent="0.2">
      <c r="A152" s="5">
        <v>150</v>
      </c>
      <c r="B152" s="6">
        <v>45211</v>
      </c>
      <c r="C152" s="5">
        <v>244.33888414320899</v>
      </c>
      <c r="D152" s="5">
        <v>217.66657129115401</v>
      </c>
      <c r="E152" s="5">
        <v>267.88108281110601</v>
      </c>
      <c r="F152" s="5">
        <v>244.33888414320899</v>
      </c>
      <c r="G152" s="5">
        <v>244.33888414320899</v>
      </c>
      <c r="H152" s="5">
        <v>-1.3846615833214799</v>
      </c>
      <c r="I152" s="5">
        <v>-1.3846615833214799</v>
      </c>
      <c r="J152" s="5">
        <v>-1.3846615833214799</v>
      </c>
      <c r="K152" s="5">
        <v>-1.3846615833214799</v>
      </c>
      <c r="L152" s="5">
        <v>-1.3846615833214799</v>
      </c>
      <c r="M152" s="5">
        <v>-1.3846615833214799</v>
      </c>
      <c r="N152" s="5">
        <v>0</v>
      </c>
      <c r="O152" s="5">
        <v>0</v>
      </c>
      <c r="P152" s="5">
        <v>0</v>
      </c>
    </row>
    <row r="153" spans="1:16" x14ac:dyDescent="0.2">
      <c r="A153" s="5">
        <v>151</v>
      </c>
      <c r="B153" s="6">
        <v>45212</v>
      </c>
      <c r="C153" s="5">
        <v>244.15352565749299</v>
      </c>
      <c r="D153" s="5">
        <v>218.25970340193399</v>
      </c>
      <c r="E153" s="5">
        <v>265.89663497465199</v>
      </c>
      <c r="F153" s="5">
        <v>244.15352565749299</v>
      </c>
      <c r="G153" s="5">
        <v>244.15352565749299</v>
      </c>
      <c r="H153" s="5">
        <v>-1.48121905501139</v>
      </c>
      <c r="I153" s="5">
        <v>-1.48121905501139</v>
      </c>
      <c r="J153" s="5">
        <v>-1.48121905501139</v>
      </c>
      <c r="K153" s="5">
        <v>-1.48121905501139</v>
      </c>
      <c r="L153" s="5">
        <v>-1.48121905501139</v>
      </c>
      <c r="M153" s="5">
        <v>-1.48121905501139</v>
      </c>
      <c r="N153" s="5">
        <v>0</v>
      </c>
      <c r="O153" s="5">
        <v>0</v>
      </c>
      <c r="P153" s="5">
        <v>0</v>
      </c>
    </row>
    <row r="154" spans="1:16" x14ac:dyDescent="0.2">
      <c r="A154" s="5">
        <v>152</v>
      </c>
      <c r="B154" s="6">
        <v>45215</v>
      </c>
      <c r="C154" s="5">
        <v>243.597450200346</v>
      </c>
      <c r="D154" s="5">
        <v>218.80269880353001</v>
      </c>
      <c r="E154" s="5">
        <v>266.43948436222303</v>
      </c>
      <c r="F154" s="5">
        <v>243.597450200346</v>
      </c>
      <c r="G154" s="5">
        <v>243.597450200346</v>
      </c>
      <c r="H154" s="5">
        <v>-1.8234865982523201</v>
      </c>
      <c r="I154" s="5">
        <v>-1.8234865982523201</v>
      </c>
      <c r="J154" s="5">
        <v>-1.8234865982523201</v>
      </c>
      <c r="K154" s="5">
        <v>-1.8234865982523201</v>
      </c>
      <c r="L154" s="5">
        <v>-1.8234865982523201</v>
      </c>
      <c r="M154" s="5">
        <v>-1.8234865982523201</v>
      </c>
      <c r="N154" s="5">
        <v>0</v>
      </c>
      <c r="O154" s="5">
        <v>0</v>
      </c>
      <c r="P154" s="5">
        <v>0</v>
      </c>
    </row>
    <row r="155" spans="1:16" x14ac:dyDescent="0.2">
      <c r="A155" s="5">
        <v>153</v>
      </c>
      <c r="B155" s="6">
        <v>45216</v>
      </c>
      <c r="C155" s="5">
        <v>243.41209167752601</v>
      </c>
      <c r="D155" s="5">
        <v>219.86557845459899</v>
      </c>
      <c r="E155" s="5">
        <v>268.67635523099898</v>
      </c>
      <c r="F155" s="5">
        <v>243.41209167752601</v>
      </c>
      <c r="G155" s="5">
        <v>243.41209167752601</v>
      </c>
      <c r="H155" s="5">
        <v>0.50257879986923804</v>
      </c>
      <c r="I155" s="5">
        <v>0.50257879986923804</v>
      </c>
      <c r="J155" s="5">
        <v>0.50257879986923804</v>
      </c>
      <c r="K155" s="5">
        <v>0.50257879986923804</v>
      </c>
      <c r="L155" s="5">
        <v>0.50257879986923804</v>
      </c>
      <c r="M155" s="5">
        <v>0.50257879986923804</v>
      </c>
      <c r="N155" s="5">
        <v>0</v>
      </c>
      <c r="O155" s="5">
        <v>0</v>
      </c>
      <c r="P155" s="5">
        <v>0</v>
      </c>
    </row>
    <row r="156" spans="1:16" x14ac:dyDescent="0.2">
      <c r="A156" s="5">
        <v>154</v>
      </c>
      <c r="B156" s="6">
        <v>45217</v>
      </c>
      <c r="C156" s="5">
        <v>243.22673315470499</v>
      </c>
      <c r="D156" s="5">
        <v>218.929255978339</v>
      </c>
      <c r="E156" s="5">
        <v>267.65708832793098</v>
      </c>
      <c r="F156" s="5">
        <v>243.22673315470499</v>
      </c>
      <c r="G156" s="5">
        <v>243.22673315470499</v>
      </c>
      <c r="H156" s="5">
        <v>-0.351716393285256</v>
      </c>
      <c r="I156" s="5">
        <v>-0.351716393285256</v>
      </c>
      <c r="J156" s="5">
        <v>-0.351716393285256</v>
      </c>
      <c r="K156" s="5">
        <v>-0.351716393285256</v>
      </c>
      <c r="L156" s="5">
        <v>-0.351716393285256</v>
      </c>
      <c r="M156" s="5">
        <v>-0.351716393285256</v>
      </c>
      <c r="N156" s="5">
        <v>0</v>
      </c>
      <c r="O156" s="5">
        <v>0</v>
      </c>
      <c r="P156" s="5">
        <v>0</v>
      </c>
    </row>
    <row r="157" spans="1:16" x14ac:dyDescent="0.2">
      <c r="A157" s="5">
        <v>155</v>
      </c>
      <c r="B157" s="6">
        <v>45218</v>
      </c>
      <c r="C157" s="5">
        <v>243.041374631884</v>
      </c>
      <c r="D157" s="5">
        <v>217.93567278689</v>
      </c>
      <c r="E157" s="5">
        <v>265.24587799009998</v>
      </c>
      <c r="F157" s="5">
        <v>243.041374631884</v>
      </c>
      <c r="G157" s="5">
        <v>243.041374631884</v>
      </c>
      <c r="H157" s="5">
        <v>-1.3846615833204901</v>
      </c>
      <c r="I157" s="5">
        <v>-1.3846615833204901</v>
      </c>
      <c r="J157" s="5">
        <v>-1.3846615833204901</v>
      </c>
      <c r="K157" s="5">
        <v>-1.3846615833204901</v>
      </c>
      <c r="L157" s="5">
        <v>-1.3846615833204901</v>
      </c>
      <c r="M157" s="5">
        <v>-1.3846615833204901</v>
      </c>
      <c r="N157" s="5">
        <v>0</v>
      </c>
      <c r="O157" s="5">
        <v>0</v>
      </c>
      <c r="P157" s="5">
        <v>0</v>
      </c>
    </row>
    <row r="158" spans="1:16" x14ac:dyDescent="0.2">
      <c r="A158" s="5">
        <v>156</v>
      </c>
      <c r="B158" s="6">
        <v>45219</v>
      </c>
      <c r="C158" s="5">
        <v>242.85601610906301</v>
      </c>
      <c r="D158" s="5">
        <v>217.80122494668001</v>
      </c>
      <c r="E158" s="5">
        <v>265.48345746732298</v>
      </c>
      <c r="F158" s="5">
        <v>242.85601610906301</v>
      </c>
      <c r="G158" s="5">
        <v>242.85601610906301</v>
      </c>
      <c r="H158" s="5">
        <v>-1.4812190550133499</v>
      </c>
      <c r="I158" s="5">
        <v>-1.4812190550133499</v>
      </c>
      <c r="J158" s="5">
        <v>-1.4812190550133499</v>
      </c>
      <c r="K158" s="5">
        <v>-1.4812190550133499</v>
      </c>
      <c r="L158" s="5">
        <v>-1.4812190550133499</v>
      </c>
      <c r="M158" s="5">
        <v>-1.4812190550133499</v>
      </c>
      <c r="N158" s="5">
        <v>0</v>
      </c>
      <c r="O158" s="5">
        <v>0</v>
      </c>
      <c r="P158" s="5">
        <v>0</v>
      </c>
    </row>
    <row r="159" spans="1:16" x14ac:dyDescent="0.2">
      <c r="A159" s="5">
        <v>157</v>
      </c>
      <c r="B159" s="6">
        <v>45222</v>
      </c>
      <c r="C159" s="5">
        <v>242.299940540601</v>
      </c>
      <c r="D159" s="5">
        <v>214.99951460208001</v>
      </c>
      <c r="E159" s="5">
        <v>264.57137851940598</v>
      </c>
      <c r="F159" s="5">
        <v>242.299940540601</v>
      </c>
      <c r="G159" s="5">
        <v>242.299940540601</v>
      </c>
      <c r="H159" s="5">
        <v>-1.8234865982539601</v>
      </c>
      <c r="I159" s="5">
        <v>-1.8234865982539601</v>
      </c>
      <c r="J159" s="5">
        <v>-1.8234865982539601</v>
      </c>
      <c r="K159" s="5">
        <v>-1.8234865982539601</v>
      </c>
      <c r="L159" s="5">
        <v>-1.8234865982539601</v>
      </c>
      <c r="M159" s="5">
        <v>-1.8234865982539601</v>
      </c>
      <c r="N159" s="5">
        <v>0</v>
      </c>
      <c r="O159" s="5">
        <v>0</v>
      </c>
      <c r="P159" s="5">
        <v>0</v>
      </c>
    </row>
    <row r="160" spans="1:16" x14ac:dyDescent="0.2">
      <c r="A160" s="5">
        <v>158</v>
      </c>
      <c r="B160" s="6">
        <v>45223</v>
      </c>
      <c r="C160" s="5">
        <v>242.11458201778001</v>
      </c>
      <c r="D160" s="5">
        <v>220.06249793866201</v>
      </c>
      <c r="E160" s="5">
        <v>267.50095071576999</v>
      </c>
      <c r="F160" s="5">
        <v>242.11458201778001</v>
      </c>
      <c r="G160" s="5">
        <v>242.11458201778001</v>
      </c>
      <c r="H160" s="5">
        <v>0.50257879986262299</v>
      </c>
      <c r="I160" s="5">
        <v>0.50257879986262299</v>
      </c>
      <c r="J160" s="5">
        <v>0.50257879986262299</v>
      </c>
      <c r="K160" s="5">
        <v>0.50257879986262299</v>
      </c>
      <c r="L160" s="5">
        <v>0.50257879986262299</v>
      </c>
      <c r="M160" s="5">
        <v>0.50257879986262299</v>
      </c>
      <c r="N160" s="5">
        <v>0</v>
      </c>
      <c r="O160" s="5">
        <v>0</v>
      </c>
      <c r="P160" s="5">
        <v>0</v>
      </c>
    </row>
    <row r="161" spans="1:16" x14ac:dyDescent="0.2">
      <c r="A161" s="5">
        <v>159</v>
      </c>
      <c r="B161" s="6">
        <v>45224</v>
      </c>
      <c r="C161" s="5">
        <v>241.92922349495899</v>
      </c>
      <c r="D161" s="5">
        <v>218.09250463902001</v>
      </c>
      <c r="E161" s="5">
        <v>265.06675063279602</v>
      </c>
      <c r="F161" s="5">
        <v>241.92922349495899</v>
      </c>
      <c r="G161" s="5">
        <v>241.92922349495899</v>
      </c>
      <c r="H161" s="5">
        <v>-0.351716393287966</v>
      </c>
      <c r="I161" s="5">
        <v>-0.351716393287966</v>
      </c>
      <c r="J161" s="5">
        <v>-0.351716393287966</v>
      </c>
      <c r="K161" s="5">
        <v>-0.351716393287966</v>
      </c>
      <c r="L161" s="5">
        <v>-0.351716393287966</v>
      </c>
      <c r="M161" s="5">
        <v>-0.351716393287966</v>
      </c>
      <c r="N161" s="5">
        <v>0</v>
      </c>
      <c r="O161" s="5">
        <v>0</v>
      </c>
      <c r="P161" s="5">
        <v>0</v>
      </c>
    </row>
    <row r="162" spans="1:16" x14ac:dyDescent="0.2">
      <c r="A162" s="5">
        <v>160</v>
      </c>
      <c r="B162" s="6">
        <v>45225</v>
      </c>
      <c r="C162" s="5">
        <v>241.74386497213899</v>
      </c>
      <c r="D162" s="5">
        <v>216.69327728472399</v>
      </c>
      <c r="E162" s="5">
        <v>264.74662317825403</v>
      </c>
      <c r="F162" s="5">
        <v>241.74386497213899</v>
      </c>
      <c r="G162" s="5">
        <v>241.74386497213899</v>
      </c>
      <c r="H162" s="5">
        <v>-1.3846615833185001</v>
      </c>
      <c r="I162" s="5">
        <v>-1.3846615833185001</v>
      </c>
      <c r="J162" s="5">
        <v>-1.3846615833185001</v>
      </c>
      <c r="K162" s="5">
        <v>-1.3846615833185001</v>
      </c>
      <c r="L162" s="5">
        <v>-1.3846615833185001</v>
      </c>
      <c r="M162" s="5">
        <v>-1.3846615833185001</v>
      </c>
      <c r="N162" s="5">
        <v>0</v>
      </c>
      <c r="O162" s="5">
        <v>0</v>
      </c>
      <c r="P162" s="5">
        <v>0</v>
      </c>
    </row>
    <row r="163" spans="1:16" x14ac:dyDescent="0.2">
      <c r="A163" s="5">
        <v>161</v>
      </c>
      <c r="B163" s="6">
        <v>45226</v>
      </c>
      <c r="C163" s="5">
        <v>241.55850648095199</v>
      </c>
      <c r="D163" s="5">
        <v>215.45479332445001</v>
      </c>
      <c r="E163" s="5">
        <v>263.66773621228202</v>
      </c>
      <c r="F163" s="5">
        <v>241.55850648095199</v>
      </c>
      <c r="G163" s="5">
        <v>241.55850648095199</v>
      </c>
      <c r="H163" s="5">
        <v>-1.48121905500962</v>
      </c>
      <c r="I163" s="5">
        <v>-1.48121905500962</v>
      </c>
      <c r="J163" s="5">
        <v>-1.48121905500962</v>
      </c>
      <c r="K163" s="5">
        <v>-1.48121905500962</v>
      </c>
      <c r="L163" s="5">
        <v>-1.48121905500962</v>
      </c>
      <c r="M163" s="5">
        <v>-1.48121905500962</v>
      </c>
      <c r="N163" s="5">
        <v>0</v>
      </c>
      <c r="O163" s="5">
        <v>0</v>
      </c>
      <c r="P163" s="5">
        <v>0</v>
      </c>
    </row>
    <row r="164" spans="1:16" x14ac:dyDescent="0.2">
      <c r="A164" s="5">
        <v>162</v>
      </c>
      <c r="B164" s="6">
        <v>45229</v>
      </c>
      <c r="C164" s="5">
        <v>241.00243100739399</v>
      </c>
      <c r="D164" s="5">
        <v>214.34109754091199</v>
      </c>
      <c r="E164" s="5">
        <v>264.39174039702999</v>
      </c>
      <c r="F164" s="5">
        <v>241.00243100739399</v>
      </c>
      <c r="G164" s="5">
        <v>241.00243100739399</v>
      </c>
      <c r="H164" s="5">
        <v>-1.8234865982556001</v>
      </c>
      <c r="I164" s="5">
        <v>-1.8234865982556001</v>
      </c>
      <c r="J164" s="5">
        <v>-1.8234865982556001</v>
      </c>
      <c r="K164" s="5">
        <v>-1.8234865982556001</v>
      </c>
      <c r="L164" s="5">
        <v>-1.8234865982556001</v>
      </c>
      <c r="M164" s="5">
        <v>-1.8234865982556001</v>
      </c>
      <c r="N164" s="5">
        <v>0</v>
      </c>
      <c r="O164" s="5">
        <v>0</v>
      </c>
      <c r="P164" s="5">
        <v>0</v>
      </c>
    </row>
    <row r="165" spans="1:16" x14ac:dyDescent="0.2">
      <c r="A165" s="5">
        <v>163</v>
      </c>
      <c r="B165" s="6">
        <v>45230</v>
      </c>
      <c r="C165" s="5">
        <v>240.81707251620799</v>
      </c>
      <c r="D165" s="5">
        <v>219.19240111599399</v>
      </c>
      <c r="E165" s="5">
        <v>266.298974151018</v>
      </c>
      <c r="F165" s="5">
        <v>240.81707251620799</v>
      </c>
      <c r="G165" s="5">
        <v>240.81707251620799</v>
      </c>
      <c r="H165" s="5">
        <v>0.50257879986384801</v>
      </c>
      <c r="I165" s="5">
        <v>0.50257879986384801</v>
      </c>
      <c r="J165" s="5">
        <v>0.50257879986384801</v>
      </c>
      <c r="K165" s="5">
        <v>0.50257879986384801</v>
      </c>
      <c r="L165" s="5">
        <v>0.50257879986384801</v>
      </c>
      <c r="M165" s="5">
        <v>0.50257879986384801</v>
      </c>
      <c r="N165" s="5">
        <v>0</v>
      </c>
      <c r="O165" s="5">
        <v>0</v>
      </c>
      <c r="P165" s="5">
        <v>0</v>
      </c>
    </row>
    <row r="166" spans="1:16" x14ac:dyDescent="0.2">
      <c r="A166" s="5">
        <v>164</v>
      </c>
      <c r="B166" s="6">
        <v>45231</v>
      </c>
      <c r="C166" s="5">
        <v>240.63171402502201</v>
      </c>
      <c r="D166" s="5">
        <v>214.13014775885199</v>
      </c>
      <c r="E166" s="5">
        <v>265.182691833886</v>
      </c>
      <c r="F166" s="5">
        <v>240.63171402502201</v>
      </c>
      <c r="G166" s="5">
        <v>240.63171402502201</v>
      </c>
      <c r="H166" s="5">
        <v>-0.35171639328616</v>
      </c>
      <c r="I166" s="5">
        <v>-0.35171639328616</v>
      </c>
      <c r="J166" s="5">
        <v>-0.35171639328616</v>
      </c>
      <c r="K166" s="5">
        <v>-0.35171639328616</v>
      </c>
      <c r="L166" s="5">
        <v>-0.35171639328616</v>
      </c>
      <c r="M166" s="5">
        <v>-0.35171639328616</v>
      </c>
      <c r="N166" s="5">
        <v>0</v>
      </c>
      <c r="O166" s="5">
        <v>0</v>
      </c>
      <c r="P166" s="5">
        <v>0</v>
      </c>
    </row>
    <row r="167" spans="1:16" x14ac:dyDescent="0.2">
      <c r="A167" s="5">
        <v>165</v>
      </c>
      <c r="B167" s="6">
        <v>45232</v>
      </c>
      <c r="C167" s="5">
        <v>240.446355533835</v>
      </c>
      <c r="D167" s="5">
        <v>214.648552170838</v>
      </c>
      <c r="E167" s="5">
        <v>263.77934275984302</v>
      </c>
      <c r="F167" s="5">
        <v>240.446355533835</v>
      </c>
      <c r="G167" s="5">
        <v>240.446355533835</v>
      </c>
      <c r="H167" s="5">
        <v>-1.38466158332533</v>
      </c>
      <c r="I167" s="5">
        <v>-1.38466158332533</v>
      </c>
      <c r="J167" s="5">
        <v>-1.38466158332533</v>
      </c>
      <c r="K167" s="5">
        <v>-1.38466158332533</v>
      </c>
      <c r="L167" s="5">
        <v>-1.38466158332533</v>
      </c>
      <c r="M167" s="5">
        <v>-1.38466158332533</v>
      </c>
      <c r="N167" s="5">
        <v>0</v>
      </c>
      <c r="O167" s="5">
        <v>0</v>
      </c>
      <c r="P167" s="5">
        <v>0</v>
      </c>
    </row>
    <row r="168" spans="1:16" x14ac:dyDescent="0.2">
      <c r="A168" s="5">
        <v>166</v>
      </c>
      <c r="B168" s="6">
        <v>45233</v>
      </c>
      <c r="C168" s="5">
        <v>240.260997042649</v>
      </c>
      <c r="D168" s="5">
        <v>214.44399113108599</v>
      </c>
      <c r="E168" s="5">
        <v>264.96194988892597</v>
      </c>
      <c r="F168" s="5">
        <v>240.260997042649</v>
      </c>
      <c r="G168" s="5">
        <v>240.260997042649</v>
      </c>
      <c r="H168" s="5">
        <v>-1.4812190550058999</v>
      </c>
      <c r="I168" s="5">
        <v>-1.4812190550058999</v>
      </c>
      <c r="J168" s="5">
        <v>-1.4812190550058999</v>
      </c>
      <c r="K168" s="5">
        <v>-1.4812190550058999</v>
      </c>
      <c r="L168" s="5">
        <v>-1.4812190550058999</v>
      </c>
      <c r="M168" s="5">
        <v>-1.4812190550058999</v>
      </c>
      <c r="N168" s="5">
        <v>0</v>
      </c>
      <c r="O168" s="5">
        <v>0</v>
      </c>
      <c r="P168" s="5">
        <v>0</v>
      </c>
    </row>
    <row r="169" spans="1:16" x14ac:dyDescent="0.2">
      <c r="A169" s="5">
        <v>167</v>
      </c>
      <c r="B169" s="6">
        <v>45236</v>
      </c>
      <c r="C169" s="5">
        <v>239.704921569091</v>
      </c>
      <c r="D169" s="5">
        <v>213.59330090578601</v>
      </c>
      <c r="E169" s="5">
        <v>262.41838008138001</v>
      </c>
      <c r="F169" s="5">
        <v>239.704921569091</v>
      </c>
      <c r="G169" s="5">
        <v>239.704921569091</v>
      </c>
      <c r="H169" s="5">
        <v>-1.82348659825437</v>
      </c>
      <c r="I169" s="5">
        <v>-1.82348659825437</v>
      </c>
      <c r="J169" s="5">
        <v>-1.82348659825437</v>
      </c>
      <c r="K169" s="5">
        <v>-1.82348659825437</v>
      </c>
      <c r="L169" s="5">
        <v>-1.82348659825437</v>
      </c>
      <c r="M169" s="5">
        <v>-1.82348659825437</v>
      </c>
      <c r="N169" s="5">
        <v>0</v>
      </c>
      <c r="O169" s="5">
        <v>0</v>
      </c>
      <c r="P169" s="5">
        <v>0</v>
      </c>
    </row>
    <row r="170" spans="1:16" x14ac:dyDescent="0.2">
      <c r="A170" s="5">
        <v>168</v>
      </c>
      <c r="B170" s="6">
        <v>45237</v>
      </c>
      <c r="C170" s="5">
        <v>239.519563077904</v>
      </c>
      <c r="D170" s="5">
        <v>214.774724729182</v>
      </c>
      <c r="E170" s="5">
        <v>264.39525164249</v>
      </c>
      <c r="F170" s="5">
        <v>239.519563077904</v>
      </c>
      <c r="G170" s="5">
        <v>239.519563077904</v>
      </c>
      <c r="H170" s="5">
        <v>0.50257879986540999</v>
      </c>
      <c r="I170" s="5">
        <v>0.50257879986540999</v>
      </c>
      <c r="J170" s="5">
        <v>0.50257879986540999</v>
      </c>
      <c r="K170" s="5">
        <v>0.50257879986540999</v>
      </c>
      <c r="L170" s="5">
        <v>0.50257879986540999</v>
      </c>
      <c r="M170" s="5">
        <v>0.50257879986540999</v>
      </c>
      <c r="N170" s="5">
        <v>0</v>
      </c>
      <c r="O170" s="5">
        <v>0</v>
      </c>
      <c r="P170" s="5">
        <v>0</v>
      </c>
    </row>
    <row r="171" spans="1:16" x14ac:dyDescent="0.2">
      <c r="A171" s="5">
        <v>169</v>
      </c>
      <c r="B171" s="6">
        <v>45238</v>
      </c>
      <c r="C171" s="5">
        <v>239.33420454394101</v>
      </c>
      <c r="D171" s="5">
        <v>214.22563752327599</v>
      </c>
      <c r="E171" s="5">
        <v>264.051651658661</v>
      </c>
      <c r="F171" s="5">
        <v>239.33420454394101</v>
      </c>
      <c r="G171" s="5">
        <v>239.33420454394101</v>
      </c>
      <c r="H171" s="5">
        <v>-0.35171639328887</v>
      </c>
      <c r="I171" s="5">
        <v>-0.35171639328887</v>
      </c>
      <c r="J171" s="5">
        <v>-0.35171639328887</v>
      </c>
      <c r="K171" s="5">
        <v>-0.35171639328887</v>
      </c>
      <c r="L171" s="5">
        <v>-0.35171639328887</v>
      </c>
      <c r="M171" s="5">
        <v>-0.35171639328887</v>
      </c>
      <c r="N171" s="5">
        <v>0</v>
      </c>
      <c r="O171" s="5">
        <v>0</v>
      </c>
      <c r="P171" s="5">
        <v>0</v>
      </c>
    </row>
    <row r="172" spans="1:16" x14ac:dyDescent="0.2">
      <c r="A172" s="5">
        <v>170</v>
      </c>
      <c r="B172" s="6">
        <v>45239</v>
      </c>
      <c r="C172" s="5">
        <v>239.148846009978</v>
      </c>
      <c r="D172" s="5">
        <v>213.423732493882</v>
      </c>
      <c r="E172" s="5">
        <v>261.32289994801698</v>
      </c>
      <c r="F172" s="5">
        <v>239.148846009978</v>
      </c>
      <c r="G172" s="5">
        <v>239.148846009978</v>
      </c>
      <c r="H172" s="5">
        <v>-1.38466158331553</v>
      </c>
      <c r="I172" s="5">
        <v>-1.38466158331553</v>
      </c>
      <c r="J172" s="5">
        <v>-1.38466158331553</v>
      </c>
      <c r="K172" s="5">
        <v>-1.38466158331553</v>
      </c>
      <c r="L172" s="5">
        <v>-1.38466158331553</v>
      </c>
      <c r="M172" s="5">
        <v>-1.38466158331553</v>
      </c>
      <c r="N172" s="5">
        <v>0</v>
      </c>
      <c r="O172" s="5">
        <v>0</v>
      </c>
      <c r="P172" s="5">
        <v>0</v>
      </c>
    </row>
    <row r="173" spans="1:16" x14ac:dyDescent="0.2">
      <c r="A173" s="5">
        <v>171</v>
      </c>
      <c r="B173" s="6">
        <v>45240</v>
      </c>
      <c r="C173" s="5">
        <v>238.963487476014</v>
      </c>
      <c r="D173" s="5">
        <v>211.50156359505999</v>
      </c>
      <c r="E173" s="5">
        <v>262.137820568351</v>
      </c>
      <c r="F173" s="5">
        <v>238.963487476014</v>
      </c>
      <c r="G173" s="5">
        <v>238.963487476014</v>
      </c>
      <c r="H173" s="5">
        <v>-1.48121905500217</v>
      </c>
      <c r="I173" s="5">
        <v>-1.48121905500217</v>
      </c>
      <c r="J173" s="5">
        <v>-1.48121905500217</v>
      </c>
      <c r="K173" s="5">
        <v>-1.48121905500217</v>
      </c>
      <c r="L173" s="5">
        <v>-1.48121905500217</v>
      </c>
      <c r="M173" s="5">
        <v>-1.48121905500217</v>
      </c>
      <c r="N173" s="5">
        <v>0</v>
      </c>
      <c r="O173" s="5">
        <v>0</v>
      </c>
      <c r="P173" s="5">
        <v>0</v>
      </c>
    </row>
    <row r="174" spans="1:16" x14ac:dyDescent="0.2">
      <c r="A174" s="5">
        <v>172</v>
      </c>
      <c r="B174" s="6">
        <v>45243</v>
      </c>
      <c r="C174" s="5">
        <v>238.40741187412399</v>
      </c>
      <c r="D174" s="5">
        <v>211.781893587116</v>
      </c>
      <c r="E174" s="5">
        <v>258.344085579911</v>
      </c>
      <c r="F174" s="5">
        <v>238.40741187412399</v>
      </c>
      <c r="G174" s="5">
        <v>238.40741187412399</v>
      </c>
      <c r="H174" s="5">
        <v>-1.8234865982588699</v>
      </c>
      <c r="I174" s="5">
        <v>-1.8234865982588699</v>
      </c>
      <c r="J174" s="5">
        <v>-1.8234865982588699</v>
      </c>
      <c r="K174" s="5">
        <v>-1.8234865982588699</v>
      </c>
      <c r="L174" s="5">
        <v>-1.8234865982588699</v>
      </c>
      <c r="M174" s="5">
        <v>-1.8234865982588699</v>
      </c>
      <c r="N174" s="5">
        <v>0</v>
      </c>
      <c r="O174" s="5">
        <v>0</v>
      </c>
      <c r="P174" s="5">
        <v>0</v>
      </c>
    </row>
    <row r="175" spans="1:16" x14ac:dyDescent="0.2">
      <c r="A175" s="5">
        <v>173</v>
      </c>
      <c r="B175" s="6">
        <v>45244</v>
      </c>
      <c r="C175" s="5">
        <v>238.22205334016101</v>
      </c>
      <c r="D175" s="5">
        <v>214.72077021507801</v>
      </c>
      <c r="E175" s="5">
        <v>261.67251891992697</v>
      </c>
      <c r="F175" s="5">
        <v>238.22205334016101</v>
      </c>
      <c r="G175" s="5">
        <v>238.22205334016101</v>
      </c>
      <c r="H175" s="5">
        <v>0.50257879986696996</v>
      </c>
      <c r="I175" s="5">
        <v>0.50257879986696996</v>
      </c>
      <c r="J175" s="5">
        <v>0.50257879986696996</v>
      </c>
      <c r="K175" s="5">
        <v>0.50257879986696996</v>
      </c>
      <c r="L175" s="5">
        <v>0.50257879986696996</v>
      </c>
      <c r="M175" s="5">
        <v>0.50257879986696996</v>
      </c>
      <c r="N175" s="5">
        <v>0</v>
      </c>
      <c r="O175" s="5">
        <v>0</v>
      </c>
      <c r="P175" s="5">
        <v>0</v>
      </c>
    </row>
    <row r="176" spans="1:16" x14ac:dyDescent="0.2">
      <c r="A176" s="5">
        <v>174</v>
      </c>
      <c r="B176" s="6">
        <v>45245</v>
      </c>
      <c r="C176" s="5">
        <v>238.036694806198</v>
      </c>
      <c r="D176" s="5">
        <v>212.56926547793</v>
      </c>
      <c r="E176" s="5">
        <v>261.020784497845</v>
      </c>
      <c r="F176" s="5">
        <v>238.036694806198</v>
      </c>
      <c r="G176" s="5">
        <v>238.036694806198</v>
      </c>
      <c r="H176" s="5">
        <v>-0.351716393284002</v>
      </c>
      <c r="I176" s="5">
        <v>-0.351716393284002</v>
      </c>
      <c r="J176" s="5">
        <v>-0.351716393284002</v>
      </c>
      <c r="K176" s="5">
        <v>-0.351716393284002</v>
      </c>
      <c r="L176" s="5">
        <v>-0.351716393284002</v>
      </c>
      <c r="M176" s="5">
        <v>-0.351716393284002</v>
      </c>
      <c r="N176" s="5">
        <v>0</v>
      </c>
      <c r="O176" s="5">
        <v>0</v>
      </c>
      <c r="P176" s="5">
        <v>0</v>
      </c>
    </row>
    <row r="177" spans="1:16" x14ac:dyDescent="0.2">
      <c r="A177" s="5">
        <v>175</v>
      </c>
      <c r="B177" s="6">
        <v>45246</v>
      </c>
      <c r="C177" s="5">
        <v>237.85133627223399</v>
      </c>
      <c r="D177" s="5">
        <v>211.08524105666399</v>
      </c>
      <c r="E177" s="5">
        <v>259.45892389622099</v>
      </c>
      <c r="F177" s="5">
        <v>237.85133627223399</v>
      </c>
      <c r="G177" s="5">
        <v>237.85133627223399</v>
      </c>
      <c r="H177" s="5">
        <v>-1.3846615833179501</v>
      </c>
      <c r="I177" s="5">
        <v>-1.3846615833179501</v>
      </c>
      <c r="J177" s="5">
        <v>-1.3846615833179501</v>
      </c>
      <c r="K177" s="5">
        <v>-1.3846615833179501</v>
      </c>
      <c r="L177" s="5">
        <v>-1.3846615833179501</v>
      </c>
      <c r="M177" s="5">
        <v>-1.3846615833179501</v>
      </c>
      <c r="N177" s="5">
        <v>0</v>
      </c>
      <c r="O177" s="5">
        <v>0</v>
      </c>
      <c r="P177" s="5">
        <v>0</v>
      </c>
    </row>
    <row r="178" spans="1:16" x14ac:dyDescent="0.2">
      <c r="A178" s="5">
        <v>176</v>
      </c>
      <c r="B178" s="6">
        <v>45247</v>
      </c>
      <c r="C178" s="5">
        <v>237.66597773827101</v>
      </c>
      <c r="D178" s="5">
        <v>210.940187143168</v>
      </c>
      <c r="E178" s="5">
        <v>259.61970172003498</v>
      </c>
      <c r="F178" s="5">
        <v>237.66597773827101</v>
      </c>
      <c r="G178" s="5">
        <v>237.66597773827101</v>
      </c>
      <c r="H178" s="5">
        <v>-1.48121905500412</v>
      </c>
      <c r="I178" s="5">
        <v>-1.48121905500412</v>
      </c>
      <c r="J178" s="5">
        <v>-1.48121905500412</v>
      </c>
      <c r="K178" s="5">
        <v>-1.48121905500412</v>
      </c>
      <c r="L178" s="5">
        <v>-1.48121905500412</v>
      </c>
      <c r="M178" s="5">
        <v>-1.48121905500412</v>
      </c>
      <c r="N178" s="5">
        <v>0</v>
      </c>
      <c r="O178" s="5">
        <v>0</v>
      </c>
      <c r="P178" s="5">
        <v>0</v>
      </c>
    </row>
    <row r="179" spans="1:16" x14ac:dyDescent="0.2">
      <c r="A179" s="5">
        <v>177</v>
      </c>
      <c r="B179" s="6">
        <v>45250</v>
      </c>
      <c r="C179" s="5">
        <v>237.10990213541601</v>
      </c>
      <c r="D179" s="5">
        <v>210.726655415436</v>
      </c>
      <c r="E179" s="5">
        <v>258.82790801803702</v>
      </c>
      <c r="F179" s="5">
        <v>237.10990213541601</v>
      </c>
      <c r="G179" s="5">
        <v>237.10990213541601</v>
      </c>
      <c r="H179" s="5">
        <v>-1.8234865982522199</v>
      </c>
      <c r="I179" s="5">
        <v>-1.8234865982522199</v>
      </c>
      <c r="J179" s="5">
        <v>-1.8234865982522199</v>
      </c>
      <c r="K179" s="5">
        <v>-1.8234865982522199</v>
      </c>
      <c r="L179" s="5">
        <v>-1.8234865982522199</v>
      </c>
      <c r="M179" s="5">
        <v>-1.8234865982522199</v>
      </c>
      <c r="N179" s="5">
        <v>0</v>
      </c>
      <c r="O179" s="5">
        <v>0</v>
      </c>
      <c r="P179" s="5">
        <v>0</v>
      </c>
    </row>
    <row r="180" spans="1:16" x14ac:dyDescent="0.2">
      <c r="A180" s="5">
        <v>178</v>
      </c>
      <c r="B180" s="6">
        <v>45251</v>
      </c>
      <c r="C180" s="5">
        <v>236.92454360113101</v>
      </c>
      <c r="D180" s="5">
        <v>213.91335847697599</v>
      </c>
      <c r="E180" s="5">
        <v>262.033007662187</v>
      </c>
      <c r="F180" s="5">
        <v>236.92454360113101</v>
      </c>
      <c r="G180" s="5">
        <v>236.92454360113101</v>
      </c>
      <c r="H180" s="5">
        <v>0.50257879986853105</v>
      </c>
      <c r="I180" s="5">
        <v>0.50257879986853105</v>
      </c>
      <c r="J180" s="5">
        <v>0.50257879986853105</v>
      </c>
      <c r="K180" s="5">
        <v>0.50257879986853105</v>
      </c>
      <c r="L180" s="5">
        <v>0.50257879986853105</v>
      </c>
      <c r="M180" s="5">
        <v>0.50257879986853105</v>
      </c>
      <c r="N180" s="5">
        <v>0</v>
      </c>
      <c r="O180" s="5">
        <v>0</v>
      </c>
      <c r="P180" s="5">
        <v>0</v>
      </c>
    </row>
    <row r="181" spans="1:16" x14ac:dyDescent="0.2">
      <c r="A181" s="5">
        <v>179</v>
      </c>
      <c r="B181" s="6">
        <v>45252</v>
      </c>
      <c r="C181" s="5">
        <v>236.73918506684601</v>
      </c>
      <c r="D181" s="5">
        <v>211.72678325333999</v>
      </c>
      <c r="E181" s="5">
        <v>259.38615689793397</v>
      </c>
      <c r="F181" s="5">
        <v>236.73918506684601</v>
      </c>
      <c r="G181" s="5">
        <v>236.73918506684601</v>
      </c>
      <c r="H181" s="5">
        <v>-0.35171639328445398</v>
      </c>
      <c r="I181" s="5">
        <v>-0.35171639328445398</v>
      </c>
      <c r="J181" s="5">
        <v>-0.35171639328445398</v>
      </c>
      <c r="K181" s="5">
        <v>-0.35171639328445398</v>
      </c>
      <c r="L181" s="5">
        <v>-0.35171639328445398</v>
      </c>
      <c r="M181" s="5">
        <v>-0.35171639328445398</v>
      </c>
      <c r="N181" s="5">
        <v>0</v>
      </c>
      <c r="O181" s="5">
        <v>0</v>
      </c>
      <c r="P181" s="5">
        <v>0</v>
      </c>
    </row>
    <row r="182" spans="1:16" x14ac:dyDescent="0.2">
      <c r="A182" s="5">
        <v>180</v>
      </c>
      <c r="B182" s="6">
        <v>45254</v>
      </c>
      <c r="C182" s="5">
        <v>236.368467998276</v>
      </c>
      <c r="D182" s="5">
        <v>208.620114467669</v>
      </c>
      <c r="E182" s="5">
        <v>261.00230534706498</v>
      </c>
      <c r="F182" s="5">
        <v>236.368467998276</v>
      </c>
      <c r="G182" s="5">
        <v>236.368467998276</v>
      </c>
      <c r="H182" s="5">
        <v>-1.48121905499472</v>
      </c>
      <c r="I182" s="5">
        <v>-1.48121905499472</v>
      </c>
      <c r="J182" s="5">
        <v>-1.48121905499472</v>
      </c>
      <c r="K182" s="5">
        <v>-1.48121905499472</v>
      </c>
      <c r="L182" s="5">
        <v>-1.48121905499472</v>
      </c>
      <c r="M182" s="5">
        <v>-1.48121905499472</v>
      </c>
      <c r="N182" s="5">
        <v>0</v>
      </c>
      <c r="O182" s="5">
        <v>0</v>
      </c>
      <c r="P182" s="5">
        <v>0</v>
      </c>
    </row>
    <row r="183" spans="1:16" x14ac:dyDescent="0.2">
      <c r="A183" s="5">
        <v>181</v>
      </c>
      <c r="B183" s="6">
        <v>45257</v>
      </c>
      <c r="C183" s="5">
        <v>235.812392395421</v>
      </c>
      <c r="D183" s="5">
        <v>210.11170514030201</v>
      </c>
      <c r="E183" s="5">
        <v>258.83599463304</v>
      </c>
      <c r="F183" s="5">
        <v>235.812392395421</v>
      </c>
      <c r="G183" s="5">
        <v>235.812392395421</v>
      </c>
      <c r="H183" s="5">
        <v>-1.8234865982538599</v>
      </c>
      <c r="I183" s="5">
        <v>-1.8234865982538599</v>
      </c>
      <c r="J183" s="5">
        <v>-1.8234865982538599</v>
      </c>
      <c r="K183" s="5">
        <v>-1.8234865982538599</v>
      </c>
      <c r="L183" s="5">
        <v>-1.8234865982538599</v>
      </c>
      <c r="M183" s="5">
        <v>-1.8234865982538599</v>
      </c>
      <c r="N183" s="5">
        <v>0</v>
      </c>
      <c r="O183" s="5">
        <v>0</v>
      </c>
      <c r="P183" s="5">
        <v>0</v>
      </c>
    </row>
    <row r="184" spans="1:16" x14ac:dyDescent="0.2">
      <c r="A184" s="5">
        <v>182</v>
      </c>
      <c r="B184" s="6">
        <v>45258</v>
      </c>
      <c r="C184" s="5">
        <v>235.627033861136</v>
      </c>
      <c r="D184" s="5">
        <v>210.35532872622301</v>
      </c>
      <c r="E184" s="5">
        <v>258.17348846378701</v>
      </c>
      <c r="F184" s="5">
        <v>235.627033861136</v>
      </c>
      <c r="G184" s="5">
        <v>235.627033861136</v>
      </c>
      <c r="H184" s="5">
        <v>0.50257879986975695</v>
      </c>
      <c r="I184" s="5">
        <v>0.50257879986975695</v>
      </c>
      <c r="J184" s="5">
        <v>0.50257879986975695</v>
      </c>
      <c r="K184" s="5">
        <v>0.50257879986975695</v>
      </c>
      <c r="L184" s="5">
        <v>0.50257879986975695</v>
      </c>
      <c r="M184" s="5">
        <v>0.50257879986975695</v>
      </c>
      <c r="N184" s="5">
        <v>0</v>
      </c>
      <c r="O184" s="5">
        <v>0</v>
      </c>
      <c r="P184" s="5">
        <v>0</v>
      </c>
    </row>
    <row r="185" spans="1:16" x14ac:dyDescent="0.2">
      <c r="A185" s="5">
        <v>183</v>
      </c>
      <c r="B185" s="6">
        <v>45259</v>
      </c>
      <c r="C185" s="5">
        <v>235.441675326851</v>
      </c>
      <c r="D185" s="5">
        <v>209.492326042857</v>
      </c>
      <c r="E185" s="5">
        <v>260.03332469201803</v>
      </c>
      <c r="F185" s="5">
        <v>235.441675326851</v>
      </c>
      <c r="G185" s="5">
        <v>235.441675326851</v>
      </c>
      <c r="H185" s="5">
        <v>-0.351716393284906</v>
      </c>
      <c r="I185" s="5">
        <v>-0.351716393284906</v>
      </c>
      <c r="J185" s="5">
        <v>-0.351716393284906</v>
      </c>
      <c r="K185" s="5">
        <v>-0.351716393284906</v>
      </c>
      <c r="L185" s="5">
        <v>-0.351716393284906</v>
      </c>
      <c r="M185" s="5">
        <v>-0.351716393284906</v>
      </c>
      <c r="N185" s="5">
        <v>0</v>
      </c>
      <c r="O185" s="5">
        <v>0</v>
      </c>
      <c r="P185" s="5">
        <v>0</v>
      </c>
    </row>
    <row r="186" spans="1:16" x14ac:dyDescent="0.2">
      <c r="A186" s="5">
        <v>184</v>
      </c>
      <c r="B186" s="6">
        <v>45260</v>
      </c>
      <c r="C186" s="5">
        <v>235.256316792566</v>
      </c>
      <c r="D186" s="5">
        <v>210.10550981383</v>
      </c>
      <c r="E186" s="5">
        <v>257.73908062704902</v>
      </c>
      <c r="F186" s="5">
        <v>235.256316792566</v>
      </c>
      <c r="G186" s="5">
        <v>235.256316792566</v>
      </c>
      <c r="H186" s="5">
        <v>-1.3846615833139899</v>
      </c>
      <c r="I186" s="5">
        <v>-1.3846615833139899</v>
      </c>
      <c r="J186" s="5">
        <v>-1.3846615833139899</v>
      </c>
      <c r="K186" s="5">
        <v>-1.3846615833139899</v>
      </c>
      <c r="L186" s="5">
        <v>-1.3846615833139899</v>
      </c>
      <c r="M186" s="5">
        <v>-1.3846615833139899</v>
      </c>
      <c r="N186" s="5">
        <v>0</v>
      </c>
      <c r="O186" s="5">
        <v>0</v>
      </c>
      <c r="P186" s="5">
        <v>0</v>
      </c>
    </row>
    <row r="187" spans="1:16" x14ac:dyDescent="0.2">
      <c r="A187" s="5">
        <v>185</v>
      </c>
      <c r="B187" s="6">
        <v>45261</v>
      </c>
      <c r="C187" s="5">
        <v>235.07095820375699</v>
      </c>
      <c r="D187" s="5">
        <v>208.91692676124899</v>
      </c>
      <c r="E187" s="5">
        <v>257.12560892226998</v>
      </c>
      <c r="F187" s="5">
        <v>235.07095820375699</v>
      </c>
      <c r="G187" s="5">
        <v>235.07095820375699</v>
      </c>
      <c r="H187" s="5">
        <v>-1.4812190550100699</v>
      </c>
      <c r="I187" s="5">
        <v>-1.4812190550100699</v>
      </c>
      <c r="J187" s="5">
        <v>-1.4812190550100699</v>
      </c>
      <c r="K187" s="5">
        <v>-1.4812190550100699</v>
      </c>
      <c r="L187" s="5">
        <v>-1.4812190550100699</v>
      </c>
      <c r="M187" s="5">
        <v>-1.4812190550100699</v>
      </c>
      <c r="N187" s="5">
        <v>0</v>
      </c>
      <c r="O187" s="5">
        <v>0</v>
      </c>
      <c r="P187" s="5">
        <v>0</v>
      </c>
    </row>
    <row r="188" spans="1:16" x14ac:dyDescent="0.2">
      <c r="A188" s="5">
        <v>186</v>
      </c>
      <c r="B188" s="6">
        <v>45264</v>
      </c>
      <c r="C188" s="5">
        <v>234.51488243733201</v>
      </c>
      <c r="D188" s="5">
        <v>207.45428560069499</v>
      </c>
      <c r="E188" s="5">
        <v>257.46263839729301</v>
      </c>
      <c r="F188" s="5">
        <v>234.51488243733201</v>
      </c>
      <c r="G188" s="5">
        <v>234.51488243733201</v>
      </c>
      <c r="H188" s="5">
        <v>-1.82348659825263</v>
      </c>
      <c r="I188" s="5">
        <v>-1.82348659825263</v>
      </c>
      <c r="J188" s="5">
        <v>-1.82348659825263</v>
      </c>
      <c r="K188" s="5">
        <v>-1.82348659825263</v>
      </c>
      <c r="L188" s="5">
        <v>-1.82348659825263</v>
      </c>
      <c r="M188" s="5">
        <v>-1.82348659825263</v>
      </c>
      <c r="N188" s="5">
        <v>0</v>
      </c>
      <c r="O188" s="5">
        <v>0</v>
      </c>
      <c r="P188" s="5">
        <v>0</v>
      </c>
    </row>
    <row r="189" spans="1:16" x14ac:dyDescent="0.2">
      <c r="A189" s="5">
        <v>187</v>
      </c>
      <c r="B189" s="6">
        <v>45265</v>
      </c>
      <c r="C189" s="5">
        <v>234.32952384852399</v>
      </c>
      <c r="D189" s="5">
        <v>210.59063888770399</v>
      </c>
      <c r="E189" s="5">
        <v>258.11889866946802</v>
      </c>
      <c r="F189" s="5">
        <v>234.32952384852399</v>
      </c>
      <c r="G189" s="5">
        <v>234.32952384852399</v>
      </c>
      <c r="H189" s="5">
        <v>0.50257879987165299</v>
      </c>
      <c r="I189" s="5">
        <v>0.50257879987165299</v>
      </c>
      <c r="J189" s="5">
        <v>0.50257879987165299</v>
      </c>
      <c r="K189" s="5">
        <v>0.50257879987165299</v>
      </c>
      <c r="L189" s="5">
        <v>0.50257879987165299</v>
      </c>
      <c r="M189" s="5">
        <v>0.50257879987165299</v>
      </c>
      <c r="N189" s="5">
        <v>0</v>
      </c>
      <c r="O189" s="5">
        <v>0</v>
      </c>
      <c r="P189" s="5">
        <v>0</v>
      </c>
    </row>
    <row r="190" spans="1:16" x14ac:dyDescent="0.2">
      <c r="A190" s="5">
        <v>188</v>
      </c>
      <c r="B190" s="6">
        <v>45266</v>
      </c>
      <c r="C190" s="5">
        <v>234.144165259716</v>
      </c>
      <c r="D190" s="5">
        <v>209.94031744728599</v>
      </c>
      <c r="E190" s="5">
        <v>257.25817869715701</v>
      </c>
      <c r="F190" s="5">
        <v>234.144165259716</v>
      </c>
      <c r="G190" s="5">
        <v>234.144165259716</v>
      </c>
      <c r="H190" s="5">
        <v>-0.35171639328003701</v>
      </c>
      <c r="I190" s="5">
        <v>-0.35171639328003701</v>
      </c>
      <c r="J190" s="5">
        <v>-0.35171639328003701</v>
      </c>
      <c r="K190" s="5">
        <v>-0.35171639328003701</v>
      </c>
      <c r="L190" s="5">
        <v>-0.35171639328003701</v>
      </c>
      <c r="M190" s="5">
        <v>-0.35171639328003701</v>
      </c>
      <c r="N190" s="5">
        <v>0</v>
      </c>
      <c r="O190" s="5">
        <v>0</v>
      </c>
      <c r="P190" s="5">
        <v>0</v>
      </c>
    </row>
    <row r="191" spans="1:16" x14ac:dyDescent="0.2">
      <c r="A191" s="5">
        <v>189</v>
      </c>
      <c r="B191" s="6">
        <v>45267</v>
      </c>
      <c r="C191" s="5">
        <v>233.95880667090799</v>
      </c>
      <c r="D191" s="5">
        <v>209.86140355270501</v>
      </c>
      <c r="E191" s="5">
        <v>256.08537626588299</v>
      </c>
      <c r="F191" s="5">
        <v>233.95880667090799</v>
      </c>
      <c r="G191" s="5">
        <v>233.95880667090799</v>
      </c>
      <c r="H191" s="5">
        <v>-1.38466158332081</v>
      </c>
      <c r="I191" s="5">
        <v>-1.38466158332081</v>
      </c>
      <c r="J191" s="5">
        <v>-1.38466158332081</v>
      </c>
      <c r="K191" s="5">
        <v>-1.38466158332081</v>
      </c>
      <c r="L191" s="5">
        <v>-1.38466158332081</v>
      </c>
      <c r="M191" s="5">
        <v>-1.38466158332081</v>
      </c>
      <c r="N191" s="5">
        <v>0</v>
      </c>
      <c r="O191" s="5">
        <v>0</v>
      </c>
      <c r="P191" s="5">
        <v>0</v>
      </c>
    </row>
    <row r="192" spans="1:16" x14ac:dyDescent="0.2">
      <c r="A192" s="5">
        <v>190</v>
      </c>
      <c r="B192" s="6">
        <v>45268</v>
      </c>
      <c r="C192" s="5">
        <v>233.77344808209901</v>
      </c>
      <c r="D192" s="5">
        <v>209.59102247388901</v>
      </c>
      <c r="E192" s="5">
        <v>258.63090280401201</v>
      </c>
      <c r="F192" s="5">
        <v>233.77344808209901</v>
      </c>
      <c r="G192" s="5">
        <v>233.77344808209901</v>
      </c>
      <c r="H192" s="5">
        <v>-1.48121905500634</v>
      </c>
      <c r="I192" s="5">
        <v>-1.48121905500634</v>
      </c>
      <c r="J192" s="5">
        <v>-1.48121905500634</v>
      </c>
      <c r="K192" s="5">
        <v>-1.48121905500634</v>
      </c>
      <c r="L192" s="5">
        <v>-1.48121905500634</v>
      </c>
      <c r="M192" s="5">
        <v>-1.48121905500634</v>
      </c>
      <c r="N192" s="5">
        <v>0</v>
      </c>
      <c r="O192" s="5">
        <v>0</v>
      </c>
      <c r="P192" s="5">
        <v>0</v>
      </c>
    </row>
    <row r="193" spans="1:16" x14ac:dyDescent="0.2">
      <c r="A193" s="5">
        <v>191</v>
      </c>
      <c r="B193" s="6">
        <v>45271</v>
      </c>
      <c r="C193" s="5">
        <v>233.21737231567499</v>
      </c>
      <c r="D193" s="5">
        <v>206.54925112905801</v>
      </c>
      <c r="E193" s="5">
        <v>255.358653895879</v>
      </c>
      <c r="F193" s="5">
        <v>233.21737231567499</v>
      </c>
      <c r="G193" s="5">
        <v>233.21737231567499</v>
      </c>
      <c r="H193" s="5">
        <v>-1.8234865982513999</v>
      </c>
      <c r="I193" s="5">
        <v>-1.8234865982513999</v>
      </c>
      <c r="J193" s="5">
        <v>-1.8234865982513999</v>
      </c>
      <c r="K193" s="5">
        <v>-1.8234865982513999</v>
      </c>
      <c r="L193" s="5">
        <v>-1.8234865982513999</v>
      </c>
      <c r="M193" s="5">
        <v>-1.8234865982513999</v>
      </c>
      <c r="N193" s="5">
        <v>0</v>
      </c>
      <c r="O193" s="5">
        <v>0</v>
      </c>
      <c r="P193" s="5">
        <v>0</v>
      </c>
    </row>
    <row r="194" spans="1:16" x14ac:dyDescent="0.2">
      <c r="A194" s="5">
        <v>192</v>
      </c>
      <c r="B194" s="6">
        <v>45272</v>
      </c>
      <c r="C194" s="5">
        <v>233.03201372686601</v>
      </c>
      <c r="D194" s="5">
        <v>209.31712880738701</v>
      </c>
      <c r="E194" s="5">
        <v>258.59919038637298</v>
      </c>
      <c r="F194" s="5">
        <v>233.03201372686601</v>
      </c>
      <c r="G194" s="5">
        <v>233.03201372686601</v>
      </c>
      <c r="H194" s="5">
        <v>0.502578799864703</v>
      </c>
      <c r="I194" s="5">
        <v>0.502578799864703</v>
      </c>
      <c r="J194" s="5">
        <v>0.502578799864703</v>
      </c>
      <c r="K194" s="5">
        <v>0.502578799864703</v>
      </c>
      <c r="L194" s="5">
        <v>0.502578799864703</v>
      </c>
      <c r="M194" s="5">
        <v>0.502578799864703</v>
      </c>
      <c r="N194" s="5">
        <v>0</v>
      </c>
      <c r="O194" s="5">
        <v>0</v>
      </c>
      <c r="P194" s="5">
        <v>0</v>
      </c>
    </row>
    <row r="195" spans="1:16" x14ac:dyDescent="0.2">
      <c r="A195" s="5">
        <v>193</v>
      </c>
      <c r="B195" s="6">
        <v>45273</v>
      </c>
      <c r="C195" s="5">
        <v>232.69867194128199</v>
      </c>
      <c r="D195" s="5">
        <v>209.612901913028</v>
      </c>
      <c r="E195" s="5">
        <v>255.306370246093</v>
      </c>
      <c r="F195" s="5">
        <v>232.69867194128199</v>
      </c>
      <c r="G195" s="5">
        <v>232.69867194128199</v>
      </c>
      <c r="H195" s="5">
        <v>-0.35171639328048898</v>
      </c>
      <c r="I195" s="5">
        <v>-0.35171639328048898</v>
      </c>
      <c r="J195" s="5">
        <v>-0.35171639328048898</v>
      </c>
      <c r="K195" s="5">
        <v>-0.35171639328048898</v>
      </c>
      <c r="L195" s="5">
        <v>-0.35171639328048898</v>
      </c>
      <c r="M195" s="5">
        <v>-0.35171639328048898</v>
      </c>
      <c r="N195" s="5">
        <v>0</v>
      </c>
      <c r="O195" s="5">
        <v>0</v>
      </c>
      <c r="P195" s="5">
        <v>0</v>
      </c>
    </row>
    <row r="196" spans="1:16" x14ac:dyDescent="0.2">
      <c r="A196" s="5">
        <v>194</v>
      </c>
      <c r="B196" s="6">
        <v>45274</v>
      </c>
      <c r="C196" s="5">
        <v>232.365330155697</v>
      </c>
      <c r="D196" s="5">
        <v>205.65276446650199</v>
      </c>
      <c r="E196" s="5">
        <v>256.35272305774998</v>
      </c>
      <c r="F196" s="5">
        <v>232.365330155697</v>
      </c>
      <c r="G196" s="5">
        <v>232.365330155697</v>
      </c>
      <c r="H196" s="5">
        <v>-1.38466158331883</v>
      </c>
      <c r="I196" s="5">
        <v>-1.38466158331883</v>
      </c>
      <c r="J196" s="5">
        <v>-1.38466158331883</v>
      </c>
      <c r="K196" s="5">
        <v>-1.38466158331883</v>
      </c>
      <c r="L196" s="5">
        <v>-1.38466158331883</v>
      </c>
      <c r="M196" s="5">
        <v>-1.38466158331883</v>
      </c>
      <c r="N196" s="5">
        <v>0</v>
      </c>
      <c r="O196" s="5">
        <v>0</v>
      </c>
      <c r="P196" s="5">
        <v>0</v>
      </c>
    </row>
    <row r="197" spans="1:16" x14ac:dyDescent="0.2">
      <c r="A197" s="5">
        <v>195</v>
      </c>
      <c r="B197" s="6">
        <v>45275</v>
      </c>
      <c r="C197" s="5">
        <v>232.031988370112</v>
      </c>
      <c r="D197" s="5">
        <v>205.39188296308299</v>
      </c>
      <c r="E197" s="5">
        <v>255.921586964862</v>
      </c>
      <c r="F197" s="5">
        <v>232.031988370112</v>
      </c>
      <c r="G197" s="5">
        <v>232.031988370112</v>
      </c>
      <c r="H197" s="5">
        <v>-1.4812190550083</v>
      </c>
      <c r="I197" s="5">
        <v>-1.4812190550083</v>
      </c>
      <c r="J197" s="5">
        <v>-1.4812190550083</v>
      </c>
      <c r="K197" s="5">
        <v>-1.4812190550083</v>
      </c>
      <c r="L197" s="5">
        <v>-1.4812190550083</v>
      </c>
      <c r="M197" s="5">
        <v>-1.4812190550083</v>
      </c>
      <c r="N197" s="5">
        <v>0</v>
      </c>
      <c r="O197" s="5">
        <v>0</v>
      </c>
      <c r="P197" s="5">
        <v>0</v>
      </c>
    </row>
    <row r="198" spans="1:16" x14ac:dyDescent="0.2">
      <c r="A198" s="5">
        <v>196</v>
      </c>
      <c r="B198" s="6">
        <v>45278</v>
      </c>
      <c r="C198" s="5">
        <v>231.031963013357</v>
      </c>
      <c r="D198" s="5">
        <v>203.21339512980799</v>
      </c>
      <c r="E198" s="5">
        <v>253.60999895156999</v>
      </c>
      <c r="F198" s="5">
        <v>231.031963013357</v>
      </c>
      <c r="G198" s="5">
        <v>231.031963013357</v>
      </c>
      <c r="H198" s="5">
        <v>-1.8234865982559001</v>
      </c>
      <c r="I198" s="5">
        <v>-1.8234865982559001</v>
      </c>
      <c r="J198" s="5">
        <v>-1.8234865982559001</v>
      </c>
      <c r="K198" s="5">
        <v>-1.8234865982559001</v>
      </c>
      <c r="L198" s="5">
        <v>-1.8234865982559001</v>
      </c>
      <c r="M198" s="5">
        <v>-1.8234865982559001</v>
      </c>
      <c r="N198" s="5">
        <v>0</v>
      </c>
      <c r="O198" s="5">
        <v>0</v>
      </c>
      <c r="P198" s="5">
        <v>0</v>
      </c>
    </row>
    <row r="199" spans="1:16" x14ac:dyDescent="0.2">
      <c r="A199" s="5">
        <v>197</v>
      </c>
      <c r="B199" s="6">
        <v>45279</v>
      </c>
      <c r="C199" s="5">
        <v>230.69862122777201</v>
      </c>
      <c r="D199" s="5">
        <v>206.496513906677</v>
      </c>
      <c r="E199" s="5">
        <v>254.97045153798899</v>
      </c>
      <c r="F199" s="5">
        <v>230.69862122777201</v>
      </c>
      <c r="G199" s="5">
        <v>230.69862122777201</v>
      </c>
      <c r="H199" s="5">
        <v>0.50257879986659804</v>
      </c>
      <c r="I199" s="5">
        <v>0.50257879986659804</v>
      </c>
      <c r="J199" s="5">
        <v>0.50257879986659804</v>
      </c>
      <c r="K199" s="5">
        <v>0.50257879986659804</v>
      </c>
      <c r="L199" s="5">
        <v>0.50257879986659804</v>
      </c>
      <c r="M199" s="5">
        <v>0.50257879986659804</v>
      </c>
      <c r="N199" s="5">
        <v>0</v>
      </c>
      <c r="O199" s="5">
        <v>0</v>
      </c>
      <c r="P199" s="5">
        <v>0</v>
      </c>
    </row>
    <row r="200" spans="1:16" x14ac:dyDescent="0.2">
      <c r="A200" s="5">
        <v>198</v>
      </c>
      <c r="B200" s="6">
        <v>45280</v>
      </c>
      <c r="C200" s="5">
        <v>230.36527944218699</v>
      </c>
      <c r="D200" s="5">
        <v>205.24324028836401</v>
      </c>
      <c r="E200" s="5">
        <v>255.612200887336</v>
      </c>
      <c r="F200" s="5">
        <v>230.36527944218699</v>
      </c>
      <c r="G200" s="5">
        <v>230.36527944218699</v>
      </c>
      <c r="H200" s="5">
        <v>-0.35171639328319898</v>
      </c>
      <c r="I200" s="5">
        <v>-0.35171639328319898</v>
      </c>
      <c r="J200" s="5">
        <v>-0.35171639328319898</v>
      </c>
      <c r="K200" s="5">
        <v>-0.35171639328319898</v>
      </c>
      <c r="L200" s="5">
        <v>-0.35171639328319898</v>
      </c>
      <c r="M200" s="5">
        <v>-0.35171639328319898</v>
      </c>
      <c r="N200" s="5">
        <v>0</v>
      </c>
      <c r="O200" s="5">
        <v>0</v>
      </c>
      <c r="P200" s="5">
        <v>0</v>
      </c>
    </row>
    <row r="201" spans="1:16" x14ac:dyDescent="0.2">
      <c r="A201" s="5">
        <v>199</v>
      </c>
      <c r="B201" s="6">
        <v>45281</v>
      </c>
      <c r="C201" s="5">
        <v>230.03193765660299</v>
      </c>
      <c r="D201" s="5">
        <v>203.79100240929901</v>
      </c>
      <c r="E201" s="5">
        <v>254.635818125795</v>
      </c>
      <c r="F201" s="5">
        <v>230.03193765660299</v>
      </c>
      <c r="G201" s="5">
        <v>230.03193765660299</v>
      </c>
      <c r="H201" s="5">
        <v>-1.3846615833212499</v>
      </c>
      <c r="I201" s="5">
        <v>-1.3846615833212499</v>
      </c>
      <c r="J201" s="5">
        <v>-1.3846615833212499</v>
      </c>
      <c r="K201" s="5">
        <v>-1.3846615833212499</v>
      </c>
      <c r="L201" s="5">
        <v>-1.3846615833212499</v>
      </c>
      <c r="M201" s="5">
        <v>-1.3846615833212499</v>
      </c>
      <c r="N201" s="5">
        <v>0</v>
      </c>
      <c r="O201" s="5">
        <v>0</v>
      </c>
      <c r="P201" s="5">
        <v>0</v>
      </c>
    </row>
    <row r="202" spans="1:16" x14ac:dyDescent="0.2">
      <c r="A202" s="5">
        <v>200</v>
      </c>
      <c r="B202" s="6">
        <v>45282</v>
      </c>
      <c r="C202" s="5">
        <v>229.698595871018</v>
      </c>
      <c r="D202" s="5">
        <v>203.98865747703201</v>
      </c>
      <c r="E202" s="5">
        <v>252.51327560262899</v>
      </c>
      <c r="F202" s="5">
        <v>229.698595871018</v>
      </c>
      <c r="G202" s="5">
        <v>229.698595871018</v>
      </c>
      <c r="H202" s="5">
        <v>-1.48121905501025</v>
      </c>
      <c r="I202" s="5">
        <v>-1.48121905501025</v>
      </c>
      <c r="J202" s="5">
        <v>-1.48121905501025</v>
      </c>
      <c r="K202" s="5">
        <v>-1.48121905501025</v>
      </c>
      <c r="L202" s="5">
        <v>-1.48121905501025</v>
      </c>
      <c r="M202" s="5">
        <v>-1.48121905501025</v>
      </c>
      <c r="N202" s="5">
        <v>0</v>
      </c>
      <c r="O202" s="5">
        <v>0</v>
      </c>
      <c r="P202" s="5">
        <v>0</v>
      </c>
    </row>
    <row r="203" spans="1:16" x14ac:dyDescent="0.2">
      <c r="A203" s="5">
        <v>201</v>
      </c>
      <c r="B203" s="6">
        <v>45286</v>
      </c>
      <c r="C203" s="5">
        <v>227.554375900721</v>
      </c>
      <c r="D203" s="5">
        <v>203.28573549487101</v>
      </c>
      <c r="E203" s="5">
        <v>254.402829050105</v>
      </c>
      <c r="F203" s="5">
        <v>227.554375900721</v>
      </c>
      <c r="G203" s="5">
        <v>227.554375900721</v>
      </c>
      <c r="H203" s="5">
        <v>0.50257879986782406</v>
      </c>
      <c r="I203" s="5">
        <v>0.50257879986782406</v>
      </c>
      <c r="J203" s="5">
        <v>0.50257879986782406</v>
      </c>
      <c r="K203" s="5">
        <v>0.50257879986782406</v>
      </c>
      <c r="L203" s="5">
        <v>0.50257879986782406</v>
      </c>
      <c r="M203" s="5">
        <v>0.50257879986782406</v>
      </c>
      <c r="N203" s="5">
        <v>0</v>
      </c>
      <c r="O203" s="5">
        <v>0</v>
      </c>
      <c r="P203" s="5">
        <v>0</v>
      </c>
    </row>
    <row r="204" spans="1:16" x14ac:dyDescent="0.2">
      <c r="A204" s="5">
        <v>202</v>
      </c>
      <c r="B204" s="6">
        <v>45287</v>
      </c>
      <c r="C204" s="5">
        <v>227.01832090814699</v>
      </c>
      <c r="D204" s="5">
        <v>202.50973381919201</v>
      </c>
      <c r="E204" s="5">
        <v>251.002384934828</v>
      </c>
      <c r="F204" s="5">
        <v>227.01832090814699</v>
      </c>
      <c r="G204" s="5">
        <v>227.01832090814699</v>
      </c>
      <c r="H204" s="5">
        <v>-0.35171639328365101</v>
      </c>
      <c r="I204" s="5">
        <v>-0.35171639328365101</v>
      </c>
      <c r="J204" s="5">
        <v>-0.35171639328365101</v>
      </c>
      <c r="K204" s="5">
        <v>-0.35171639328365101</v>
      </c>
      <c r="L204" s="5">
        <v>-0.35171639328365101</v>
      </c>
      <c r="M204" s="5">
        <v>-0.35171639328365101</v>
      </c>
      <c r="N204" s="5">
        <v>0</v>
      </c>
      <c r="O204" s="5">
        <v>0</v>
      </c>
      <c r="P204" s="5">
        <v>0</v>
      </c>
    </row>
    <row r="205" spans="1:16" x14ac:dyDescent="0.2">
      <c r="A205" s="5">
        <v>203</v>
      </c>
      <c r="B205" s="6">
        <v>45288</v>
      </c>
      <c r="C205" s="5">
        <v>226.48226591557301</v>
      </c>
      <c r="D205" s="5">
        <v>200.355685961885</v>
      </c>
      <c r="E205" s="5">
        <v>248.938867589343</v>
      </c>
      <c r="F205" s="5">
        <v>226.48226591557301</v>
      </c>
      <c r="G205" s="5">
        <v>226.48226591557301</v>
      </c>
      <c r="H205" s="5">
        <v>-1.38466158331586</v>
      </c>
      <c r="I205" s="5">
        <v>-1.38466158331586</v>
      </c>
      <c r="J205" s="5">
        <v>-1.38466158331586</v>
      </c>
      <c r="K205" s="5">
        <v>-1.38466158331586</v>
      </c>
      <c r="L205" s="5">
        <v>-1.38466158331586</v>
      </c>
      <c r="M205" s="5">
        <v>-1.38466158331586</v>
      </c>
      <c r="N205" s="5">
        <v>0</v>
      </c>
      <c r="O205" s="5">
        <v>0</v>
      </c>
      <c r="P205" s="5">
        <v>0</v>
      </c>
    </row>
    <row r="206" spans="1:16" x14ac:dyDescent="0.2">
      <c r="A206" s="5">
        <v>204</v>
      </c>
      <c r="B206" s="6">
        <v>45289</v>
      </c>
      <c r="C206" s="5">
        <v>225.946210922999</v>
      </c>
      <c r="D206" s="5">
        <v>200.13522839369301</v>
      </c>
      <c r="E206" s="5">
        <v>246.906445635002</v>
      </c>
      <c r="F206" s="5">
        <v>225.946210922999</v>
      </c>
      <c r="G206" s="5">
        <v>225.946210922999</v>
      </c>
      <c r="H206" s="5">
        <v>-1.4812190550008499</v>
      </c>
      <c r="I206" s="5">
        <v>-1.4812190550008499</v>
      </c>
      <c r="J206" s="5">
        <v>-1.4812190550008499</v>
      </c>
      <c r="K206" s="5">
        <v>-1.4812190550008499</v>
      </c>
      <c r="L206" s="5">
        <v>-1.4812190550008499</v>
      </c>
      <c r="M206" s="5">
        <v>-1.4812190550008499</v>
      </c>
      <c r="N206" s="5">
        <v>0</v>
      </c>
      <c r="O206" s="5">
        <v>0</v>
      </c>
      <c r="P206" s="5">
        <v>0</v>
      </c>
    </row>
    <row r="207" spans="1:16" x14ac:dyDescent="0.2">
      <c r="A207" s="5">
        <v>205</v>
      </c>
      <c r="B207" s="6">
        <v>45293</v>
      </c>
      <c r="C207" s="5">
        <v>223.80199095270299</v>
      </c>
      <c r="D207" s="5">
        <v>198.951894287388</v>
      </c>
      <c r="E207" s="5">
        <v>249.68868598724501</v>
      </c>
      <c r="F207" s="5">
        <v>223.80199095270299</v>
      </c>
      <c r="G207" s="5">
        <v>223.80199095270299</v>
      </c>
      <c r="H207" s="5">
        <v>0.50257879986120901</v>
      </c>
      <c r="I207" s="5">
        <v>0.50257879986120901</v>
      </c>
      <c r="J207" s="5">
        <v>0.50257879986120901</v>
      </c>
      <c r="K207" s="5">
        <v>0.50257879986120901</v>
      </c>
      <c r="L207" s="5">
        <v>0.50257879986120901</v>
      </c>
      <c r="M207" s="5">
        <v>0.50257879986120901</v>
      </c>
      <c r="N207" s="5">
        <v>0</v>
      </c>
      <c r="O207" s="5">
        <v>0</v>
      </c>
      <c r="P207" s="5">
        <v>0</v>
      </c>
    </row>
    <row r="208" spans="1:16" x14ac:dyDescent="0.2">
      <c r="A208" s="5">
        <v>206</v>
      </c>
      <c r="B208" s="6">
        <v>45294</v>
      </c>
      <c r="C208" s="5">
        <v>223.26593596012901</v>
      </c>
      <c r="D208" s="5">
        <v>197.93184277207399</v>
      </c>
      <c r="E208" s="5">
        <v>247.12003758442</v>
      </c>
      <c r="F208" s="5">
        <v>223.26593596012901</v>
      </c>
      <c r="G208" s="5">
        <v>223.26593596012901</v>
      </c>
      <c r="H208" s="5">
        <v>-0.35171639328636201</v>
      </c>
      <c r="I208" s="5">
        <v>-0.35171639328636201</v>
      </c>
      <c r="J208" s="5">
        <v>-0.35171639328636201</v>
      </c>
      <c r="K208" s="5">
        <v>-0.35171639328636201</v>
      </c>
      <c r="L208" s="5">
        <v>-0.35171639328636201</v>
      </c>
      <c r="M208" s="5">
        <v>-0.35171639328636201</v>
      </c>
      <c r="N208" s="5">
        <v>0</v>
      </c>
      <c r="O208" s="5">
        <v>0</v>
      </c>
      <c r="P208" s="5">
        <v>0</v>
      </c>
    </row>
    <row r="209" spans="1:16" x14ac:dyDescent="0.2">
      <c r="A209" s="5">
        <v>207</v>
      </c>
      <c r="B209" s="6">
        <v>45295</v>
      </c>
      <c r="C209" s="5">
        <v>222.72988096755401</v>
      </c>
      <c r="D209" s="5">
        <v>195.91301369758699</v>
      </c>
      <c r="E209" s="5">
        <v>246.23278529807899</v>
      </c>
      <c r="F209" s="5">
        <v>222.72988096755401</v>
      </c>
      <c r="G209" s="5">
        <v>222.72988096755401</v>
      </c>
      <c r="H209" s="5">
        <v>-1.38466158331828</v>
      </c>
      <c r="I209" s="5">
        <v>-1.38466158331828</v>
      </c>
      <c r="J209" s="5">
        <v>-1.38466158331828</v>
      </c>
      <c r="K209" s="5">
        <v>-1.38466158331828</v>
      </c>
      <c r="L209" s="5">
        <v>-1.38466158331828</v>
      </c>
      <c r="M209" s="5">
        <v>-1.38466158331828</v>
      </c>
      <c r="N209" s="5">
        <v>0</v>
      </c>
      <c r="O209" s="5">
        <v>0</v>
      </c>
      <c r="P209" s="5">
        <v>0</v>
      </c>
    </row>
    <row r="210" spans="1:16" x14ac:dyDescent="0.2">
      <c r="A210" s="5">
        <v>208</v>
      </c>
      <c r="B210" s="6">
        <v>45296</v>
      </c>
      <c r="C210" s="5">
        <v>222.19382597498</v>
      </c>
      <c r="D210" s="5">
        <v>197.179068192937</v>
      </c>
      <c r="E210" s="5">
        <v>244.215229420952</v>
      </c>
      <c r="F210" s="5">
        <v>222.19382597498</v>
      </c>
      <c r="G210" s="5">
        <v>222.19382597498</v>
      </c>
      <c r="H210" s="5">
        <v>-1.4812190550048401</v>
      </c>
      <c r="I210" s="5">
        <v>-1.4812190550048401</v>
      </c>
      <c r="J210" s="5">
        <v>-1.4812190550048401</v>
      </c>
      <c r="K210" s="5">
        <v>-1.4812190550048401</v>
      </c>
      <c r="L210" s="5">
        <v>-1.4812190550048401</v>
      </c>
      <c r="M210" s="5">
        <v>-1.4812190550048401</v>
      </c>
      <c r="N210" s="5">
        <v>0</v>
      </c>
      <c r="O210" s="5">
        <v>0</v>
      </c>
      <c r="P210" s="5">
        <v>0</v>
      </c>
    </row>
    <row r="211" spans="1:16" x14ac:dyDescent="0.2">
      <c r="A211" s="5">
        <v>209</v>
      </c>
      <c r="B211" s="6">
        <v>45299</v>
      </c>
      <c r="C211" s="5">
        <v>220.585660997258</v>
      </c>
      <c r="D211" s="5">
        <v>194.11784177197401</v>
      </c>
      <c r="E211" s="5">
        <v>242.31446608600999</v>
      </c>
      <c r="F211" s="5">
        <v>220.585660997258</v>
      </c>
      <c r="G211" s="5">
        <v>220.585660997258</v>
      </c>
      <c r="H211" s="5">
        <v>-1.8234865982525299</v>
      </c>
      <c r="I211" s="5">
        <v>-1.8234865982525299</v>
      </c>
      <c r="J211" s="5">
        <v>-1.8234865982525299</v>
      </c>
      <c r="K211" s="5">
        <v>-1.8234865982525299</v>
      </c>
      <c r="L211" s="5">
        <v>-1.8234865982525299</v>
      </c>
      <c r="M211" s="5">
        <v>-1.8234865982525299</v>
      </c>
      <c r="N211" s="5">
        <v>0</v>
      </c>
      <c r="O211" s="5">
        <v>0</v>
      </c>
      <c r="P211" s="5">
        <v>0</v>
      </c>
    </row>
    <row r="212" spans="1:16" x14ac:dyDescent="0.2">
      <c r="A212" s="5">
        <v>210</v>
      </c>
      <c r="B212" s="6">
        <v>45300</v>
      </c>
      <c r="C212" s="5">
        <v>220.04960600468399</v>
      </c>
      <c r="D212" s="5">
        <v>196.693140080577</v>
      </c>
      <c r="E212" s="5">
        <v>244.45774443512499</v>
      </c>
      <c r="F212" s="5">
        <v>220.04960600468399</v>
      </c>
      <c r="G212" s="5">
        <v>220.04960600468399</v>
      </c>
      <c r="H212" s="5">
        <v>0.50257879986276999</v>
      </c>
      <c r="I212" s="5">
        <v>0.50257879986276999</v>
      </c>
      <c r="J212" s="5">
        <v>0.50257879986276999</v>
      </c>
      <c r="K212" s="5">
        <v>0.50257879986276999</v>
      </c>
      <c r="L212" s="5">
        <v>0.50257879986276999</v>
      </c>
      <c r="M212" s="5">
        <v>0.50257879986276999</v>
      </c>
      <c r="N212" s="5">
        <v>0</v>
      </c>
      <c r="O212" s="5">
        <v>0</v>
      </c>
      <c r="P212" s="5">
        <v>0</v>
      </c>
    </row>
    <row r="213" spans="1:16" x14ac:dyDescent="0.2">
      <c r="A213" s="5">
        <v>211</v>
      </c>
      <c r="B213" s="6">
        <v>45301</v>
      </c>
      <c r="C213" s="5">
        <v>219.51355101211001</v>
      </c>
      <c r="D213" s="5">
        <v>195.348231522231</v>
      </c>
      <c r="E213" s="5">
        <v>241.79237639144301</v>
      </c>
      <c r="F213" s="5">
        <v>219.51355101211001</v>
      </c>
      <c r="G213" s="5">
        <v>219.51355101211001</v>
      </c>
      <c r="H213" s="5">
        <v>-0.35171639328455501</v>
      </c>
      <c r="I213" s="5">
        <v>-0.35171639328455501</v>
      </c>
      <c r="J213" s="5">
        <v>-0.35171639328455501</v>
      </c>
      <c r="K213" s="5">
        <v>-0.35171639328455501</v>
      </c>
      <c r="L213" s="5">
        <v>-0.35171639328455501</v>
      </c>
      <c r="M213" s="5">
        <v>-0.35171639328455501</v>
      </c>
      <c r="N213" s="5">
        <v>0</v>
      </c>
      <c r="O213" s="5">
        <v>0</v>
      </c>
      <c r="P213" s="5">
        <v>0</v>
      </c>
    </row>
    <row r="214" spans="1:16" x14ac:dyDescent="0.2">
      <c r="A214" s="5">
        <v>212</v>
      </c>
      <c r="B214" s="6">
        <v>45302</v>
      </c>
      <c r="C214" s="5">
        <v>218.97749601953601</v>
      </c>
      <c r="D214" s="5">
        <v>195.21684122090099</v>
      </c>
      <c r="E214" s="5">
        <v>243.200642399629</v>
      </c>
      <c r="F214" s="5">
        <v>218.97749601953601</v>
      </c>
      <c r="G214" s="5">
        <v>218.97749601953601</v>
      </c>
      <c r="H214" s="5">
        <v>-1.3846615833163001</v>
      </c>
      <c r="I214" s="5">
        <v>-1.3846615833163001</v>
      </c>
      <c r="J214" s="5">
        <v>-1.3846615833163001</v>
      </c>
      <c r="K214" s="5">
        <v>-1.3846615833163001</v>
      </c>
      <c r="L214" s="5">
        <v>-1.3846615833163001</v>
      </c>
      <c r="M214" s="5">
        <v>-1.3846615833163001</v>
      </c>
      <c r="N214" s="5">
        <v>0</v>
      </c>
      <c r="O214" s="5">
        <v>0</v>
      </c>
      <c r="P214" s="5">
        <v>0</v>
      </c>
    </row>
    <row r="215" spans="1:16" x14ac:dyDescent="0.2">
      <c r="A215" s="5">
        <v>213</v>
      </c>
      <c r="B215" s="6">
        <v>45303</v>
      </c>
      <c r="C215" s="5">
        <v>218.441441026962</v>
      </c>
      <c r="D215" s="5">
        <v>194.49228742721101</v>
      </c>
      <c r="E215" s="5">
        <v>241.75333527937099</v>
      </c>
      <c r="F215" s="5">
        <v>218.441441026962</v>
      </c>
      <c r="G215" s="5">
        <v>218.441441026962</v>
      </c>
      <c r="H215" s="5">
        <v>-1.4812190550067901</v>
      </c>
      <c r="I215" s="5">
        <v>-1.4812190550067901</v>
      </c>
      <c r="J215" s="5">
        <v>-1.4812190550067901</v>
      </c>
      <c r="K215" s="5">
        <v>-1.4812190550067901</v>
      </c>
      <c r="L215" s="5">
        <v>-1.4812190550067901</v>
      </c>
      <c r="M215" s="5">
        <v>-1.4812190550067901</v>
      </c>
      <c r="N215" s="5">
        <v>0</v>
      </c>
      <c r="O215" s="5">
        <v>0</v>
      </c>
      <c r="P215" s="5">
        <v>0</v>
      </c>
    </row>
    <row r="216" spans="1:16" x14ac:dyDescent="0.2">
      <c r="A216" s="5">
        <v>214</v>
      </c>
      <c r="B216" s="6">
        <v>45307</v>
      </c>
      <c r="C216" s="5">
        <v>216.29722105666499</v>
      </c>
      <c r="D216" s="5">
        <v>191.73207740940799</v>
      </c>
      <c r="E216" s="5">
        <v>241.80273749140201</v>
      </c>
      <c r="F216" s="5">
        <v>216.29722105666499</v>
      </c>
      <c r="G216" s="5">
        <v>216.29722105666499</v>
      </c>
      <c r="H216" s="5">
        <v>0.50257879986432996</v>
      </c>
      <c r="I216" s="5">
        <v>0.50257879986432996</v>
      </c>
      <c r="J216" s="5">
        <v>0.50257879986432996</v>
      </c>
      <c r="K216" s="5">
        <v>0.50257879986432996</v>
      </c>
      <c r="L216" s="5">
        <v>0.50257879986432996</v>
      </c>
      <c r="M216" s="5">
        <v>0.50257879986432996</v>
      </c>
      <c r="N216" s="5">
        <v>0</v>
      </c>
      <c r="O216" s="5">
        <v>0</v>
      </c>
      <c r="P216" s="5">
        <v>0</v>
      </c>
    </row>
    <row r="217" spans="1:16" x14ac:dyDescent="0.2">
      <c r="A217" s="5">
        <v>215</v>
      </c>
      <c r="B217" s="6">
        <v>45308</v>
      </c>
      <c r="C217" s="5">
        <v>215.76116606409099</v>
      </c>
      <c r="D217" s="5">
        <v>190.89977682463601</v>
      </c>
      <c r="E217" s="5">
        <v>238.51964258004199</v>
      </c>
      <c r="F217" s="5">
        <v>215.76116606409099</v>
      </c>
      <c r="G217" s="5">
        <v>215.76116606409099</v>
      </c>
      <c r="H217" s="5">
        <v>-0.351716393287266</v>
      </c>
      <c r="I217" s="5">
        <v>-0.351716393287266</v>
      </c>
      <c r="J217" s="5">
        <v>-0.351716393287266</v>
      </c>
      <c r="K217" s="5">
        <v>-0.351716393287266</v>
      </c>
      <c r="L217" s="5">
        <v>-0.351716393287266</v>
      </c>
      <c r="M217" s="5">
        <v>-0.351716393287266</v>
      </c>
      <c r="N217" s="5">
        <v>0</v>
      </c>
      <c r="O217" s="5">
        <v>0</v>
      </c>
      <c r="P217" s="5">
        <v>0</v>
      </c>
    </row>
    <row r="218" spans="1:16" x14ac:dyDescent="0.2">
      <c r="A218" s="5">
        <v>216</v>
      </c>
      <c r="B218" s="6">
        <v>45309</v>
      </c>
      <c r="C218" s="5">
        <v>215.22511107151701</v>
      </c>
      <c r="D218" s="5">
        <v>190.28105725305801</v>
      </c>
      <c r="E218" s="5">
        <v>237.630487540096</v>
      </c>
      <c r="F218" s="5">
        <v>215.22511107151701</v>
      </c>
      <c r="G218" s="5">
        <v>215.22511107151701</v>
      </c>
      <c r="H218" s="5">
        <v>-1.3846615833187199</v>
      </c>
      <c r="I218" s="5">
        <v>-1.3846615833187199</v>
      </c>
      <c r="J218" s="5">
        <v>-1.3846615833187199</v>
      </c>
      <c r="K218" s="5">
        <v>-1.3846615833187199</v>
      </c>
      <c r="L218" s="5">
        <v>-1.3846615833187199</v>
      </c>
      <c r="M218" s="5">
        <v>-1.3846615833187199</v>
      </c>
      <c r="N218" s="5">
        <v>0</v>
      </c>
      <c r="O218" s="5">
        <v>0</v>
      </c>
      <c r="P218" s="5">
        <v>0</v>
      </c>
    </row>
    <row r="219" spans="1:16" x14ac:dyDescent="0.2">
      <c r="A219" s="5">
        <v>217</v>
      </c>
      <c r="B219" s="6">
        <v>45310</v>
      </c>
      <c r="C219" s="5">
        <v>214.689056078943</v>
      </c>
      <c r="D219" s="5">
        <v>189.34123459833901</v>
      </c>
      <c r="E219" s="5">
        <v>236.39408736021099</v>
      </c>
      <c r="F219" s="5">
        <v>214.689056078943</v>
      </c>
      <c r="G219" s="5">
        <v>214.689056078943</v>
      </c>
      <c r="H219" s="5">
        <v>-1.4812190550087501</v>
      </c>
      <c r="I219" s="5">
        <v>-1.4812190550087501</v>
      </c>
      <c r="J219" s="5">
        <v>-1.4812190550087501</v>
      </c>
      <c r="K219" s="5">
        <v>-1.4812190550087501</v>
      </c>
      <c r="L219" s="5">
        <v>-1.4812190550087501</v>
      </c>
      <c r="M219" s="5">
        <v>-1.4812190550087501</v>
      </c>
      <c r="N219" s="5">
        <v>0</v>
      </c>
      <c r="O219" s="5">
        <v>0</v>
      </c>
      <c r="P219" s="5">
        <v>0</v>
      </c>
    </row>
    <row r="220" spans="1:16" x14ac:dyDescent="0.2">
      <c r="A220" s="5">
        <v>218</v>
      </c>
      <c r="B220" s="6">
        <v>45313</v>
      </c>
      <c r="C220" s="5">
        <v>213.080891101221</v>
      </c>
      <c r="D220" s="5">
        <v>184.72946986129199</v>
      </c>
      <c r="E220" s="5">
        <v>235.58864790381901</v>
      </c>
      <c r="F220" s="5">
        <v>213.080891101221</v>
      </c>
      <c r="G220" s="5">
        <v>213.080891101221</v>
      </c>
      <c r="H220" s="5">
        <v>-1.8234865982558</v>
      </c>
      <c r="I220" s="5">
        <v>-1.8234865982558</v>
      </c>
      <c r="J220" s="5">
        <v>-1.8234865982558</v>
      </c>
      <c r="K220" s="5">
        <v>-1.8234865982558</v>
      </c>
      <c r="L220" s="5">
        <v>-1.8234865982558</v>
      </c>
      <c r="M220" s="5">
        <v>-1.8234865982558</v>
      </c>
      <c r="N220" s="5">
        <v>0</v>
      </c>
      <c r="O220" s="5">
        <v>0</v>
      </c>
      <c r="P220" s="5">
        <v>0</v>
      </c>
    </row>
    <row r="221" spans="1:16" x14ac:dyDescent="0.2">
      <c r="A221" s="5">
        <v>219</v>
      </c>
      <c r="B221" s="6">
        <v>45314</v>
      </c>
      <c r="C221" s="5">
        <v>212.54483610864699</v>
      </c>
      <c r="D221" s="5">
        <v>186.99512896779501</v>
      </c>
      <c r="E221" s="5">
        <v>236.267998842884</v>
      </c>
      <c r="F221" s="5">
        <v>212.54483610864699</v>
      </c>
      <c r="G221" s="5">
        <v>212.54483610864699</v>
      </c>
      <c r="H221" s="5">
        <v>0.50257879986555598</v>
      </c>
      <c r="I221" s="5">
        <v>0.50257879986555598</v>
      </c>
      <c r="J221" s="5">
        <v>0.50257879986555598</v>
      </c>
      <c r="K221" s="5">
        <v>0.50257879986555598</v>
      </c>
      <c r="L221" s="5">
        <v>0.50257879986555598</v>
      </c>
      <c r="M221" s="5">
        <v>0.50257879986555598</v>
      </c>
      <c r="N221" s="5">
        <v>0</v>
      </c>
      <c r="O221" s="5">
        <v>0</v>
      </c>
      <c r="P221" s="5">
        <v>0</v>
      </c>
    </row>
    <row r="222" spans="1:16" x14ac:dyDescent="0.2">
      <c r="A222" s="5">
        <v>220</v>
      </c>
      <c r="B222" s="6">
        <v>45315</v>
      </c>
      <c r="C222" s="5">
        <v>212.00878111607301</v>
      </c>
      <c r="D222" s="5">
        <v>187.414948439667</v>
      </c>
      <c r="E222" s="5">
        <v>237.10033186660499</v>
      </c>
      <c r="F222" s="5">
        <v>212.00878111607301</v>
      </c>
      <c r="G222" s="5">
        <v>212.00878111607301</v>
      </c>
      <c r="H222" s="5">
        <v>-0.35171639328239701</v>
      </c>
      <c r="I222" s="5">
        <v>-0.35171639328239701</v>
      </c>
      <c r="J222" s="5">
        <v>-0.35171639328239701</v>
      </c>
      <c r="K222" s="5">
        <v>-0.35171639328239701</v>
      </c>
      <c r="L222" s="5">
        <v>-0.35171639328239701</v>
      </c>
      <c r="M222" s="5">
        <v>-0.35171639328239701</v>
      </c>
      <c r="N222" s="5">
        <v>0</v>
      </c>
      <c r="O222" s="5">
        <v>0</v>
      </c>
      <c r="P222" s="5">
        <v>0</v>
      </c>
    </row>
    <row r="223" spans="1:16" x14ac:dyDescent="0.2">
      <c r="A223" s="5">
        <v>221</v>
      </c>
      <c r="B223" s="6">
        <v>45316</v>
      </c>
      <c r="C223" s="5">
        <v>211.472726123499</v>
      </c>
      <c r="D223" s="5">
        <v>184.39938740945701</v>
      </c>
      <c r="E223" s="5">
        <v>232.63938771018101</v>
      </c>
      <c r="F223" s="5">
        <v>211.472726123499</v>
      </c>
      <c r="G223" s="5">
        <v>211.472726123499</v>
      </c>
      <c r="H223" s="5">
        <v>-1.3846615833167399</v>
      </c>
      <c r="I223" s="5">
        <v>-1.3846615833167399</v>
      </c>
      <c r="J223" s="5">
        <v>-1.3846615833167399</v>
      </c>
      <c r="K223" s="5">
        <v>-1.3846615833167399</v>
      </c>
      <c r="L223" s="5">
        <v>-1.3846615833167399</v>
      </c>
      <c r="M223" s="5">
        <v>-1.3846615833167399</v>
      </c>
      <c r="N223" s="5">
        <v>0</v>
      </c>
      <c r="O223" s="5">
        <v>0</v>
      </c>
      <c r="P223" s="5">
        <v>0</v>
      </c>
    </row>
    <row r="224" spans="1:16" x14ac:dyDescent="0.2">
      <c r="A224" s="5">
        <v>222</v>
      </c>
      <c r="B224" s="6">
        <v>45317</v>
      </c>
      <c r="C224" s="5">
        <v>210.936671130924</v>
      </c>
      <c r="D224" s="5">
        <v>184.76495258567201</v>
      </c>
      <c r="E224" s="5">
        <v>234.856631566098</v>
      </c>
      <c r="F224" s="5">
        <v>210.936671130924</v>
      </c>
      <c r="G224" s="5">
        <v>210.936671130924</v>
      </c>
      <c r="H224" s="5">
        <v>-1.4812190550050199</v>
      </c>
      <c r="I224" s="5">
        <v>-1.4812190550050199</v>
      </c>
      <c r="J224" s="5">
        <v>-1.4812190550050199</v>
      </c>
      <c r="K224" s="5">
        <v>-1.4812190550050199</v>
      </c>
      <c r="L224" s="5">
        <v>-1.4812190550050199</v>
      </c>
      <c r="M224" s="5">
        <v>-1.4812190550050199</v>
      </c>
      <c r="N224" s="5">
        <v>0</v>
      </c>
      <c r="O224" s="5">
        <v>0</v>
      </c>
      <c r="P224" s="5">
        <v>0</v>
      </c>
    </row>
    <row r="225" spans="1:16" x14ac:dyDescent="0.2">
      <c r="A225" s="5">
        <v>223</v>
      </c>
      <c r="B225" s="6">
        <v>45320</v>
      </c>
      <c r="C225" s="5">
        <v>209.328506153202</v>
      </c>
      <c r="D225" s="5">
        <v>184.71183703601901</v>
      </c>
      <c r="E225" s="5">
        <v>230.908112180974</v>
      </c>
      <c r="F225" s="5">
        <v>209.328506153202</v>
      </c>
      <c r="G225" s="5">
        <v>209.328506153202</v>
      </c>
      <c r="H225" s="5">
        <v>-1.8234865982520101</v>
      </c>
      <c r="I225" s="5">
        <v>-1.8234865982520101</v>
      </c>
      <c r="J225" s="5">
        <v>-1.8234865982520101</v>
      </c>
      <c r="K225" s="5">
        <v>-1.8234865982520101</v>
      </c>
      <c r="L225" s="5">
        <v>-1.8234865982520101</v>
      </c>
      <c r="M225" s="5">
        <v>-1.8234865982520101</v>
      </c>
      <c r="N225" s="5">
        <v>0</v>
      </c>
      <c r="O225" s="5">
        <v>0</v>
      </c>
      <c r="P225" s="5">
        <v>0</v>
      </c>
    </row>
    <row r="226" spans="1:16" x14ac:dyDescent="0.2">
      <c r="A226" s="5">
        <v>224</v>
      </c>
      <c r="B226" s="6">
        <v>45321</v>
      </c>
      <c r="C226" s="5">
        <v>208.79245116062799</v>
      </c>
      <c r="D226" s="5">
        <v>186.49312035667299</v>
      </c>
      <c r="E226" s="5">
        <v>234.911241233363</v>
      </c>
      <c r="F226" s="5">
        <v>208.79245116062799</v>
      </c>
      <c r="G226" s="5">
        <v>208.79245116062799</v>
      </c>
      <c r="H226" s="5">
        <v>0.502578799866782</v>
      </c>
      <c r="I226" s="5">
        <v>0.502578799866782</v>
      </c>
      <c r="J226" s="5">
        <v>0.502578799866782</v>
      </c>
      <c r="K226" s="5">
        <v>0.502578799866782</v>
      </c>
      <c r="L226" s="5">
        <v>0.502578799866782</v>
      </c>
      <c r="M226" s="5">
        <v>0.502578799866782</v>
      </c>
      <c r="N226" s="5">
        <v>0</v>
      </c>
      <c r="O226" s="5">
        <v>0</v>
      </c>
      <c r="P226" s="5">
        <v>0</v>
      </c>
    </row>
    <row r="227" spans="1:16" x14ac:dyDescent="0.2">
      <c r="A227" s="5">
        <v>225</v>
      </c>
      <c r="B227" s="6">
        <v>45322</v>
      </c>
      <c r="C227" s="5">
        <v>208.25639616805401</v>
      </c>
      <c r="D227" s="5">
        <v>182.88428403697199</v>
      </c>
      <c r="E227" s="5">
        <v>230.55789723722401</v>
      </c>
      <c r="F227" s="5">
        <v>208.25639616805401</v>
      </c>
      <c r="G227" s="5">
        <v>208.25639616805401</v>
      </c>
      <c r="H227" s="5">
        <v>-0.35171639328284898</v>
      </c>
      <c r="I227" s="5">
        <v>-0.35171639328284898</v>
      </c>
      <c r="J227" s="5">
        <v>-0.35171639328284898</v>
      </c>
      <c r="K227" s="5">
        <v>-0.35171639328284898</v>
      </c>
      <c r="L227" s="5">
        <v>-0.35171639328284898</v>
      </c>
      <c r="M227" s="5">
        <v>-0.35171639328284898</v>
      </c>
      <c r="N227" s="5">
        <v>0</v>
      </c>
      <c r="O227" s="5">
        <v>0</v>
      </c>
      <c r="P227" s="5">
        <v>0</v>
      </c>
    </row>
    <row r="228" spans="1:16" x14ac:dyDescent="0.2">
      <c r="A228" s="5">
        <v>226</v>
      </c>
      <c r="B228" s="6">
        <v>45323</v>
      </c>
      <c r="C228" s="5">
        <v>207.72034117548</v>
      </c>
      <c r="D228" s="5">
        <v>180.97354393968101</v>
      </c>
      <c r="E228" s="5">
        <v>230.801048886872</v>
      </c>
      <c r="F228" s="5">
        <v>207.72034117548</v>
      </c>
      <c r="G228" s="5">
        <v>207.72034117548</v>
      </c>
      <c r="H228" s="5">
        <v>-1.3846615833201501</v>
      </c>
      <c r="I228" s="5">
        <v>-1.3846615833201501</v>
      </c>
      <c r="J228" s="5">
        <v>-1.3846615833201501</v>
      </c>
      <c r="K228" s="5">
        <v>-1.3846615833201501</v>
      </c>
      <c r="L228" s="5">
        <v>-1.3846615833201501</v>
      </c>
      <c r="M228" s="5">
        <v>-1.3846615833201501</v>
      </c>
      <c r="N228" s="5">
        <v>0</v>
      </c>
      <c r="O228" s="5">
        <v>0</v>
      </c>
      <c r="P228" s="5">
        <v>0</v>
      </c>
    </row>
    <row r="229" spans="1:16" x14ac:dyDescent="0.2">
      <c r="A229" s="5">
        <v>227</v>
      </c>
      <c r="B229" s="6">
        <v>45324</v>
      </c>
      <c r="C229" s="5">
        <v>207.18428618290599</v>
      </c>
      <c r="D229" s="5">
        <v>181.710690030839</v>
      </c>
      <c r="E229" s="5">
        <v>230.266371882302</v>
      </c>
      <c r="F229" s="5">
        <v>207.18428618290599</v>
      </c>
      <c r="G229" s="5">
        <v>207.18428618290599</v>
      </c>
      <c r="H229" s="5">
        <v>-1.4812190550013</v>
      </c>
      <c r="I229" s="5">
        <v>-1.4812190550013</v>
      </c>
      <c r="J229" s="5">
        <v>-1.4812190550013</v>
      </c>
      <c r="K229" s="5">
        <v>-1.4812190550013</v>
      </c>
      <c r="L229" s="5">
        <v>-1.4812190550013</v>
      </c>
      <c r="M229" s="5">
        <v>-1.4812190550013</v>
      </c>
      <c r="N229" s="5">
        <v>0</v>
      </c>
      <c r="O229" s="5">
        <v>0</v>
      </c>
      <c r="P229" s="5">
        <v>0</v>
      </c>
    </row>
    <row r="230" spans="1:16" x14ac:dyDescent="0.2">
      <c r="A230" s="5">
        <v>228</v>
      </c>
      <c r="B230" s="6">
        <v>45327</v>
      </c>
      <c r="C230" s="5">
        <v>205.57612120518399</v>
      </c>
      <c r="D230" s="5">
        <v>180.18832461099399</v>
      </c>
      <c r="E230" s="5">
        <v>229.63908644014001</v>
      </c>
      <c r="F230" s="5">
        <v>205.57612120518399</v>
      </c>
      <c r="G230" s="5">
        <v>205.57612120518399</v>
      </c>
      <c r="H230" s="5">
        <v>-1.82348659825079</v>
      </c>
      <c r="I230" s="5">
        <v>-1.82348659825079</v>
      </c>
      <c r="J230" s="5">
        <v>-1.82348659825079</v>
      </c>
      <c r="K230" s="5">
        <v>-1.82348659825079</v>
      </c>
      <c r="L230" s="5">
        <v>-1.82348659825079</v>
      </c>
      <c r="M230" s="5">
        <v>-1.82348659825079</v>
      </c>
      <c r="N230" s="5">
        <v>0</v>
      </c>
      <c r="O230" s="5">
        <v>0</v>
      </c>
      <c r="P230" s="5">
        <v>0</v>
      </c>
    </row>
    <row r="231" spans="1:16" x14ac:dyDescent="0.2">
      <c r="A231" s="5">
        <v>229</v>
      </c>
      <c r="B231" s="6">
        <v>45328</v>
      </c>
      <c r="C231" s="5">
        <v>205.04006621260899</v>
      </c>
      <c r="D231" s="5">
        <v>181.743360290553</v>
      </c>
      <c r="E231" s="5">
        <v>229.95983165754399</v>
      </c>
      <c r="F231" s="5">
        <v>205.04006621260899</v>
      </c>
      <c r="G231" s="5">
        <v>205.04006621260899</v>
      </c>
      <c r="H231" s="5">
        <v>0.50257879986834297</v>
      </c>
      <c r="I231" s="5">
        <v>0.50257879986834297</v>
      </c>
      <c r="J231" s="5">
        <v>0.50257879986834297</v>
      </c>
      <c r="K231" s="5">
        <v>0.50257879986834297</v>
      </c>
      <c r="L231" s="5">
        <v>0.50257879986834297</v>
      </c>
      <c r="M231" s="5">
        <v>0.50257879986834297</v>
      </c>
      <c r="N231" s="5">
        <v>0</v>
      </c>
      <c r="O231" s="5">
        <v>0</v>
      </c>
      <c r="P231" s="5">
        <v>0</v>
      </c>
    </row>
    <row r="232" spans="1:16" x14ac:dyDescent="0.2">
      <c r="A232" s="5">
        <v>230</v>
      </c>
      <c r="B232" s="6">
        <v>45329</v>
      </c>
      <c r="C232" s="5">
        <v>204.50401122003501</v>
      </c>
      <c r="D232" s="5">
        <v>178.960091418736</v>
      </c>
      <c r="E232" s="5">
        <v>226.250962480749</v>
      </c>
      <c r="F232" s="5">
        <v>204.50401122003501</v>
      </c>
      <c r="G232" s="5">
        <v>204.50401122003501</v>
      </c>
      <c r="H232" s="5">
        <v>-0.35171639328330101</v>
      </c>
      <c r="I232" s="5">
        <v>-0.35171639328330101</v>
      </c>
      <c r="J232" s="5">
        <v>-0.35171639328330101</v>
      </c>
      <c r="K232" s="5">
        <v>-0.35171639328330101</v>
      </c>
      <c r="L232" s="5">
        <v>-0.35171639328330101</v>
      </c>
      <c r="M232" s="5">
        <v>-0.35171639328330101</v>
      </c>
      <c r="N232" s="5">
        <v>0</v>
      </c>
      <c r="O232" s="5">
        <v>0</v>
      </c>
      <c r="P232" s="5">
        <v>0</v>
      </c>
    </row>
    <row r="233" spans="1:16" x14ac:dyDescent="0.2">
      <c r="A233" s="5">
        <v>231</v>
      </c>
      <c r="B233" s="6">
        <v>45330</v>
      </c>
      <c r="C233" s="5">
        <v>203.967956227461</v>
      </c>
      <c r="D233" s="5">
        <v>178.943979764029</v>
      </c>
      <c r="E233" s="5">
        <v>227.274566904978</v>
      </c>
      <c r="F233" s="5">
        <v>203.967956227461</v>
      </c>
      <c r="G233" s="5">
        <v>203.967956227461</v>
      </c>
      <c r="H233" s="5">
        <v>-1.3846615833181699</v>
      </c>
      <c r="I233" s="5">
        <v>-1.3846615833181699</v>
      </c>
      <c r="J233" s="5">
        <v>-1.3846615833181699</v>
      </c>
      <c r="K233" s="5">
        <v>-1.3846615833181699</v>
      </c>
      <c r="L233" s="5">
        <v>-1.3846615833181699</v>
      </c>
      <c r="M233" s="5">
        <v>-1.3846615833181699</v>
      </c>
      <c r="N233" s="5">
        <v>0</v>
      </c>
      <c r="O233" s="5">
        <v>0</v>
      </c>
      <c r="P233" s="5">
        <v>0</v>
      </c>
    </row>
    <row r="234" spans="1:16" x14ac:dyDescent="0.2">
      <c r="A234" s="5">
        <v>232</v>
      </c>
      <c r="B234" s="6">
        <v>45331</v>
      </c>
      <c r="C234" s="5">
        <v>203.43190123488699</v>
      </c>
      <c r="D234" s="5">
        <v>177.72116117030001</v>
      </c>
      <c r="E234" s="5">
        <v>225.136163334044</v>
      </c>
      <c r="F234" s="5">
        <v>203.43190123488699</v>
      </c>
      <c r="G234" s="5">
        <v>203.43190123488699</v>
      </c>
      <c r="H234" s="5">
        <v>-1.4812190550109701</v>
      </c>
      <c r="I234" s="5">
        <v>-1.4812190550109701</v>
      </c>
      <c r="J234" s="5">
        <v>-1.4812190550109701</v>
      </c>
      <c r="K234" s="5">
        <v>-1.4812190550109701</v>
      </c>
      <c r="L234" s="5">
        <v>-1.4812190550109701</v>
      </c>
      <c r="M234" s="5">
        <v>-1.4812190550109701</v>
      </c>
      <c r="N234" s="5">
        <v>0</v>
      </c>
      <c r="O234" s="5">
        <v>0</v>
      </c>
      <c r="P234" s="5">
        <v>0</v>
      </c>
    </row>
    <row r="235" spans="1:16" x14ac:dyDescent="0.2">
      <c r="A235" s="5">
        <v>233</v>
      </c>
      <c r="B235" s="6">
        <v>45334</v>
      </c>
      <c r="C235" s="5">
        <v>201.823736257165</v>
      </c>
      <c r="D235" s="5">
        <v>176.172461402647</v>
      </c>
      <c r="E235" s="5">
        <v>225.44443315888401</v>
      </c>
      <c r="F235" s="5">
        <v>201.823736257165</v>
      </c>
      <c r="G235" s="5">
        <v>201.823736257165</v>
      </c>
      <c r="H235" s="5">
        <v>-1.8234865982552799</v>
      </c>
      <c r="I235" s="5">
        <v>-1.8234865982552799</v>
      </c>
      <c r="J235" s="5">
        <v>-1.8234865982552799</v>
      </c>
      <c r="K235" s="5">
        <v>-1.8234865982552799</v>
      </c>
      <c r="L235" s="5">
        <v>-1.8234865982552799</v>
      </c>
      <c r="M235" s="5">
        <v>-1.8234865982552799</v>
      </c>
      <c r="N235" s="5">
        <v>0</v>
      </c>
      <c r="O235" s="5">
        <v>0</v>
      </c>
      <c r="P235" s="5">
        <v>0</v>
      </c>
    </row>
    <row r="236" spans="1:16" x14ac:dyDescent="0.2">
      <c r="A236" s="5">
        <v>234</v>
      </c>
      <c r="B236" s="6">
        <v>45335</v>
      </c>
      <c r="C236" s="5">
        <v>201.28768126459099</v>
      </c>
      <c r="D236" s="5">
        <v>177.57027376193301</v>
      </c>
      <c r="E236" s="5">
        <v>226.937679996112</v>
      </c>
      <c r="F236" s="5">
        <v>201.28768126459099</v>
      </c>
      <c r="G236" s="5">
        <v>201.28768126459099</v>
      </c>
      <c r="H236" s="5">
        <v>0.50257879986990395</v>
      </c>
      <c r="I236" s="5">
        <v>0.50257879986990395</v>
      </c>
      <c r="J236" s="5">
        <v>0.50257879986990395</v>
      </c>
      <c r="K236" s="5">
        <v>0.50257879986990395</v>
      </c>
      <c r="L236" s="5">
        <v>0.50257879986990395</v>
      </c>
      <c r="M236" s="5">
        <v>0.50257879986990395</v>
      </c>
      <c r="N236" s="5">
        <v>0</v>
      </c>
      <c r="O236" s="5">
        <v>0</v>
      </c>
      <c r="P236" s="5">
        <v>0</v>
      </c>
    </row>
    <row r="237" spans="1:16" x14ac:dyDescent="0.2">
      <c r="A237" s="5">
        <v>235</v>
      </c>
      <c r="B237" s="6">
        <v>45336</v>
      </c>
      <c r="C237" s="5">
        <v>200.75162627201701</v>
      </c>
      <c r="D237" s="5">
        <v>176.97863358337801</v>
      </c>
      <c r="E237" s="5">
        <v>227.68899230093101</v>
      </c>
      <c r="F237" s="5">
        <v>200.75162627201701</v>
      </c>
      <c r="G237" s="5">
        <v>200.75162627201701</v>
      </c>
      <c r="H237" s="5">
        <v>-0.35171639328601201</v>
      </c>
      <c r="I237" s="5">
        <v>-0.35171639328601201</v>
      </c>
      <c r="J237" s="5">
        <v>-0.35171639328601201</v>
      </c>
      <c r="K237" s="5">
        <v>-0.35171639328601201</v>
      </c>
      <c r="L237" s="5">
        <v>-0.35171639328601201</v>
      </c>
      <c r="M237" s="5">
        <v>-0.35171639328601201</v>
      </c>
      <c r="N237" s="5">
        <v>0</v>
      </c>
      <c r="O237" s="5">
        <v>0</v>
      </c>
      <c r="P237" s="5">
        <v>0</v>
      </c>
    </row>
    <row r="238" spans="1:16" x14ac:dyDescent="0.2">
      <c r="A238" s="5">
        <v>236</v>
      </c>
      <c r="B238" s="6">
        <v>45337</v>
      </c>
      <c r="C238" s="5">
        <v>200.215571279443</v>
      </c>
      <c r="D238" s="5">
        <v>174.490042618605</v>
      </c>
      <c r="E238" s="5">
        <v>221.90051490314801</v>
      </c>
      <c r="F238" s="5">
        <v>200.215571279443</v>
      </c>
      <c r="G238" s="5">
        <v>200.215571279443</v>
      </c>
      <c r="H238" s="5">
        <v>-1.38466158332059</v>
      </c>
      <c r="I238" s="5">
        <v>-1.38466158332059</v>
      </c>
      <c r="J238" s="5">
        <v>-1.38466158332059</v>
      </c>
      <c r="K238" s="5">
        <v>-1.38466158332059</v>
      </c>
      <c r="L238" s="5">
        <v>-1.38466158332059</v>
      </c>
      <c r="M238" s="5">
        <v>-1.38466158332059</v>
      </c>
      <c r="N238" s="5">
        <v>0</v>
      </c>
      <c r="O238" s="5">
        <v>0</v>
      </c>
      <c r="P238" s="5">
        <v>0</v>
      </c>
    </row>
    <row r="239" spans="1:16" x14ac:dyDescent="0.2">
      <c r="A239" s="5">
        <v>237</v>
      </c>
      <c r="B239" s="6">
        <v>45338</v>
      </c>
      <c r="C239" s="5">
        <v>199.67951628686899</v>
      </c>
      <c r="D239" s="5">
        <v>173.29055064453499</v>
      </c>
      <c r="E239" s="5">
        <v>221.616562936717</v>
      </c>
      <c r="F239" s="5">
        <v>199.67951628686899</v>
      </c>
      <c r="G239" s="5">
        <v>199.67951628686899</v>
      </c>
      <c r="H239" s="5">
        <v>-1.4812190550129201</v>
      </c>
      <c r="I239" s="5">
        <v>-1.4812190550129201</v>
      </c>
      <c r="J239" s="5">
        <v>-1.4812190550129201</v>
      </c>
      <c r="K239" s="5">
        <v>-1.4812190550129201</v>
      </c>
      <c r="L239" s="5">
        <v>-1.4812190550129201</v>
      </c>
      <c r="M239" s="5">
        <v>-1.4812190550129201</v>
      </c>
      <c r="N239" s="5">
        <v>0</v>
      </c>
      <c r="O239" s="5">
        <v>0</v>
      </c>
      <c r="P239" s="5">
        <v>0</v>
      </c>
    </row>
    <row r="240" spans="1:16" x14ac:dyDescent="0.2">
      <c r="A240" s="5">
        <v>238</v>
      </c>
      <c r="B240" s="6">
        <v>45342</v>
      </c>
      <c r="C240" s="5">
        <v>197.53529631657199</v>
      </c>
      <c r="D240" s="5">
        <v>173.090789423649</v>
      </c>
      <c r="E240" s="5">
        <v>222.49867113840699</v>
      </c>
      <c r="F240" s="5">
        <v>197.53529631657199</v>
      </c>
      <c r="G240" s="5">
        <v>197.53529631657199</v>
      </c>
      <c r="H240" s="5">
        <v>0.50257879986328902</v>
      </c>
      <c r="I240" s="5">
        <v>0.50257879986328902</v>
      </c>
      <c r="J240" s="5">
        <v>0.50257879986328902</v>
      </c>
      <c r="K240" s="5">
        <v>0.50257879986328902</v>
      </c>
      <c r="L240" s="5">
        <v>0.50257879986328902</v>
      </c>
      <c r="M240" s="5">
        <v>0.50257879986328902</v>
      </c>
      <c r="N240" s="5">
        <v>0</v>
      </c>
      <c r="O240" s="5">
        <v>0</v>
      </c>
      <c r="P240" s="5">
        <v>0</v>
      </c>
    </row>
    <row r="241" spans="1:16" x14ac:dyDescent="0.2">
      <c r="A241" s="5">
        <v>239</v>
      </c>
      <c r="B241" s="6">
        <v>45343</v>
      </c>
      <c r="C241" s="5">
        <v>196.99924132399801</v>
      </c>
      <c r="D241" s="5">
        <v>170.901870167114</v>
      </c>
      <c r="E241" s="5">
        <v>220.35454554380999</v>
      </c>
      <c r="F241" s="5">
        <v>196.99924132399801</v>
      </c>
      <c r="G241" s="5">
        <v>196.99924132399801</v>
      </c>
      <c r="H241" s="5">
        <v>-0.35171639328872201</v>
      </c>
      <c r="I241" s="5">
        <v>-0.35171639328872201</v>
      </c>
      <c r="J241" s="5">
        <v>-0.35171639328872201</v>
      </c>
      <c r="K241" s="5">
        <v>-0.35171639328872201</v>
      </c>
      <c r="L241" s="5">
        <v>-0.35171639328872201</v>
      </c>
      <c r="M241" s="5">
        <v>-0.35171639328872201</v>
      </c>
      <c r="N241" s="5">
        <v>0</v>
      </c>
      <c r="O241" s="5">
        <v>0</v>
      </c>
      <c r="P241" s="5">
        <v>0</v>
      </c>
    </row>
    <row r="242" spans="1:16" x14ac:dyDescent="0.2">
      <c r="A242" s="5">
        <v>240</v>
      </c>
      <c r="B242" s="6">
        <v>45344</v>
      </c>
      <c r="C242" s="5">
        <v>196.463186331424</v>
      </c>
      <c r="D242" s="5">
        <v>170.13975672241</v>
      </c>
      <c r="E242" s="5">
        <v>218.30655234628401</v>
      </c>
      <c r="F242" s="5">
        <v>196.463186331424</v>
      </c>
      <c r="G242" s="5">
        <v>196.463186331424</v>
      </c>
      <c r="H242" s="5">
        <v>-1.38466158331861</v>
      </c>
      <c r="I242" s="5">
        <v>-1.38466158331861</v>
      </c>
      <c r="J242" s="5">
        <v>-1.38466158331861</v>
      </c>
      <c r="K242" s="5">
        <v>-1.38466158331861</v>
      </c>
      <c r="L242" s="5">
        <v>-1.38466158331861</v>
      </c>
      <c r="M242" s="5">
        <v>-1.38466158331861</v>
      </c>
      <c r="N242" s="5">
        <v>0</v>
      </c>
      <c r="O242" s="5">
        <v>0</v>
      </c>
      <c r="P242" s="5">
        <v>0</v>
      </c>
    </row>
    <row r="243" spans="1:16" x14ac:dyDescent="0.2">
      <c r="A243" s="5">
        <v>241</v>
      </c>
      <c r="B243" s="6">
        <v>45345</v>
      </c>
      <c r="C243" s="5">
        <v>195.92713133884999</v>
      </c>
      <c r="D243" s="5">
        <v>169.384926304864</v>
      </c>
      <c r="E243" s="5">
        <v>219.22479208821201</v>
      </c>
      <c r="F243" s="5">
        <v>195.92713133884999</v>
      </c>
      <c r="G243" s="5">
        <v>195.92713133884999</v>
      </c>
      <c r="H243" s="5">
        <v>-1.48121905500352</v>
      </c>
      <c r="I243" s="5">
        <v>-1.48121905500352</v>
      </c>
      <c r="J243" s="5">
        <v>-1.48121905500352</v>
      </c>
      <c r="K243" s="5">
        <v>-1.48121905500352</v>
      </c>
      <c r="L243" s="5">
        <v>-1.48121905500352</v>
      </c>
      <c r="M243" s="5">
        <v>-1.48121905500352</v>
      </c>
      <c r="N243" s="5">
        <v>0</v>
      </c>
      <c r="O243" s="5">
        <v>0</v>
      </c>
      <c r="P243" s="5">
        <v>0</v>
      </c>
    </row>
    <row r="244" spans="1:16" x14ac:dyDescent="0.2">
      <c r="A244" s="5">
        <v>242</v>
      </c>
      <c r="B244" s="6">
        <v>45348</v>
      </c>
      <c r="C244" s="5">
        <v>194.31896636112799</v>
      </c>
      <c r="D244" s="5">
        <v>168.55532329911799</v>
      </c>
      <c r="E244" s="5">
        <v>216.550847035521</v>
      </c>
      <c r="F244" s="5">
        <v>194.31896636112799</v>
      </c>
      <c r="G244" s="5">
        <v>194.31896636112799</v>
      </c>
      <c r="H244" s="5">
        <v>-1.82348659825569</v>
      </c>
      <c r="I244" s="5">
        <v>-1.82348659825569</v>
      </c>
      <c r="J244" s="5">
        <v>-1.82348659825569</v>
      </c>
      <c r="K244" s="5">
        <v>-1.82348659825569</v>
      </c>
      <c r="L244" s="5">
        <v>-1.82348659825569</v>
      </c>
      <c r="M244" s="5">
        <v>-1.82348659825569</v>
      </c>
      <c r="N244" s="5">
        <v>0</v>
      </c>
      <c r="O244" s="5">
        <v>0</v>
      </c>
      <c r="P244" s="5">
        <v>0</v>
      </c>
    </row>
    <row r="245" spans="1:16" x14ac:dyDescent="0.2">
      <c r="A245" s="5">
        <v>243</v>
      </c>
      <c r="B245" s="6">
        <v>45349</v>
      </c>
      <c r="C245" s="5">
        <v>193.78291136855401</v>
      </c>
      <c r="D245" s="5">
        <v>169.85039054101401</v>
      </c>
      <c r="E245" s="5">
        <v>218.501375969419</v>
      </c>
      <c r="F245" s="5">
        <v>193.78291136855401</v>
      </c>
      <c r="G245" s="5">
        <v>193.78291136855401</v>
      </c>
      <c r="H245" s="5">
        <v>0.50257879986451404</v>
      </c>
      <c r="I245" s="5">
        <v>0.50257879986451404</v>
      </c>
      <c r="J245" s="5">
        <v>0.50257879986451404</v>
      </c>
      <c r="K245" s="5">
        <v>0.50257879986451404</v>
      </c>
      <c r="L245" s="5">
        <v>0.50257879986451404</v>
      </c>
      <c r="M245" s="5">
        <v>0.50257879986451404</v>
      </c>
      <c r="N245" s="5">
        <v>0</v>
      </c>
      <c r="O245" s="5">
        <v>0</v>
      </c>
      <c r="P245" s="5">
        <v>0</v>
      </c>
    </row>
    <row r="246" spans="1:16" x14ac:dyDescent="0.2">
      <c r="A246" s="5">
        <v>244</v>
      </c>
      <c r="B246" s="6">
        <v>45350</v>
      </c>
      <c r="C246" s="5">
        <v>193.24685637597901</v>
      </c>
      <c r="D246" s="5">
        <v>166.35403167160999</v>
      </c>
      <c r="E246" s="5">
        <v>216.26813230990101</v>
      </c>
      <c r="F246" s="5">
        <v>193.24685637597901</v>
      </c>
      <c r="G246" s="5">
        <v>193.24685637597901</v>
      </c>
      <c r="H246" s="5">
        <v>-0.35171639328159499</v>
      </c>
      <c r="I246" s="5">
        <v>-0.35171639328159499</v>
      </c>
      <c r="J246" s="5">
        <v>-0.35171639328159499</v>
      </c>
      <c r="K246" s="5">
        <v>-0.35171639328159499</v>
      </c>
      <c r="L246" s="5">
        <v>-0.35171639328159499</v>
      </c>
      <c r="M246" s="5">
        <v>-0.35171639328159499</v>
      </c>
      <c r="N246" s="5">
        <v>0</v>
      </c>
      <c r="O246" s="5">
        <v>0</v>
      </c>
      <c r="P246" s="5">
        <v>0</v>
      </c>
    </row>
    <row r="247" spans="1:16" x14ac:dyDescent="0.2">
      <c r="A247" s="5">
        <v>245</v>
      </c>
      <c r="B247" s="6">
        <v>45351</v>
      </c>
      <c r="C247" s="5">
        <v>192.710801383405</v>
      </c>
      <c r="D247" s="5">
        <v>169.27549519301701</v>
      </c>
      <c r="E247" s="5">
        <v>212.68225921177699</v>
      </c>
      <c r="F247" s="5">
        <v>192.710801383405</v>
      </c>
      <c r="G247" s="5">
        <v>192.710801383405</v>
      </c>
      <c r="H247" s="5">
        <v>-1.3846615833210301</v>
      </c>
      <c r="I247" s="5">
        <v>-1.3846615833210301</v>
      </c>
      <c r="J247" s="5">
        <v>-1.3846615833210301</v>
      </c>
      <c r="K247" s="5">
        <v>-1.3846615833210301</v>
      </c>
      <c r="L247" s="5">
        <v>-1.3846615833210301</v>
      </c>
      <c r="M247" s="5">
        <v>-1.3846615833210301</v>
      </c>
      <c r="N247" s="5">
        <v>0</v>
      </c>
      <c r="O247" s="5">
        <v>0</v>
      </c>
      <c r="P247" s="5">
        <v>0</v>
      </c>
    </row>
    <row r="248" spans="1:16" x14ac:dyDescent="0.2">
      <c r="A248" s="5">
        <v>246</v>
      </c>
      <c r="B248" s="6">
        <v>45352</v>
      </c>
      <c r="C248" s="5">
        <v>192.17474639083099</v>
      </c>
      <c r="D248" s="5">
        <v>165.37446109287799</v>
      </c>
      <c r="E248" s="5">
        <v>214.36465464634</v>
      </c>
      <c r="F248" s="5">
        <v>192.17474639083099</v>
      </c>
      <c r="G248" s="5">
        <v>192.17474639083099</v>
      </c>
      <c r="H248" s="5">
        <v>-1.48121905500547</v>
      </c>
      <c r="I248" s="5">
        <v>-1.48121905500547</v>
      </c>
      <c r="J248" s="5">
        <v>-1.48121905500547</v>
      </c>
      <c r="K248" s="5">
        <v>-1.48121905500547</v>
      </c>
      <c r="L248" s="5">
        <v>-1.48121905500547</v>
      </c>
      <c r="M248" s="5">
        <v>-1.48121905500547</v>
      </c>
      <c r="N248" s="5">
        <v>0</v>
      </c>
      <c r="O248" s="5">
        <v>0</v>
      </c>
      <c r="P248" s="5">
        <v>0</v>
      </c>
    </row>
    <row r="249" spans="1:16" x14ac:dyDescent="0.2">
      <c r="A249" s="5">
        <v>247</v>
      </c>
      <c r="B249" s="6">
        <v>45355</v>
      </c>
      <c r="C249" s="5">
        <v>190.56658141310899</v>
      </c>
      <c r="D249" s="5">
        <v>165.91517762679601</v>
      </c>
      <c r="E249" s="5">
        <v>213.293831055439</v>
      </c>
      <c r="F249" s="5">
        <v>190.56658141310899</v>
      </c>
      <c r="G249" s="5">
        <v>190.56658141310899</v>
      </c>
      <c r="H249" s="5">
        <v>-1.8234865982544699</v>
      </c>
      <c r="I249" s="5">
        <v>-1.8234865982544699</v>
      </c>
      <c r="J249" s="5">
        <v>-1.8234865982544699</v>
      </c>
      <c r="K249" s="5">
        <v>-1.8234865982544699</v>
      </c>
      <c r="L249" s="5">
        <v>-1.8234865982544699</v>
      </c>
      <c r="M249" s="5">
        <v>-1.8234865982544699</v>
      </c>
      <c r="N249" s="5">
        <v>0</v>
      </c>
      <c r="O249" s="5">
        <v>0</v>
      </c>
      <c r="P249" s="5">
        <v>0</v>
      </c>
    </row>
    <row r="250" spans="1:16" x14ac:dyDescent="0.2">
      <c r="A250" s="5">
        <v>248</v>
      </c>
      <c r="B250" s="6">
        <v>45356</v>
      </c>
      <c r="C250" s="5">
        <v>190.03052642053501</v>
      </c>
      <c r="D250" s="5">
        <v>163.90552643728</v>
      </c>
      <c r="E250" s="5">
        <v>214.484483716695</v>
      </c>
      <c r="F250" s="5">
        <v>190.03052642053501</v>
      </c>
      <c r="G250" s="5">
        <v>190.03052642053501</v>
      </c>
      <c r="H250" s="5">
        <v>0.50257879986640996</v>
      </c>
      <c r="I250" s="5">
        <v>0.50257879986640996</v>
      </c>
      <c r="J250" s="5">
        <v>0.50257879986640996</v>
      </c>
      <c r="K250" s="5">
        <v>0.50257879986640996</v>
      </c>
      <c r="L250" s="5">
        <v>0.50257879986640996</v>
      </c>
      <c r="M250" s="5">
        <v>0.50257879986640996</v>
      </c>
      <c r="N250" s="5">
        <v>0</v>
      </c>
      <c r="O250" s="5">
        <v>0</v>
      </c>
      <c r="P250" s="5">
        <v>0</v>
      </c>
    </row>
    <row r="251" spans="1:16" x14ac:dyDescent="0.2">
      <c r="A251" s="5">
        <v>249</v>
      </c>
      <c r="B251" s="6">
        <v>45357</v>
      </c>
      <c r="C251" s="5">
        <v>189.494471427961</v>
      </c>
      <c r="D251" s="5">
        <v>164.52863854496999</v>
      </c>
      <c r="E251" s="5">
        <v>211.815800905923</v>
      </c>
      <c r="F251" s="5">
        <v>189.494471427961</v>
      </c>
      <c r="G251" s="5">
        <v>189.494471427961</v>
      </c>
      <c r="H251" s="5">
        <v>-0.35171639327978799</v>
      </c>
      <c r="I251" s="5">
        <v>-0.35171639327978799</v>
      </c>
      <c r="J251" s="5">
        <v>-0.35171639327978799</v>
      </c>
      <c r="K251" s="5">
        <v>-0.35171639327978799</v>
      </c>
      <c r="L251" s="5">
        <v>-0.35171639327978799</v>
      </c>
      <c r="M251" s="5">
        <v>-0.35171639327978799</v>
      </c>
      <c r="N251" s="5">
        <v>0</v>
      </c>
      <c r="O251" s="5">
        <v>0</v>
      </c>
      <c r="P251" s="5">
        <v>0</v>
      </c>
    </row>
    <row r="252" spans="1:16" x14ac:dyDescent="0.2">
      <c r="A252" s="5">
        <v>250</v>
      </c>
      <c r="B252" s="6">
        <v>45358</v>
      </c>
      <c r="C252" s="5">
        <v>188.95841643538699</v>
      </c>
      <c r="D252" s="5">
        <v>162.87171016811601</v>
      </c>
      <c r="E252" s="5">
        <v>211.17502434413299</v>
      </c>
      <c r="F252" s="5">
        <v>188.95841643538699</v>
      </c>
      <c r="G252" s="5">
        <v>188.95841643538699</v>
      </c>
      <c r="H252" s="5">
        <v>-1.3846615833156399</v>
      </c>
      <c r="I252" s="5">
        <v>-1.3846615833156399</v>
      </c>
      <c r="J252" s="5">
        <v>-1.3846615833156399</v>
      </c>
      <c r="K252" s="5">
        <v>-1.3846615833156399</v>
      </c>
      <c r="L252" s="5">
        <v>-1.3846615833156399</v>
      </c>
      <c r="M252" s="5">
        <v>-1.3846615833156399</v>
      </c>
      <c r="N252" s="5">
        <v>0</v>
      </c>
      <c r="O252" s="5">
        <v>0</v>
      </c>
      <c r="P252" s="5">
        <v>0</v>
      </c>
    </row>
    <row r="253" spans="1:16" x14ac:dyDescent="0.2">
      <c r="A253" s="5">
        <v>251</v>
      </c>
      <c r="B253" s="6">
        <v>45359</v>
      </c>
      <c r="C253" s="5">
        <v>188.42236144281301</v>
      </c>
      <c r="D253" s="5">
        <v>163.35402227431101</v>
      </c>
      <c r="E253" s="5">
        <v>211.4818450393</v>
      </c>
      <c r="F253" s="5">
        <v>188.42236144281301</v>
      </c>
      <c r="G253" s="5">
        <v>188.42236144281301</v>
      </c>
      <c r="H253" s="5">
        <v>-1.4812190550017501</v>
      </c>
      <c r="I253" s="5">
        <v>-1.4812190550017501</v>
      </c>
      <c r="J253" s="5">
        <v>-1.4812190550017501</v>
      </c>
      <c r="K253" s="5">
        <v>-1.4812190550017501</v>
      </c>
      <c r="L253" s="5">
        <v>-1.4812190550017501</v>
      </c>
      <c r="M253" s="5">
        <v>-1.4812190550017501</v>
      </c>
      <c r="N253" s="5">
        <v>0</v>
      </c>
      <c r="O253" s="5">
        <v>0</v>
      </c>
      <c r="P253" s="5">
        <v>0</v>
      </c>
    </row>
    <row r="254" spans="1:16" x14ac:dyDescent="0.2">
      <c r="A254" s="5">
        <v>252</v>
      </c>
      <c r="B254" s="6">
        <v>45360</v>
      </c>
      <c r="C254" s="5">
        <v>187.886306450239</v>
      </c>
      <c r="D254" s="5">
        <v>166.41687700179699</v>
      </c>
      <c r="E254" s="5">
        <v>212.24628051103099</v>
      </c>
      <c r="F254" s="5">
        <v>187.886306450239</v>
      </c>
      <c r="G254" s="5">
        <v>187.886306450239</v>
      </c>
      <c r="H254" s="5">
        <v>2.2692528059032799</v>
      </c>
      <c r="I254" s="5">
        <v>2.2692528059032799</v>
      </c>
      <c r="J254" s="5">
        <v>2.2692528059032799</v>
      </c>
      <c r="K254" s="5">
        <v>2.2692528059032799</v>
      </c>
      <c r="L254" s="5">
        <v>2.2692528059032799</v>
      </c>
      <c r="M254" s="5">
        <v>2.2692528059032799</v>
      </c>
      <c r="N254" s="5">
        <v>0</v>
      </c>
      <c r="O254" s="5">
        <v>0</v>
      </c>
      <c r="P254" s="5">
        <v>0</v>
      </c>
    </row>
    <row r="255" spans="1:16" x14ac:dyDescent="0.2">
      <c r="A255" s="5">
        <v>253</v>
      </c>
      <c r="B255" s="6">
        <v>45361</v>
      </c>
      <c r="C255" s="5">
        <v>187.350251457664</v>
      </c>
      <c r="D255" s="5">
        <v>165.889766064913</v>
      </c>
      <c r="E255" s="5">
        <v>212.64169288077801</v>
      </c>
      <c r="F255" s="5">
        <v>187.350251457664</v>
      </c>
      <c r="G255" s="5">
        <v>187.350251457664</v>
      </c>
      <c r="H255" s="5">
        <v>2.2692520241017302</v>
      </c>
      <c r="I255" s="5">
        <v>2.2692520241017302</v>
      </c>
      <c r="J255" s="5">
        <v>2.2692520241017302</v>
      </c>
      <c r="K255" s="5">
        <v>2.2692520241017302</v>
      </c>
      <c r="L255" s="5">
        <v>2.2692520241017302</v>
      </c>
      <c r="M255" s="5">
        <v>2.2692520241017302</v>
      </c>
      <c r="N255" s="5">
        <v>0</v>
      </c>
      <c r="O255" s="5">
        <v>0</v>
      </c>
      <c r="P255" s="5">
        <v>0</v>
      </c>
    </row>
    <row r="256" spans="1:16" x14ac:dyDescent="0.2">
      <c r="A256" s="5">
        <v>254</v>
      </c>
      <c r="B256" s="6">
        <v>45362</v>
      </c>
      <c r="C256" s="5">
        <v>186.81419646508999</v>
      </c>
      <c r="D256" s="5">
        <v>160.99480570788799</v>
      </c>
      <c r="E256" s="5">
        <v>208.81760996631701</v>
      </c>
      <c r="F256" s="5">
        <v>186.80692423618899</v>
      </c>
      <c r="G256" s="5">
        <v>186.82196642246799</v>
      </c>
      <c r="H256" s="5">
        <v>-1.8234865982560999</v>
      </c>
      <c r="I256" s="5">
        <v>-1.8234865982560999</v>
      </c>
      <c r="J256" s="5">
        <v>-1.8234865982560999</v>
      </c>
      <c r="K256" s="5">
        <v>-1.8234865982560999</v>
      </c>
      <c r="L256" s="5">
        <v>-1.8234865982560999</v>
      </c>
      <c r="M256" s="5">
        <v>-1.8234865982560999</v>
      </c>
      <c r="N256" s="5">
        <v>0</v>
      </c>
      <c r="O256" s="5">
        <v>0</v>
      </c>
      <c r="P256" s="5">
        <v>0</v>
      </c>
    </row>
    <row r="257" spans="1:16" x14ac:dyDescent="0.2">
      <c r="A257" s="5">
        <v>255</v>
      </c>
      <c r="B257" s="6">
        <v>45363</v>
      </c>
      <c r="C257" s="5">
        <v>186.27814147251601</v>
      </c>
      <c r="D257" s="5">
        <v>163.07365140941499</v>
      </c>
      <c r="E257" s="5">
        <v>209.483913635607</v>
      </c>
      <c r="F257" s="5">
        <v>186.23564121783599</v>
      </c>
      <c r="G257" s="5">
        <v>186.31501553210799</v>
      </c>
      <c r="H257" s="5">
        <v>0.50257879986763598</v>
      </c>
      <c r="I257" s="5">
        <v>0.50257879986763598</v>
      </c>
      <c r="J257" s="5">
        <v>0.50257879986763598</v>
      </c>
      <c r="K257" s="5">
        <v>0.50257879986763598</v>
      </c>
      <c r="L257" s="5">
        <v>0.50257879986763598</v>
      </c>
      <c r="M257" s="5">
        <v>0.50257879986763598</v>
      </c>
      <c r="N257" s="5">
        <v>0</v>
      </c>
      <c r="O257" s="5">
        <v>0</v>
      </c>
      <c r="P257" s="5">
        <v>0</v>
      </c>
    </row>
    <row r="258" spans="1:16" x14ac:dyDescent="0.2">
      <c r="A258" s="5">
        <v>256</v>
      </c>
      <c r="B258" s="6">
        <v>45364</v>
      </c>
      <c r="C258" s="5">
        <v>185.742086479942</v>
      </c>
      <c r="D258" s="5">
        <v>162.405495297855</v>
      </c>
      <c r="E258" s="5">
        <v>208.82940056281799</v>
      </c>
      <c r="F258" s="5">
        <v>185.66023401981101</v>
      </c>
      <c r="G258" s="5">
        <v>185.802856517138</v>
      </c>
      <c r="H258" s="5">
        <v>-0.35171639328249898</v>
      </c>
      <c r="I258" s="5">
        <v>-0.35171639328249898</v>
      </c>
      <c r="J258" s="5">
        <v>-0.35171639328249898</v>
      </c>
      <c r="K258" s="5">
        <v>-0.35171639328249898</v>
      </c>
      <c r="L258" s="5">
        <v>-0.35171639328249898</v>
      </c>
      <c r="M258" s="5">
        <v>-0.35171639328249898</v>
      </c>
      <c r="N258" s="5">
        <v>0</v>
      </c>
      <c r="O258" s="5">
        <v>0</v>
      </c>
      <c r="P258" s="5">
        <v>0</v>
      </c>
    </row>
    <row r="259" spans="1:16" x14ac:dyDescent="0.2">
      <c r="A259" s="5">
        <v>257</v>
      </c>
      <c r="B259" s="6">
        <v>45365</v>
      </c>
      <c r="C259" s="5">
        <v>185.20603148736799</v>
      </c>
      <c r="D259" s="5">
        <v>158.27465966375999</v>
      </c>
      <c r="E259" s="5">
        <v>206.82052251952999</v>
      </c>
      <c r="F259" s="5">
        <v>185.066062245502</v>
      </c>
      <c r="G259" s="5">
        <v>185.33909855945399</v>
      </c>
      <c r="H259" s="5">
        <v>-1.38466158331806</v>
      </c>
      <c r="I259" s="5">
        <v>-1.38466158331806</v>
      </c>
      <c r="J259" s="5">
        <v>-1.38466158331806</v>
      </c>
      <c r="K259" s="5">
        <v>-1.38466158331806</v>
      </c>
      <c r="L259" s="5">
        <v>-1.38466158331806</v>
      </c>
      <c r="M259" s="5">
        <v>-1.38466158331806</v>
      </c>
      <c r="N259" s="5">
        <v>0</v>
      </c>
      <c r="O259" s="5">
        <v>0</v>
      </c>
      <c r="P259" s="5">
        <v>0</v>
      </c>
    </row>
    <row r="260" spans="1:16" x14ac:dyDescent="0.2">
      <c r="A260" s="5">
        <v>258</v>
      </c>
      <c r="B260" s="6">
        <v>45366</v>
      </c>
      <c r="C260" s="5">
        <v>184.66997649479401</v>
      </c>
      <c r="D260" s="5">
        <v>159.27112256426301</v>
      </c>
      <c r="E260" s="5">
        <v>207.20671793008799</v>
      </c>
      <c r="F260" s="5">
        <v>184.48158148812101</v>
      </c>
      <c r="G260" s="5">
        <v>184.85288371185399</v>
      </c>
      <c r="H260" s="5">
        <v>-1.4812190550037001</v>
      </c>
      <c r="I260" s="5">
        <v>-1.4812190550037001</v>
      </c>
      <c r="J260" s="5">
        <v>-1.4812190550037001</v>
      </c>
      <c r="K260" s="5">
        <v>-1.4812190550037001</v>
      </c>
      <c r="L260" s="5">
        <v>-1.4812190550037001</v>
      </c>
      <c r="M260" s="5">
        <v>-1.4812190550037001</v>
      </c>
      <c r="N260" s="5">
        <v>0</v>
      </c>
      <c r="O260" s="5">
        <v>0</v>
      </c>
      <c r="P260" s="5">
        <v>0</v>
      </c>
    </row>
    <row r="261" spans="1:16" x14ac:dyDescent="0.2">
      <c r="A261" s="5">
        <v>259</v>
      </c>
      <c r="B261" s="6">
        <v>45367</v>
      </c>
      <c r="C261" s="5">
        <v>184.13392150222001</v>
      </c>
      <c r="D261" s="5">
        <v>161.33762346619099</v>
      </c>
      <c r="E261" s="5">
        <v>212.63490863144699</v>
      </c>
      <c r="F261" s="5">
        <v>183.88468587153599</v>
      </c>
      <c r="G261" s="5">
        <v>184.38015368084399</v>
      </c>
      <c r="H261" s="5">
        <v>2.26925280589787</v>
      </c>
      <c r="I261" s="5">
        <v>2.26925280589787</v>
      </c>
      <c r="J261" s="5">
        <v>2.26925280589787</v>
      </c>
      <c r="K261" s="5">
        <v>2.26925280589787</v>
      </c>
      <c r="L261" s="5">
        <v>2.26925280589787</v>
      </c>
      <c r="M261" s="5">
        <v>2.26925280589787</v>
      </c>
      <c r="N261" s="5">
        <v>0</v>
      </c>
      <c r="O261" s="5">
        <v>0</v>
      </c>
      <c r="P261" s="5">
        <v>0</v>
      </c>
    </row>
    <row r="262" spans="1:16" x14ac:dyDescent="0.2">
      <c r="A262" s="5">
        <v>260</v>
      </c>
      <c r="B262" s="6">
        <v>45368</v>
      </c>
      <c r="C262" s="5">
        <v>183.597866509646</v>
      </c>
      <c r="D262" s="5">
        <v>160.27610127452201</v>
      </c>
      <c r="E262" s="5">
        <v>211.040405072509</v>
      </c>
      <c r="F262" s="5">
        <v>183.256055732513</v>
      </c>
      <c r="G262" s="5">
        <v>183.91299939800399</v>
      </c>
      <c r="H262" s="5">
        <v>2.2692520241053602</v>
      </c>
      <c r="I262" s="5">
        <v>2.2692520241053602</v>
      </c>
      <c r="J262" s="5">
        <v>2.2692520241053602</v>
      </c>
      <c r="K262" s="5">
        <v>2.2692520241053602</v>
      </c>
      <c r="L262" s="5">
        <v>2.2692520241053602</v>
      </c>
      <c r="M262" s="5">
        <v>2.2692520241053602</v>
      </c>
      <c r="N262" s="5">
        <v>0</v>
      </c>
      <c r="O262" s="5">
        <v>0</v>
      </c>
      <c r="P262" s="5">
        <v>0</v>
      </c>
    </row>
    <row r="263" spans="1:16" x14ac:dyDescent="0.2">
      <c r="A263" s="5">
        <v>261</v>
      </c>
      <c r="B263" s="6">
        <v>45369</v>
      </c>
      <c r="C263" s="5">
        <v>183.06181151707199</v>
      </c>
      <c r="D263" s="5">
        <v>156.581517651491</v>
      </c>
      <c r="E263" s="5">
        <v>203.94230728950501</v>
      </c>
      <c r="F263" s="5">
        <v>182.65594410597399</v>
      </c>
      <c r="G263" s="5">
        <v>183.42109953583801</v>
      </c>
      <c r="H263" s="5">
        <v>-1.8234865982523201</v>
      </c>
      <c r="I263" s="5">
        <v>-1.8234865982523201</v>
      </c>
      <c r="J263" s="5">
        <v>-1.8234865982523201</v>
      </c>
      <c r="K263" s="5">
        <v>-1.8234865982523201</v>
      </c>
      <c r="L263" s="5">
        <v>-1.8234865982523201</v>
      </c>
      <c r="M263" s="5">
        <v>-1.8234865982523201</v>
      </c>
      <c r="N263" s="5">
        <v>0</v>
      </c>
      <c r="O263" s="5">
        <v>0</v>
      </c>
      <c r="P263" s="5">
        <v>0</v>
      </c>
    </row>
    <row r="264" spans="1:16" x14ac:dyDescent="0.2">
      <c r="A264" s="5">
        <v>262</v>
      </c>
      <c r="B264" s="6">
        <v>45370</v>
      </c>
      <c r="C264" s="5">
        <v>182.52575652449801</v>
      </c>
      <c r="D264" s="5">
        <v>158.50924712135799</v>
      </c>
      <c r="E264" s="5">
        <v>205.94139222906301</v>
      </c>
      <c r="F264" s="5">
        <v>182.02894199047799</v>
      </c>
      <c r="G264" s="5">
        <v>182.95136268429999</v>
      </c>
      <c r="H264" s="5">
        <v>0.50257879986919696</v>
      </c>
      <c r="I264" s="5">
        <v>0.50257879986919696</v>
      </c>
      <c r="J264" s="5">
        <v>0.50257879986919696</v>
      </c>
      <c r="K264" s="5">
        <v>0.50257879986919696</v>
      </c>
      <c r="L264" s="5">
        <v>0.50257879986919696</v>
      </c>
      <c r="M264" s="5">
        <v>0.50257879986919696</v>
      </c>
      <c r="N264" s="5">
        <v>0</v>
      </c>
      <c r="O264" s="5">
        <v>0</v>
      </c>
      <c r="P264" s="5">
        <v>0</v>
      </c>
    </row>
    <row r="265" spans="1:16" x14ac:dyDescent="0.2">
      <c r="A265" s="5">
        <v>263</v>
      </c>
      <c r="B265" s="6">
        <v>45371</v>
      </c>
      <c r="C265" s="5">
        <v>181.989701531924</v>
      </c>
      <c r="D265" s="5">
        <v>155.078063110432</v>
      </c>
      <c r="E265" s="5">
        <v>206.47621410249701</v>
      </c>
      <c r="F265" s="5">
        <v>181.39382096176001</v>
      </c>
      <c r="G265" s="5">
        <v>182.53333465543599</v>
      </c>
      <c r="H265" s="5">
        <v>-0.35171639328520898</v>
      </c>
      <c r="I265" s="5">
        <v>-0.35171639328520898</v>
      </c>
      <c r="J265" s="5">
        <v>-0.35171639328520898</v>
      </c>
      <c r="K265" s="5">
        <v>-0.35171639328520898</v>
      </c>
      <c r="L265" s="5">
        <v>-0.35171639328520898</v>
      </c>
      <c r="M265" s="5">
        <v>-0.35171639328520898</v>
      </c>
      <c r="N265" s="5">
        <v>0</v>
      </c>
      <c r="O265" s="5">
        <v>0</v>
      </c>
      <c r="P265" s="5">
        <v>0</v>
      </c>
    </row>
    <row r="266" spans="1:16" x14ac:dyDescent="0.2">
      <c r="A266" s="5">
        <v>264</v>
      </c>
      <c r="B266" s="6">
        <v>45372</v>
      </c>
      <c r="C266" s="5">
        <v>181.45364653934899</v>
      </c>
      <c r="D266" s="5">
        <v>155.08622621031199</v>
      </c>
      <c r="E266" s="5">
        <v>205.54189097435199</v>
      </c>
      <c r="F266" s="5">
        <v>180.754315124112</v>
      </c>
      <c r="G266" s="5">
        <v>182.091076724879</v>
      </c>
      <c r="H266" s="5">
        <v>-1.38466158331607</v>
      </c>
      <c r="I266" s="5">
        <v>-1.38466158331607</v>
      </c>
      <c r="J266" s="5">
        <v>-1.38466158331607</v>
      </c>
      <c r="K266" s="5">
        <v>-1.38466158331607</v>
      </c>
      <c r="L266" s="5">
        <v>-1.38466158331607</v>
      </c>
      <c r="M266" s="5">
        <v>-1.38466158331607</v>
      </c>
      <c r="N266" s="5">
        <v>0</v>
      </c>
      <c r="O266" s="5">
        <v>0</v>
      </c>
      <c r="P266" s="5">
        <v>0</v>
      </c>
    </row>
    <row r="267" spans="1:16" x14ac:dyDescent="0.2">
      <c r="A267" s="5">
        <v>265</v>
      </c>
      <c r="B267" s="6">
        <v>45373</v>
      </c>
      <c r="C267" s="5">
        <v>180.91759154677499</v>
      </c>
      <c r="D267" s="5">
        <v>154.52965220598199</v>
      </c>
      <c r="E267" s="5">
        <v>205.13412671706999</v>
      </c>
      <c r="F267" s="5">
        <v>180.10219622158999</v>
      </c>
      <c r="G267" s="5">
        <v>181.668446693351</v>
      </c>
      <c r="H267" s="5">
        <v>-1.48121905499997</v>
      </c>
      <c r="I267" s="5">
        <v>-1.48121905499997</v>
      </c>
      <c r="J267" s="5">
        <v>-1.48121905499997</v>
      </c>
      <c r="K267" s="5">
        <v>-1.48121905499997</v>
      </c>
      <c r="L267" s="5">
        <v>-1.48121905499997</v>
      </c>
      <c r="M267" s="5">
        <v>-1.48121905499997</v>
      </c>
      <c r="N267" s="5">
        <v>0</v>
      </c>
      <c r="O267" s="5">
        <v>0</v>
      </c>
      <c r="P267" s="5">
        <v>0</v>
      </c>
    </row>
    <row r="268" spans="1:16" x14ac:dyDescent="0.2">
      <c r="A268" s="5">
        <v>266</v>
      </c>
      <c r="B268" s="6">
        <v>45374</v>
      </c>
      <c r="C268" s="5">
        <v>180.38153655420101</v>
      </c>
      <c r="D268" s="5">
        <v>160.363328431414</v>
      </c>
      <c r="E268" s="5">
        <v>207.14783676239901</v>
      </c>
      <c r="F268" s="5">
        <v>179.445315780382</v>
      </c>
      <c r="G268" s="5">
        <v>181.246657300859</v>
      </c>
      <c r="H268" s="5">
        <v>2.2692528058945101</v>
      </c>
      <c r="I268" s="5">
        <v>2.2692528058945101</v>
      </c>
      <c r="J268" s="5">
        <v>2.2692528058945101</v>
      </c>
      <c r="K268" s="5">
        <v>2.2692528058945101</v>
      </c>
      <c r="L268" s="5">
        <v>2.2692528058945101</v>
      </c>
      <c r="M268" s="5">
        <v>2.2692528058945101</v>
      </c>
      <c r="N268" s="5">
        <v>0</v>
      </c>
      <c r="O268" s="5">
        <v>0</v>
      </c>
      <c r="P268" s="5">
        <v>0</v>
      </c>
    </row>
    <row r="269" spans="1:16" x14ac:dyDescent="0.2">
      <c r="A269" s="5">
        <v>267</v>
      </c>
      <c r="B269" s="6">
        <v>45375</v>
      </c>
      <c r="C269" s="5">
        <v>179.845481561627</v>
      </c>
      <c r="D269" s="5">
        <v>157.03609874981899</v>
      </c>
      <c r="E269" s="5">
        <v>205.79373935602899</v>
      </c>
      <c r="F269" s="5">
        <v>178.81544662453899</v>
      </c>
      <c r="G269" s="5">
        <v>180.82595630035601</v>
      </c>
      <c r="H269" s="5">
        <v>2.2692520240993401</v>
      </c>
      <c r="I269" s="5">
        <v>2.2692520240993401</v>
      </c>
      <c r="J269" s="5">
        <v>2.2692520240993401</v>
      </c>
      <c r="K269" s="5">
        <v>2.2692520240993401</v>
      </c>
      <c r="L269" s="5">
        <v>2.2692520240993401</v>
      </c>
      <c r="M269" s="5">
        <v>2.2692520240993401</v>
      </c>
      <c r="N269" s="5">
        <v>0</v>
      </c>
      <c r="O269" s="5">
        <v>0</v>
      </c>
      <c r="P269" s="5">
        <v>0</v>
      </c>
    </row>
    <row r="270" spans="1:16" x14ac:dyDescent="0.2">
      <c r="A270" s="5">
        <v>268</v>
      </c>
      <c r="B270" s="6">
        <v>45376</v>
      </c>
      <c r="C270" s="5">
        <v>179.30942656905299</v>
      </c>
      <c r="D270" s="5">
        <v>153.83027804515501</v>
      </c>
      <c r="E270" s="5">
        <v>202.450859298804</v>
      </c>
      <c r="F270" s="5">
        <v>178.163760457097</v>
      </c>
      <c r="G270" s="5">
        <v>180.40941426082</v>
      </c>
      <c r="H270" s="5">
        <v>-1.8234865982539501</v>
      </c>
      <c r="I270" s="5">
        <v>-1.8234865982539501</v>
      </c>
      <c r="J270" s="5">
        <v>-1.8234865982539501</v>
      </c>
      <c r="K270" s="5">
        <v>-1.8234865982539501</v>
      </c>
      <c r="L270" s="5">
        <v>-1.8234865982539501</v>
      </c>
      <c r="M270" s="5">
        <v>-1.8234865982539501</v>
      </c>
      <c r="N270" s="5">
        <v>0</v>
      </c>
      <c r="O270" s="5">
        <v>0</v>
      </c>
      <c r="P270" s="5">
        <v>0</v>
      </c>
    </row>
    <row r="271" spans="1:16" x14ac:dyDescent="0.2">
      <c r="A271" s="5">
        <v>269</v>
      </c>
      <c r="B271" s="6">
        <v>45377</v>
      </c>
      <c r="C271" s="5">
        <v>178.77337157647901</v>
      </c>
      <c r="D271" s="5">
        <v>155.77047077666899</v>
      </c>
      <c r="E271" s="5">
        <v>204.06887625128999</v>
      </c>
      <c r="F271" s="5">
        <v>177.48674853456399</v>
      </c>
      <c r="G271" s="5">
        <v>179.95470641928301</v>
      </c>
      <c r="H271" s="5">
        <v>0.50257879987042298</v>
      </c>
      <c r="I271" s="5">
        <v>0.50257879987042298</v>
      </c>
      <c r="J271" s="5">
        <v>0.50257879987042298</v>
      </c>
      <c r="K271" s="5">
        <v>0.50257879987042298</v>
      </c>
      <c r="L271" s="5">
        <v>0.50257879987042298</v>
      </c>
      <c r="M271" s="5">
        <v>0.50257879987042298</v>
      </c>
      <c r="N271" s="5">
        <v>0</v>
      </c>
      <c r="O271" s="5">
        <v>0</v>
      </c>
      <c r="P271" s="5">
        <v>0</v>
      </c>
    </row>
    <row r="272" spans="1:16" x14ac:dyDescent="0.2">
      <c r="A272" s="5">
        <v>270</v>
      </c>
      <c r="B272" s="6">
        <v>45378</v>
      </c>
      <c r="C272" s="5">
        <v>178.237316583905</v>
      </c>
      <c r="D272" s="5">
        <v>154.96133085826901</v>
      </c>
      <c r="E272" s="5">
        <v>200.94554882874399</v>
      </c>
      <c r="F272" s="5">
        <v>176.813832438834</v>
      </c>
      <c r="G272" s="5">
        <v>179.53617630362399</v>
      </c>
      <c r="H272" s="5">
        <v>-0.35171639328566101</v>
      </c>
      <c r="I272" s="5">
        <v>-0.35171639328566101</v>
      </c>
      <c r="J272" s="5">
        <v>-0.35171639328566101</v>
      </c>
      <c r="K272" s="5">
        <v>-0.35171639328566101</v>
      </c>
      <c r="L272" s="5">
        <v>-0.35171639328566101</v>
      </c>
      <c r="M272" s="5">
        <v>-0.35171639328566101</v>
      </c>
      <c r="N272" s="5">
        <v>0</v>
      </c>
      <c r="O272" s="5">
        <v>0</v>
      </c>
      <c r="P272" s="5">
        <v>0</v>
      </c>
    </row>
    <row r="273" spans="1:16" x14ac:dyDescent="0.2">
      <c r="A273" s="5">
        <v>271</v>
      </c>
      <c r="B273" s="6">
        <v>45379</v>
      </c>
      <c r="C273" s="5">
        <v>177.70126159133099</v>
      </c>
      <c r="D273" s="5">
        <v>152.83179089065499</v>
      </c>
      <c r="E273" s="5">
        <v>199.99809689297399</v>
      </c>
      <c r="F273" s="5">
        <v>176.158491453968</v>
      </c>
      <c r="G273" s="5">
        <v>179.138994542467</v>
      </c>
      <c r="H273" s="5">
        <v>-1.3846615833228999</v>
      </c>
      <c r="I273" s="5">
        <v>-1.3846615833228999</v>
      </c>
      <c r="J273" s="5">
        <v>-1.3846615833228999</v>
      </c>
      <c r="K273" s="5">
        <v>-1.3846615833228999</v>
      </c>
      <c r="L273" s="5">
        <v>-1.3846615833228999</v>
      </c>
      <c r="M273" s="5">
        <v>-1.3846615833228999</v>
      </c>
      <c r="N273" s="5">
        <v>0</v>
      </c>
      <c r="O273" s="5">
        <v>0</v>
      </c>
      <c r="P273" s="5">
        <v>0</v>
      </c>
    </row>
    <row r="274" spans="1:16" x14ac:dyDescent="0.2">
      <c r="A274" s="5">
        <v>272</v>
      </c>
      <c r="B274" s="6">
        <v>45380</v>
      </c>
      <c r="C274" s="5">
        <v>177.16520659875701</v>
      </c>
      <c r="D274" s="5">
        <v>151.82190010321199</v>
      </c>
      <c r="E274" s="5">
        <v>199.29687735173599</v>
      </c>
      <c r="F274" s="5">
        <v>175.508593700093</v>
      </c>
      <c r="G274" s="5">
        <v>178.71991727890301</v>
      </c>
      <c r="H274" s="5">
        <v>-1.48121905500965</v>
      </c>
      <c r="I274" s="5">
        <v>-1.48121905500965</v>
      </c>
      <c r="J274" s="5">
        <v>-1.48121905500965</v>
      </c>
      <c r="K274" s="5">
        <v>-1.48121905500965</v>
      </c>
      <c r="L274" s="5">
        <v>-1.48121905500965</v>
      </c>
      <c r="M274" s="5">
        <v>-1.48121905500965</v>
      </c>
      <c r="N274" s="5">
        <v>0</v>
      </c>
      <c r="O274" s="5">
        <v>0</v>
      </c>
      <c r="P274" s="5">
        <v>0</v>
      </c>
    </row>
    <row r="275" spans="1:16" x14ac:dyDescent="0.2">
      <c r="A275" s="5">
        <v>273</v>
      </c>
      <c r="B275" s="6">
        <v>45381</v>
      </c>
      <c r="C275" s="5">
        <v>176.629151606183</v>
      </c>
      <c r="D275" s="5">
        <v>153.47053193340199</v>
      </c>
      <c r="E275" s="5">
        <v>201.53779828320299</v>
      </c>
      <c r="F275" s="5">
        <v>174.86104095503899</v>
      </c>
      <c r="G275" s="5">
        <v>178.30097081165999</v>
      </c>
      <c r="H275" s="5">
        <v>2.2692528058891002</v>
      </c>
      <c r="I275" s="5">
        <v>2.2692528058891002</v>
      </c>
      <c r="J275" s="5">
        <v>2.2692528058891002</v>
      </c>
      <c r="K275" s="5">
        <v>2.2692528058891002</v>
      </c>
      <c r="L275" s="5">
        <v>2.2692528058891002</v>
      </c>
      <c r="M275" s="5">
        <v>2.2692528058891002</v>
      </c>
      <c r="N275" s="5">
        <v>0</v>
      </c>
      <c r="O275" s="5">
        <v>0</v>
      </c>
      <c r="P275" s="5">
        <v>0</v>
      </c>
    </row>
    <row r="276" spans="1:16" x14ac:dyDescent="0.2">
      <c r="A276" s="5">
        <v>274</v>
      </c>
      <c r="B276" s="6">
        <v>45382</v>
      </c>
      <c r="C276" s="5">
        <v>176.09309661360899</v>
      </c>
      <c r="D276" s="5">
        <v>152.96751339341199</v>
      </c>
      <c r="E276" s="5">
        <v>203.922157744559</v>
      </c>
      <c r="F276" s="5">
        <v>174.148865243291</v>
      </c>
      <c r="G276" s="5">
        <v>177.91638527187601</v>
      </c>
      <c r="H276" s="5">
        <v>2.2692520240933298</v>
      </c>
      <c r="I276" s="5">
        <v>2.2692520240933298</v>
      </c>
      <c r="J276" s="5">
        <v>2.2692520240933298</v>
      </c>
      <c r="K276" s="5">
        <v>2.2692520240933298</v>
      </c>
      <c r="L276" s="5">
        <v>2.2692520240933298</v>
      </c>
      <c r="M276" s="5">
        <v>2.2692520240933298</v>
      </c>
      <c r="N276" s="5">
        <v>0</v>
      </c>
      <c r="O276" s="5">
        <v>0</v>
      </c>
      <c r="P276" s="5">
        <v>0</v>
      </c>
    </row>
    <row r="277" spans="1:16" x14ac:dyDescent="0.2">
      <c r="A277" s="5">
        <v>275</v>
      </c>
      <c r="B277" s="6">
        <v>45383</v>
      </c>
      <c r="C277" s="5">
        <v>175.55704162103399</v>
      </c>
      <c r="D277" s="5">
        <v>148.84704830743499</v>
      </c>
      <c r="E277" s="5">
        <v>197.78699053712</v>
      </c>
      <c r="F277" s="5">
        <v>173.52024719262999</v>
      </c>
      <c r="G277" s="5">
        <v>177.49225849646999</v>
      </c>
      <c r="H277" s="5">
        <v>-1.82348659825273</v>
      </c>
      <c r="I277" s="5">
        <v>-1.82348659825273</v>
      </c>
      <c r="J277" s="5">
        <v>-1.82348659825273</v>
      </c>
      <c r="K277" s="5">
        <v>-1.82348659825273</v>
      </c>
      <c r="L277" s="5">
        <v>-1.82348659825273</v>
      </c>
      <c r="M277" s="5">
        <v>-1.82348659825273</v>
      </c>
      <c r="N277" s="5">
        <v>0</v>
      </c>
      <c r="O277" s="5">
        <v>0</v>
      </c>
      <c r="P277" s="5">
        <v>0</v>
      </c>
    </row>
    <row r="278" spans="1:16" x14ac:dyDescent="0.2">
      <c r="A278" s="5">
        <v>276</v>
      </c>
      <c r="B278" s="6">
        <v>45384</v>
      </c>
      <c r="C278" s="5">
        <v>175.02098662846001</v>
      </c>
      <c r="D278" s="5">
        <v>149.937663082477</v>
      </c>
      <c r="E278" s="5">
        <v>198.879750488947</v>
      </c>
      <c r="F278" s="5">
        <v>172.89203252736201</v>
      </c>
      <c r="G278" s="5">
        <v>177.05612933675999</v>
      </c>
      <c r="H278" s="5">
        <v>0.502578799864142</v>
      </c>
      <c r="I278" s="5">
        <v>0.502578799864142</v>
      </c>
      <c r="J278" s="5">
        <v>0.502578799864142</v>
      </c>
      <c r="K278" s="5">
        <v>0.502578799864142</v>
      </c>
      <c r="L278" s="5">
        <v>0.502578799864142</v>
      </c>
      <c r="M278" s="5">
        <v>0.502578799864142</v>
      </c>
      <c r="N278" s="5">
        <v>0</v>
      </c>
      <c r="O278" s="5">
        <v>0</v>
      </c>
      <c r="P278" s="5">
        <v>0</v>
      </c>
    </row>
    <row r="279" spans="1:16" x14ac:dyDescent="0.2">
      <c r="A279" s="5">
        <v>277</v>
      </c>
      <c r="B279" s="6">
        <v>45385</v>
      </c>
      <c r="C279" s="5">
        <v>174.484931635886</v>
      </c>
      <c r="D279" s="5">
        <v>148.24425156146799</v>
      </c>
      <c r="E279" s="5">
        <v>199.57291800958899</v>
      </c>
      <c r="F279" s="5">
        <v>172.26763153991101</v>
      </c>
      <c r="G279" s="5">
        <v>176.64424322519801</v>
      </c>
      <c r="H279" s="5">
        <v>-0.35171639328305099</v>
      </c>
      <c r="I279" s="5">
        <v>-0.35171639328305099</v>
      </c>
      <c r="J279" s="5">
        <v>-0.35171639328305099</v>
      </c>
      <c r="K279" s="5">
        <v>-0.35171639328305099</v>
      </c>
      <c r="L279" s="5">
        <v>-0.35171639328305099</v>
      </c>
      <c r="M279" s="5">
        <v>-0.35171639328305099</v>
      </c>
      <c r="N279" s="5">
        <v>0</v>
      </c>
      <c r="O279" s="5">
        <v>0</v>
      </c>
      <c r="P279" s="5">
        <v>0</v>
      </c>
    </row>
    <row r="280" spans="1:16" x14ac:dyDescent="0.2">
      <c r="A280" s="5">
        <v>278</v>
      </c>
      <c r="B280" s="6">
        <v>45386</v>
      </c>
      <c r="C280" s="5">
        <v>173.94887664331199</v>
      </c>
      <c r="D280" s="5">
        <v>149.165943652126</v>
      </c>
      <c r="E280" s="5">
        <v>196.78159156607799</v>
      </c>
      <c r="F280" s="5">
        <v>171.598067972504</v>
      </c>
      <c r="G280" s="5">
        <v>176.20934592742901</v>
      </c>
      <c r="H280" s="5">
        <v>-1.3846615833209199</v>
      </c>
      <c r="I280" s="5">
        <v>-1.3846615833209199</v>
      </c>
      <c r="J280" s="5">
        <v>-1.3846615833209199</v>
      </c>
      <c r="K280" s="5">
        <v>-1.3846615833209199</v>
      </c>
      <c r="L280" s="5">
        <v>-1.3846615833209199</v>
      </c>
      <c r="M280" s="5">
        <v>-1.3846615833209199</v>
      </c>
      <c r="N280" s="5">
        <v>0</v>
      </c>
      <c r="O280" s="5">
        <v>0</v>
      </c>
      <c r="P280" s="5">
        <v>0</v>
      </c>
    </row>
    <row r="281" spans="1:16" x14ac:dyDescent="0.2">
      <c r="A281" s="5">
        <v>279</v>
      </c>
      <c r="B281" s="6">
        <v>45387</v>
      </c>
      <c r="C281" s="5">
        <v>173.41282165073801</v>
      </c>
      <c r="D281" s="5">
        <v>148.92190314640999</v>
      </c>
      <c r="E281" s="5">
        <v>196.52083498050399</v>
      </c>
      <c r="F281" s="5">
        <v>170.90215226275899</v>
      </c>
      <c r="G281" s="5">
        <v>175.80703709143401</v>
      </c>
      <c r="H281" s="5">
        <v>-1.4812190550059201</v>
      </c>
      <c r="I281" s="5">
        <v>-1.4812190550059201</v>
      </c>
      <c r="J281" s="5">
        <v>-1.4812190550059201</v>
      </c>
      <c r="K281" s="5">
        <v>-1.4812190550059201</v>
      </c>
      <c r="L281" s="5">
        <v>-1.4812190550059201</v>
      </c>
      <c r="M281" s="5">
        <v>-1.4812190550059201</v>
      </c>
      <c r="N281" s="5">
        <v>0</v>
      </c>
      <c r="O281" s="5">
        <v>0</v>
      </c>
      <c r="P281" s="5">
        <v>0</v>
      </c>
    </row>
    <row r="282" spans="1:16" x14ac:dyDescent="0.2">
      <c r="A282" s="5">
        <v>280</v>
      </c>
      <c r="B282" s="6">
        <v>45388</v>
      </c>
      <c r="C282" s="5">
        <v>172.876766658164</v>
      </c>
      <c r="D282" s="5">
        <v>151.552410113441</v>
      </c>
      <c r="E282" s="5">
        <v>198.63889311797101</v>
      </c>
      <c r="F282" s="5">
        <v>170.261426562498</v>
      </c>
      <c r="G282" s="5">
        <v>175.36348538159001</v>
      </c>
      <c r="H282" s="5">
        <v>2.2692528058953498</v>
      </c>
      <c r="I282" s="5">
        <v>2.2692528058953498</v>
      </c>
      <c r="J282" s="5">
        <v>2.2692528058953498</v>
      </c>
      <c r="K282" s="5">
        <v>2.2692528058953498</v>
      </c>
      <c r="L282" s="5">
        <v>2.2692528058953498</v>
      </c>
      <c r="M282" s="5">
        <v>2.2692528058953498</v>
      </c>
      <c r="N282" s="5">
        <v>0</v>
      </c>
      <c r="O282" s="5">
        <v>0</v>
      </c>
      <c r="P282" s="5">
        <v>0</v>
      </c>
    </row>
    <row r="283" spans="1:16" x14ac:dyDescent="0.2">
      <c r="A283" s="5">
        <v>281</v>
      </c>
      <c r="B283" s="6">
        <v>45389</v>
      </c>
      <c r="C283" s="5">
        <v>172.34071166558999</v>
      </c>
      <c r="D283" s="5">
        <v>149.77293178435499</v>
      </c>
      <c r="E283" s="5">
        <v>197.869530554965</v>
      </c>
      <c r="F283" s="5">
        <v>169.60269646895</v>
      </c>
      <c r="G283" s="5">
        <v>174.96409170089299</v>
      </c>
      <c r="H283" s="5">
        <v>2.2692520240921299</v>
      </c>
      <c r="I283" s="5">
        <v>2.2692520240921299</v>
      </c>
      <c r="J283" s="5">
        <v>2.2692520240921299</v>
      </c>
      <c r="K283" s="5">
        <v>2.2692520240921299</v>
      </c>
      <c r="L283" s="5">
        <v>2.2692520240921299</v>
      </c>
      <c r="M283" s="5">
        <v>2.2692520240921299</v>
      </c>
      <c r="N283" s="5">
        <v>0</v>
      </c>
      <c r="O283" s="5">
        <v>0</v>
      </c>
      <c r="P283" s="5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forecast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modified xsi:type="dcterms:W3CDTF">2024-03-09T23:49:54Z</dcterms:modified>
</cp:coreProperties>
</file>