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omments5.xml" ContentType="application/vnd.openxmlformats-officedocument.spreadsheetml.comments+xml"/>
  <Override PartName="/xl/comments6.xml" ContentType="application/vnd.openxmlformats-officedocument.spreadsheetml.comments+xml"/>
  <Override PartName="/xl/comments7.xml" ContentType="application/vnd.openxmlformats-officedocument.spreadsheetml.comments+xml"/>
  <Override PartName="/xl/comments8.xml" ContentType="application/vnd.openxmlformats-officedocument.spreadsheetml.comments+xml"/>
  <Override PartName="/xl/comments9.xml" ContentType="application/vnd.openxmlformats-officedocument.spreadsheetml.comments+xml"/>
  <Override PartName="/xl/comments10.xml" ContentType="application/vnd.openxmlformats-officedocument.spreadsheetml.comments+xml"/>
  <Override PartName="/xl/comments11.xml" ContentType="application/vnd.openxmlformats-officedocument.spreadsheetml.comments+xml"/>
  <Override PartName="/xl/comments12.xml" ContentType="application/vnd.openxmlformats-officedocument.spreadsheetml.comments+xml"/>
  <Override PartName="/xl/comments13.xml" ContentType="application/vnd.openxmlformats-officedocument.spreadsheetml.comments+xml"/>
  <Override PartName="/xl/comments14.xml" ContentType="application/vnd.openxmlformats-officedocument.spreadsheetml.comments+xml"/>
  <Override PartName="/xl/comments15.xml" ContentType="application/vnd.openxmlformats-officedocument.spreadsheetml.comments+xml"/>
  <Override PartName="/xl/comments16.xml" ContentType="application/vnd.openxmlformats-officedocument.spreadsheetml.comments+xml"/>
  <Override PartName="/xl/comments17.xml" ContentType="application/vnd.openxmlformats-officedocument.spreadsheetml.comments+xml"/>
  <Override PartName="/xl/comments18.xml" ContentType="application/vnd.openxmlformats-officedocument.spreadsheetml.comments+xml"/>
  <Override PartName="/xl/comments19.xml" ContentType="application/vnd.openxmlformats-officedocument.spreadsheetml.comments+xml"/>
  <Override PartName="/xl/comments20.xml" ContentType="application/vnd.openxmlformats-officedocument.spreadsheetml.comments+xml"/>
  <Override PartName="/xl/comments21.xml" ContentType="application/vnd.openxmlformats-officedocument.spreadsheetml.comments+xml"/>
  <Override PartName="/xl/comments22.xml" ContentType="application/vnd.openxmlformats-officedocument.spreadsheetml.comments+xml"/>
  <Override PartName="/xl/comments23.xml" ContentType="application/vnd.openxmlformats-officedocument.spreadsheetml.comments+xml"/>
  <Override PartName="/xl/comments24.xml" ContentType="application/vnd.openxmlformats-officedocument.spreadsheetml.comments+xml"/>
  <Override PartName="/xl/comments25.xml" ContentType="application/vnd.openxmlformats-officedocument.spreadsheetml.comments+xml"/>
  <Override PartName="/xl/comments26.xml" ContentType="application/vnd.openxmlformats-officedocument.spreadsheetml.comments+xml"/>
  <Override PartName="/xl/comments27.xml" ContentType="application/vnd.openxmlformats-officedocument.spreadsheetml.comments+xml"/>
  <Override PartName="/xl/comments28.xml" ContentType="application/vnd.openxmlformats-officedocument.spreadsheetml.comments+xml"/>
  <Override PartName="/xl/comments29.xml" ContentType="application/vnd.openxmlformats-officedocument.spreadsheetml.comments+xml"/>
  <Override PartName="/xl/comments30.xml" ContentType="application/vnd.openxmlformats-officedocument.spreadsheetml.comments+xml"/>
  <Override PartName="/xl/comments31.xml" ContentType="application/vnd.openxmlformats-officedocument.spreadsheetml.comments+xml"/>
  <Override PartName="/xl/comments32.xml" ContentType="application/vnd.openxmlformats-officedocument.spreadsheetml.comments+xml"/>
  <Override PartName="/xl/comments33.xml" ContentType="application/vnd.openxmlformats-officedocument.spreadsheetml.comments+xml"/>
  <Override PartName="/xl/comments34.xml" ContentType="application/vnd.openxmlformats-officedocument.spreadsheetml.comments+xml"/>
  <Override PartName="/xl/comments35.xml" ContentType="application/vnd.openxmlformats-officedocument.spreadsheetml.comments+xml"/>
  <Override PartName="/xl/comments36.xml" ContentType="application/vnd.openxmlformats-officedocument.spreadsheetml.comments+xml"/>
  <Override PartName="/xl/comments37.xml" ContentType="application/vnd.openxmlformats-officedocument.spreadsheetml.comments+xml"/>
  <Override PartName="/xl/comments38.xml" ContentType="application/vnd.openxmlformats-officedocument.spreadsheetml.comments+xml"/>
  <Override PartName="/xl/comments39.xml" ContentType="application/vnd.openxmlformats-officedocument.spreadsheetml.comments+xml"/>
  <Override PartName="/xl/comments40.xml" ContentType="application/vnd.openxmlformats-officedocument.spreadsheetml.comments+xml"/>
  <Override PartName="/xl/comments41.xml" ContentType="application/vnd.openxmlformats-officedocument.spreadsheetml.comments+xml"/>
  <Override PartName="/xl/comments42.xml" ContentType="application/vnd.openxmlformats-officedocument.spreadsheetml.comments+xml"/>
  <Override PartName="/xl/comments43.xml" ContentType="application/vnd.openxmlformats-officedocument.spreadsheetml.comments+xml"/>
  <Override PartName="/xl/comments44.xml" ContentType="application/vnd.openxmlformats-officedocument.spreadsheetml.comments+xml"/>
  <Override PartName="/xl/comments45.xml" ContentType="application/vnd.openxmlformats-officedocument.spreadsheetml.comments+xml"/>
  <Override PartName="/xl/comments46.xml" ContentType="application/vnd.openxmlformats-officedocument.spreadsheetml.comments+xml"/>
  <Override PartName="/xl/comments47.xml" ContentType="application/vnd.openxmlformats-officedocument.spreadsheetml.comments+xml"/>
  <Override PartName="/xl/comments48.xml" ContentType="application/vnd.openxmlformats-officedocument.spreadsheetml.comments+xml"/>
  <Override PartName="/xl/comments49.xml" ContentType="application/vnd.openxmlformats-officedocument.spreadsheetml.comments+xml"/>
  <Override PartName="/xl/comments50.xml" ContentType="application/vnd.openxmlformats-officedocument.spreadsheetml.comments+xml"/>
  <Override PartName="/xl/comments51.xml" ContentType="application/vnd.openxmlformats-officedocument.spreadsheetml.comments+xml"/>
  <Override PartName="/xl/comments52.xml" ContentType="application/vnd.openxmlformats-officedocument.spreadsheetml.comments+xml"/>
  <Override PartName="/xl/comments53.xml" ContentType="application/vnd.openxmlformats-officedocument.spreadsheetml.comments+xml"/>
  <Override PartName="/xl/comments54.xml" ContentType="application/vnd.openxmlformats-officedocument.spreadsheetml.comments+xml"/>
  <Override PartName="/xl/comments55.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2="http://schemas.microsoft.com/office/spreadsheetml/2015/revision2" mc:Ignorable="x15 xr2">
  <fileVersion appName="xl" lastEdited="7" lowestEdited="5" rupBuild="18326"/>
  <workbookPr codeName="ThisWorkbook" defaultThemeVersion="124226"/>
  <mc:AlternateContent xmlns:mc="http://schemas.openxmlformats.org/markup-compatibility/2006">
    <mc:Choice Requires="x15">
      <x15ac:absPath xmlns:x15ac="http://schemas.microsoft.com/office/spreadsheetml/2010/11/ac" url="C:\Users\hughp\Documents\grattan\data-raw\CAPITA\"/>
    </mc:Choice>
  </mc:AlternateContent>
  <bookViews>
    <workbookView xWindow="2460" yWindow="465" windowWidth="23700" windowHeight="9000" tabRatio="952" firstSheet="30" activeTab="42" xr2:uid="{00000000-000D-0000-FFFF-FFFF00000000}"/>
  </bookViews>
  <sheets>
    <sheet name="Contents" sheetId="61" r:id="rId1"/>
    <sheet name="CPI" sheetId="3" r:id="rId2"/>
    <sheet name="CPI_A" sheetId="4" r:id="rId3"/>
    <sheet name="AWE" sheetId="5" r:id="rId4"/>
    <sheet name="AWE_A" sheetId="6" r:id="rId5"/>
    <sheet name="PBLCI" sheetId="7" r:id="rId6"/>
    <sheet name="PBLCI_A" sheetId="8" r:id="rId7"/>
    <sheet name="DVA" sheetId="10" r:id="rId8"/>
    <sheet name="DVA_A" sheetId="11" r:id="rId9"/>
    <sheet name="Pensions" sheetId="12" r:id="rId10"/>
    <sheet name="Pensions_A" sheetId="13" r:id="rId11"/>
    <sheet name="Carers" sheetId="14" r:id="rId12"/>
    <sheet name="Carers_A" sheetId="15" r:id="rId13"/>
    <sheet name="PPS" sheetId="16" r:id="rId14"/>
    <sheet name="PPS_A" sheetId="17" r:id="rId15"/>
    <sheet name="YouthDSP" sheetId="18" r:id="rId16"/>
    <sheet name="YouthDSP_A" sheetId="19" r:id="rId17"/>
    <sheet name="Unemployment" sheetId="20" r:id="rId18"/>
    <sheet name="Unemployment_A" sheetId="21" r:id="rId19"/>
    <sheet name="YouthStudents" sheetId="22" r:id="rId20"/>
    <sheet name="YouthStudents_A" sheetId="23" r:id="rId21"/>
    <sheet name="YouthUnemployment" sheetId="24" r:id="rId22"/>
    <sheet name="YouthUnemployment_A" sheetId="25" r:id="rId23"/>
    <sheet name="PenEdSup" sheetId="26" r:id="rId24"/>
    <sheet name="PenEdSup_A" sheetId="27" r:id="rId25"/>
    <sheet name="SSDepIncLimit" sheetId="28" r:id="rId26"/>
    <sheet name="SSDepIncLimit_A" sheetId="29" r:id="rId27"/>
    <sheet name="PharmA" sheetId="30" r:id="rId28"/>
    <sheet name="PharmA_A" sheetId="31" r:id="rId29"/>
    <sheet name="TelephoneUtility" sheetId="32" r:id="rId30"/>
    <sheet name="TelephoneUtility_A" sheetId="33" r:id="rId31"/>
    <sheet name="SeniorSup" sheetId="34" r:id="rId32"/>
    <sheet name="SeniorSup_A" sheetId="35" r:id="rId33"/>
    <sheet name="RentA" sheetId="36" r:id="rId34"/>
    <sheet name="RentA_A" sheetId="37" r:id="rId35"/>
    <sheet name="LIS" sheetId="38" r:id="rId36"/>
    <sheet name="LIS_A" sheetId="39" r:id="rId37"/>
    <sheet name="IncomeSupportBonus" sheetId="40" r:id="rId38"/>
    <sheet name="IncomeSupportBonus_A" sheetId="41" r:id="rId39"/>
    <sheet name="Childcare" sheetId="42" r:id="rId40"/>
    <sheet name="Childcare_A" sheetId="43" r:id="rId41"/>
    <sheet name="FTBA" sheetId="44" r:id="rId42"/>
    <sheet name="FTBA_A" sheetId="45" r:id="rId43"/>
    <sheet name="FTBB" sheetId="46" r:id="rId44"/>
    <sheet name="FTBB_A" sheetId="47" r:id="rId45"/>
    <sheet name="BabyBonus" sheetId="48" r:id="rId46"/>
    <sheet name="BabyBonus_A" sheetId="49" r:id="rId47"/>
    <sheet name="SchoolKidsBonus" sheetId="50" r:id="rId48"/>
    <sheet name="SchoolKidsBonus_A" sheetId="51" r:id="rId49"/>
    <sheet name="SIFS" sheetId="52" r:id="rId50"/>
    <sheet name="SIFS_A" sheetId="53" r:id="rId51"/>
    <sheet name="TaxSchedule" sheetId="54" r:id="rId52"/>
    <sheet name="MedicareAndLevies" sheetId="56" r:id="rId53"/>
    <sheet name="RebatesOffsets" sheetId="57" r:id="rId54"/>
    <sheet name="SuperBenefits" sheetId="60" r:id="rId55"/>
  </sheets>
  <externalReferences>
    <externalReference r:id="rId56"/>
  </externalReferences>
  <definedNames>
    <definedName name="AWE_ADates">AWE_A!$A$8:$A$37</definedName>
    <definedName name="AWE_ANames">AWE_A!$B$7:$M$7</definedName>
    <definedName name="AWE_AParms">AWE_A!$B$8:$M$37</definedName>
    <definedName name="AWEDates">AWE!$A$8:$A$127</definedName>
    <definedName name="AWENames">AWE!$B$7:$M$7</definedName>
    <definedName name="AWEParms">AWE!$B$8:$M$127</definedName>
    <definedName name="BabyBonus_ADates">BabyBonus_A!$A$8:$A$28</definedName>
    <definedName name="BabyBonus_ANames">BabyBonus_A!$C$7:$E$7</definedName>
    <definedName name="BabyBonus_AParms">BabyBonus_A!$C$8:$E$28</definedName>
    <definedName name="BabyBonusDates">BabyBonus!$A$8:$A$91</definedName>
    <definedName name="BabyBonusNames">BabyBonus!$C$7:$E$7</definedName>
    <definedName name="BabyBonusParms">BabyBonus!$C$8:$E$91</definedName>
    <definedName name="BusinessTaxDates">#REF!</definedName>
    <definedName name="BusinessTaxNames">#REF!</definedName>
    <definedName name="BusinessTaxParms">#REF!</definedName>
    <definedName name="Carers_ADates">Carers_A!$A$8:$A$28</definedName>
    <definedName name="Carers_ANames">Carers_A!$C$7:$D$7</definedName>
    <definedName name="Carers_AParms">Carers_A!$C$8:$D$28</definedName>
    <definedName name="CarersDates">Carers!$A$8:$A$91</definedName>
    <definedName name="CarersNames">Carers!$C$7:$D$7</definedName>
    <definedName name="CarersParms">Carers!$C$8:$D$91</definedName>
    <definedName name="Childcare_ADates">Childcare_A!$A$8:$A$28</definedName>
    <definedName name="Childcare_ANames">Childcare_A!$C$7:$AZ$7</definedName>
    <definedName name="Childcare_AParms">Childcare_A!$C$8:$AZ$28</definedName>
    <definedName name="ChildcareDates">Childcare!$A$8:$A$91</definedName>
    <definedName name="ChildcareNames">Childcare!$C$7:$AZ$7</definedName>
    <definedName name="ChildcareParms">Childcare!$C$8:$AZ$91</definedName>
    <definedName name="CPI_ADates">CPI_A!$A$8:$A$37</definedName>
    <definedName name="CPI_ANames">CPI_A!$B$7:$G$7</definedName>
    <definedName name="CPI_AParms">CPI_A!$B$8:$G$37</definedName>
    <definedName name="CPIarray">[1]CPI!$AF$5:$AK$244</definedName>
    <definedName name="CPIDates">CPI!$A$8:$A$127</definedName>
    <definedName name="CPINames">CPI!$B$7:$G$7</definedName>
    <definedName name="CPIParms">CPI!$B$8:$G$2127</definedName>
    <definedName name="CPStoCAPITA">#REF!</definedName>
    <definedName name="DVA_ADates">DVA_A!$A$8:$A$28</definedName>
    <definedName name="DVA_ANames">DVA_A!$C$7:$T$7</definedName>
    <definedName name="DVA_AParms">DVA_A!$C$8:$T$28</definedName>
    <definedName name="DVADates">DVA!$A$8:$A$91</definedName>
    <definedName name="DVANames">DVA!$C$7:$T$7</definedName>
    <definedName name="DVAParms">DVA!$C$8:$T$91</definedName>
    <definedName name="FTBA_ADates">FTBA_A!$A$8:$A$28</definedName>
    <definedName name="FTBA_ANames">FTBA_A!$C$7:$AM$7</definedName>
    <definedName name="FTBA_AParms">FTBA_A!$C$8:$AM$28</definedName>
    <definedName name="FTBADates">FTBA!$A$8:$A$91</definedName>
    <definedName name="FTBANames">FTBA!$C$7:$AM$7</definedName>
    <definedName name="FTBAParms">FTBA!$C$8:$AM$91</definedName>
    <definedName name="FTBB_ADates">FTBB_A!$A$8:$A$28</definedName>
    <definedName name="FTBB_ANames">FTBB_A!$C$7:$O$7</definedName>
    <definedName name="FTBB_AParms">FTBB_A!$C$8:$O$28</definedName>
    <definedName name="FTBBDates">FTBB!$A$8:$A$91</definedName>
    <definedName name="FTBBNames">FTBB!$C$7:$O$7</definedName>
    <definedName name="FTBBParms">FTBB!$C$8:$O$91</definedName>
    <definedName name="GovtBondsDates">#REF!</definedName>
    <definedName name="GovtBondsNames">#REF!</definedName>
    <definedName name="GovtBondsParms">#REF!</definedName>
    <definedName name="HELPDates">#REF!</definedName>
    <definedName name="HELPNames">#REF!</definedName>
    <definedName name="HELPParms">#REF!</definedName>
    <definedName name="IncomeSupportBonus_ADates">IncomeSupportBonus_A!$A$8:$A$28</definedName>
    <definedName name="IncomeSupportBonus_ANames">IncomeSupportBonus_A!$C$7:$D$7</definedName>
    <definedName name="IncomeSupportBonus_AParms">IncomeSupportBonus_A!$C$8:$D$28</definedName>
    <definedName name="IncomeSupportBonusDates">IncomeSupportBonus!$A$8:$A$91</definedName>
    <definedName name="IncomeSupportBonusNames">IncomeSupportBonus!$C$7:$D$7</definedName>
    <definedName name="IncomeSupportBonusParms">IncomeSupportBonus!$C$8:$D$91</definedName>
    <definedName name="Index_BENMOD_VarNames">#REF!</definedName>
    <definedName name="Index_CAPITA_VarNames">#REF!</definedName>
    <definedName name="Index_Description">#REF!</definedName>
    <definedName name="Index_Mnemonics">#REF!</definedName>
    <definedName name="Index_RIMGROUP_VarNames">#REF!</definedName>
    <definedName name="Index_RIMHYPO_VarNames">#REF!</definedName>
    <definedName name="Index_TAXMOD_VarNames">#REF!</definedName>
    <definedName name="Index_VarWorksheet">#REF!</definedName>
    <definedName name="IndexMnemonicNames">#REF!</definedName>
    <definedName name="IndexWorksheetNames">#REF!</definedName>
    <definedName name="LIS_ADates">LIS_A!$A$8:$A$28</definedName>
    <definedName name="LIS_ANames">LIS_A!$C$7:$G$7</definedName>
    <definedName name="LIS_AParms">LIS_A!$C$8:$G$28</definedName>
    <definedName name="LISDates">LIS!$A$8:$A$91</definedName>
    <definedName name="LISNames">LIS!$C$7:$G$7</definedName>
    <definedName name="LISParms">LIS!$C$8:$G$91</definedName>
    <definedName name="MedicareAndLeviesDates">MedicareAndLevies!$A$8:$A$28</definedName>
    <definedName name="MedicareAndLeviesNames">MedicareAndLevies!$C$7:$AG$7</definedName>
    <definedName name="MedicareAndLeviesParms">MedicareAndLevies!$C$8:$AG$28</definedName>
    <definedName name="PBLCI_ADates">PBLCI_A!$A$8:$A$21</definedName>
    <definedName name="PBLCI_ANames">PBLCI_A!$B$7:$C$7</definedName>
    <definedName name="PBLCI_AParms">PBLCI_A!$B$8:$C$21</definedName>
    <definedName name="PBLCIDates">PBLCI!$A$8:$A$63</definedName>
    <definedName name="PBLCINames">PBLCI!$B$7:$C$7</definedName>
    <definedName name="PBLCIParms">PBLCI!$B$8:$C$63</definedName>
    <definedName name="peAWEarray" localSheetId="4">AWE_A!$A$24:$L$59</definedName>
    <definedName name="peAWEarray">AWE!$A$72:$L$127</definedName>
    <definedName name="peAWOTE">AWE!$H$8:$H$127</definedName>
    <definedName name="peAWOTEa">AWE_A!$H:$H</definedName>
    <definedName name="peAWOTEDates">AWE!$A$8:$A$127</definedName>
    <definedName name="peAWOTESa">AWE!$L$8:$L$127</definedName>
    <definedName name="peAWOTESaDates">AWE!$A$8:$A$127</definedName>
    <definedName name="peCPIarray" localSheetId="2">CPI_A!$A$24:$F$37</definedName>
    <definedName name="peCPIarray">CPI!$A$12:$F$127</definedName>
    <definedName name="peCpiFp">CPI!$D$8:$D$127</definedName>
    <definedName name="peCpiFpDates">CPI!$A$8:$A$127</definedName>
    <definedName name="peMTAWE">AWE!$B$8:$B$127</definedName>
    <definedName name="peMTAWEarray">AWE!$A$8:$B$127</definedName>
    <definedName name="peMTAWEDates">AWE!$A$8:$A$127</definedName>
    <definedName name="PenEdSup_ADates">PenEdSup_A!$A$8:$A$28</definedName>
    <definedName name="PenEdSup_ANames">PenEdSup_A!$C$7:$E$7</definedName>
    <definedName name="PenEdSup_AParms">PenEdSup_A!$C$8:$E$28</definedName>
    <definedName name="PenEdSupDates">PenEdSup!$A$8:$A$91</definedName>
    <definedName name="PenEdSupNames">PenEdSup!$C$7:$E$7</definedName>
    <definedName name="PenEdSupParms">PenEdSup!$C$8:$E$91</definedName>
    <definedName name="Pensions_ADates">Pensions_A!$A$8:$A$28</definedName>
    <definedName name="Pensions_ANames">Pensions_A!$C$7:$AJ$7</definedName>
    <definedName name="Pensions_AParms">Pensions_A!$C$8:$AJ$28</definedName>
    <definedName name="PensionsDates">Pensions!$A$8:$A$91</definedName>
    <definedName name="PensionsNames">Pensions!$C$7:$AJ$7</definedName>
    <definedName name="PensionsParms">Pensions!$C$8:$AJ$91</definedName>
    <definedName name="pePBLCI">PBLCI!$B$8:$B$63</definedName>
    <definedName name="pePBLCIDates">PBLCI!$A$8:$A$63</definedName>
    <definedName name="pePTAWE">AWE!$F$8:$F$127</definedName>
    <definedName name="pePTAWEDates">AWE!$A$8:$A$127</definedName>
    <definedName name="pePTAWESa">AWE!$J$8:$J$127</definedName>
    <definedName name="pePTAWESaDates">AWE!$A$8:$A$127</definedName>
    <definedName name="PharmA_ADates">PharmA_A!$A$8:$A$28</definedName>
    <definedName name="PharmA_ANames">PharmA_A!$C$7:$D$7</definedName>
    <definedName name="pharmA_AParms">PharmA_A!$C$8:$D$28</definedName>
    <definedName name="PharmADates">PharmA!$A$8:$A$91</definedName>
    <definedName name="PharmANames">PharmA!$C$7:$D$7</definedName>
    <definedName name="PharmAParms">PharmA!$C$8:$D$91</definedName>
    <definedName name="PPS_ADates">PPS_A!$A$8:$A$28</definedName>
    <definedName name="PPS_ANames">PPS_A!$C$7:$L$7</definedName>
    <definedName name="PPS_AParms">PPS_A!$C$8:$L$28</definedName>
    <definedName name="PPSDates">PPS!$A$8:$A$91</definedName>
    <definedName name="PPSNames">PPS!$C$7:$L$7</definedName>
    <definedName name="PPSParms">PPS!$C$8:$L$91</definedName>
    <definedName name="RebatesOffsetsDates">RebatesOffsets!$A$8:$A$28</definedName>
    <definedName name="RebatesOffsetsNames">RebatesOffsets!$C$7:$AY$7</definedName>
    <definedName name="RebatesOffsetsParms">RebatesOffsets!$C$8:$AY$28</definedName>
    <definedName name="RentA_ADates">RentA_A!$A$8:$A$28</definedName>
    <definedName name="RentA_ANames">RentA_A!$C$7:$O$7</definedName>
    <definedName name="RentA_AParms">RentA_A!$C$8:$O$28</definedName>
    <definedName name="RentADates">RentA!$A$8:$A$91</definedName>
    <definedName name="RentANames">RentA!$C$7:$O$7</definedName>
    <definedName name="RentAParms">RentA!$C$8:$O$91</definedName>
    <definedName name="SchoolKidsBonus_ADates">SchoolKidsBonus_A!$A$8:$A$28</definedName>
    <definedName name="SchoolKidsBonus_ANames">SchoolKidsBonus_A!$C$7:$E$7</definedName>
    <definedName name="SchoolKidsBonus_AParms">SchoolKidsBonus_A!$C$8:$E$28</definedName>
    <definedName name="SchoolKidsBonusDates">SchoolKidsBonus!$A$8:$A$91</definedName>
    <definedName name="SchoolKidsBonusNames">SchoolKidsBonus!$C$7:$E$7</definedName>
    <definedName name="SchoolKidsBonusParms">SchoolKidsBonus!$C$8:$E$91</definedName>
    <definedName name="SeniorSup_ADates">SeniorSup_A!$A$8:$A$28</definedName>
    <definedName name="SeniorSup_ANames">SeniorSup_A!$C$7:$I$7</definedName>
    <definedName name="SeniorSup_AParms">SeniorSup_A!$C$8:$I$28</definedName>
    <definedName name="SeniorSupDates">SeniorSup!$A$8:$A$91</definedName>
    <definedName name="SeniorSupNames">SeniorSup!$C$7:$I$7</definedName>
    <definedName name="SeniorSupParms">SeniorSup!$C$8:$I$91</definedName>
    <definedName name="SIFS_ADates">SIFS_A!$A$8:$A$28</definedName>
    <definedName name="SIFS_ANames">SIFS_A!$C$7:$J$7</definedName>
    <definedName name="SIFS_AParms">SIFS_A!$C$8:$J$28</definedName>
    <definedName name="SIFSDates">SIFS!$A$8:$A$91</definedName>
    <definedName name="SIFSNames">SIFS!$C$7:$J$7</definedName>
    <definedName name="SIFSParms">SIFS!$C$8:$J$91</definedName>
    <definedName name="SSDepIncLimit_ADates">SSDepIncLimit_A!$A$8:$A$28</definedName>
    <definedName name="SSDepIncLimit_ANames">SSDepIncLimit_A!$C$7:$D$7</definedName>
    <definedName name="SSDepIncLimit_AParms">SSDepIncLimit_A!$C$8:$D$28</definedName>
    <definedName name="SSDepIncLimitDates">SSDepIncLimit!$A$8:$A$91</definedName>
    <definedName name="SSDepIncLimitNames">SSDepIncLimit!$C$7:$D$7</definedName>
    <definedName name="SSDepIncLimitParms">SSDepIncLimit!$C$8:$D$91</definedName>
    <definedName name="SuperBenefitsDates">SuperBenefits!$A$8:$A$28</definedName>
    <definedName name="SuperBenefitsNames">SuperBenefits!$C$7:$AC$7</definedName>
    <definedName name="SuperBenefitsParms">SuperBenefits!$C$8:$AC$28</definedName>
    <definedName name="SuperContsDates">#REF!</definedName>
    <definedName name="SuperContsNames">#REF!</definedName>
    <definedName name="SuperContsParms">#REF!</definedName>
    <definedName name="SuperExpensesDates">#REF!</definedName>
    <definedName name="SuperExpensesNames">#REF!</definedName>
    <definedName name="SuperExpensesParms">#REF!</definedName>
    <definedName name="SuperGuaranteeDates">#REF!</definedName>
    <definedName name="SuperGuaranteeNames">#REF!</definedName>
    <definedName name="SuperGuaranteeParms">#REF!</definedName>
    <definedName name="TaxScheduleDates">TaxSchedule!$A$8:$A$28</definedName>
    <definedName name="TaxScheduleNames">TaxSchedule!$C$7:$K$7</definedName>
    <definedName name="TaxScheduleParms">TaxSchedule!$C$8:$K$28</definedName>
    <definedName name="TelephoneUtility_ADates">TelephoneUtility_A!$A$8:$A$28</definedName>
    <definedName name="TelephoneUtility_ANames">TelephoneUtility_A!$C$7:$H$7</definedName>
    <definedName name="TelephoneUtility_AParms">TelephoneUtility_A!$C$8:$H$28</definedName>
    <definedName name="TelephoneUtilityDates">TelephoneUtility!$A$8:$A$91</definedName>
    <definedName name="TelephoneUtilityNames">TelephoneUtility!$C$7:$H$7</definedName>
    <definedName name="TelephoneUtilityParms">TelephoneUtility!$C$8:$H$91</definedName>
    <definedName name="Unemployment_ADates">Unemployment_A!$A$8:$A$28</definedName>
    <definedName name="Unemployment_ANames">Unemployment_A!$C$7:$AB$7</definedName>
    <definedName name="Unemployment_AParms">Unemployment_A!$C$8:$AB$28</definedName>
    <definedName name="UnemploymentDates">Unemployment!$A$8:$A$91</definedName>
    <definedName name="UnemploymentNames">Unemployment!$C$7:$AB$7</definedName>
    <definedName name="UnemploymentParms">Unemployment!$C$8:$AB$91</definedName>
    <definedName name="YouthDSP_ADates">YouthDSP_A!$A$8:$A$28</definedName>
    <definedName name="YouthDSP_ANames">YouthDSP_A!$C$7:$P$7</definedName>
    <definedName name="YouthDSP_AParms">YouthDSP_A!$C$8:$P$28</definedName>
    <definedName name="YouthDSPDates">YouthDSP!$A$8:$A$91</definedName>
    <definedName name="YouthDSPNames">YouthDSP!$C$7:$P$7</definedName>
    <definedName name="YouthDSPParms">YouthDSP!$C$8:$P$91</definedName>
    <definedName name="YouthStudents_ADates">YouthStudents_A!$A$8:$A$28</definedName>
    <definedName name="YouthStudents_ANames">YouthStudents_A!$C$7:$AG$7</definedName>
    <definedName name="YouthStudents_AParms">YouthStudents_A!$C$8:$AG$28</definedName>
    <definedName name="YouthStudentsDates">YouthStudents!$A$8:$A$91</definedName>
    <definedName name="YouthStudentsNames">YouthStudents!$C$7:$AG$7</definedName>
    <definedName name="YouthStudentsParms">YouthStudents!$C$8:$AG$91</definedName>
    <definedName name="YouthUnemployment_ADates">YouthUnemployment_A!$A$8:$A$28</definedName>
    <definedName name="YouthUnemployment_ANames">YouthUnemployment_A!$C$7:$Z$7</definedName>
    <definedName name="YouthUnemployment_AParms">YouthUnemployment_A!$A$8:$Z$28</definedName>
    <definedName name="YouthUnemploymentDates">YouthUnemployment!$A$8:$A$91</definedName>
    <definedName name="YouthUnemploymentNames">YouthUnemployment!$C$7:$Z$7</definedName>
    <definedName name="YouthUnemploymentParms">YouthUnemployment!$C$8:$Z$91</definedName>
    <definedName name="Z_E49C2F27_B0B9_497E_BEC0_5B59561292FE_.wvu.Rows" localSheetId="3" hidden="1">AWE!$1:$2</definedName>
    <definedName name="Z_E49C2F27_B0B9_497E_BEC0_5B59561292FE_.wvu.Rows" localSheetId="4" hidden="1">AWE_A!$1:$3</definedName>
    <definedName name="Z_E49C2F27_B0B9_497E_BEC0_5B59561292FE_.wvu.Rows" localSheetId="1" hidden="1">CPI!$1:$3</definedName>
    <definedName name="Z_E49C2F27_B0B9_497E_BEC0_5B59561292FE_.wvu.Rows" localSheetId="2" hidden="1">CPI_A!$1:$4</definedName>
    <definedName name="Z_E49C2F27_B0B9_497E_BEC0_5B59561292FE_.wvu.Rows" localSheetId="37" hidden="1">IncomeSupportBonus!$1:$1</definedName>
    <definedName name="Z_E49C2F27_B0B9_497E_BEC0_5B59561292FE_.wvu.Rows" localSheetId="35" hidden="1">LIS!$1:$1</definedName>
    <definedName name="Z_E49C2F27_B0B9_497E_BEC0_5B59561292FE_.wvu.Rows" localSheetId="36" hidden="1">LIS_A!$1:$1</definedName>
    <definedName name="Z_E49C2F27_B0B9_497E_BEC0_5B59561292FE_.wvu.Rows" localSheetId="5" hidden="1">PBLCI!$1:$3</definedName>
    <definedName name="Z_E49C2F27_B0B9_497E_BEC0_5B59561292FE_.wvu.Rows" localSheetId="6" hidden="1">PBLCI_A!$1:$4</definedName>
    <definedName name="Z_E49C2F27_B0B9_497E_BEC0_5B59561292FE_.wvu.Rows" localSheetId="27" hidden="1">PharmA!$1:$1</definedName>
    <definedName name="Z_E49C2F27_B0B9_497E_BEC0_5B59561292FE_.wvu.Rows" localSheetId="28" hidden="1">PharmA_A!$1:$1</definedName>
    <definedName name="Z_E49C2F27_B0B9_497E_BEC0_5B59561292FE_.wvu.Rows" localSheetId="34" hidden="1">RentA_A!$1:$1</definedName>
    <definedName name="Z_E49C2F27_B0B9_497E_BEC0_5B59561292FE_.wvu.Rows" localSheetId="25" hidden="1">SSDepIncLimit!$1:$1</definedName>
    <definedName name="Z_E49C2F27_B0B9_497E_BEC0_5B59561292FE_.wvu.Rows" localSheetId="26" hidden="1">SSDepIncLimit_A!$1:$1</definedName>
    <definedName name="Z_E49C2F27_B0B9_497E_BEC0_5B59561292FE_.wvu.Rows" localSheetId="54" hidden="1">SuperBenefits!$1:$1</definedName>
    <definedName name="Z_E49C2F27_B0B9_497E_BEC0_5B59561292FE_.wvu.Rows" localSheetId="51" hidden="1">TaxSchedule!$2:$6</definedName>
  </definedNames>
  <calcPr calcId="171027"/>
  <customWorkbookViews>
    <customWorkbookView name="Li, Taike - Personal View" guid="{E49C2F27-B0B9-497E-BEC0-5B59561292FE}" mergeInterval="0" personalView="1" maximized="1" windowWidth="1920" windowHeight="855" tabRatio="780" activeSheetId="46"/>
    <customWorkbookView name="Pineda, Virginia - Personal View" guid="{A5953138-1481-4137-BEAD-32FA4FDF03E6}" mergeInterval="0" personalView="1" maximized="1" windowWidth="1920" windowHeight="894" tabRatio="780" activeSheetId="24"/>
    <customWorkbookView name="O'Shea, Mark - Personal View" guid="{2A1F94CA-1A34-4418-88FD-EABF7586C2B2}" mergeInterval="0" personalView="1" xWindow="1869" yWindow="36" windowWidth="1861" windowHeight="818" tabRatio="780" activeSheetId="44"/>
  </customWorkbookViews>
</workbook>
</file>

<file path=xl/calcChain.xml><?xml version="1.0" encoding="utf-8"?>
<calcChain xmlns="http://schemas.openxmlformats.org/spreadsheetml/2006/main">
  <c r="L35" i="6" l="1"/>
  <c r="L36" i="6"/>
  <c r="L37" i="6"/>
  <c r="L34" i="6"/>
  <c r="H35" i="6"/>
  <c r="H36" i="6"/>
  <c r="H37" i="6"/>
  <c r="H34" i="6"/>
  <c r="F35" i="6"/>
  <c r="F36" i="6"/>
  <c r="F37" i="6"/>
  <c r="F34" i="6"/>
  <c r="B37" i="6"/>
  <c r="B35" i="6"/>
  <c r="B36" i="6"/>
  <c r="B34" i="6"/>
  <c r="D37" i="4"/>
  <c r="D35" i="4"/>
  <c r="D34" i="4"/>
  <c r="B34" i="4"/>
  <c r="B35" i="4"/>
  <c r="B37" i="4"/>
  <c r="D36" i="4"/>
  <c r="B36" i="4"/>
  <c r="M127" i="5" l="1"/>
  <c r="M126" i="5"/>
  <c r="M125" i="5"/>
  <c r="M124" i="5"/>
  <c r="K125" i="5"/>
  <c r="K124" i="5"/>
  <c r="I127" i="5"/>
  <c r="I126" i="5"/>
  <c r="I125" i="5"/>
  <c r="I124" i="5"/>
  <c r="G127" i="5"/>
  <c r="K127" i="5" s="1"/>
  <c r="G126" i="5"/>
  <c r="K126" i="5" s="1"/>
  <c r="G125" i="5"/>
  <c r="G124" i="5"/>
  <c r="C127" i="5"/>
  <c r="C126" i="5"/>
  <c r="C125" i="5"/>
  <c r="C124" i="5"/>
  <c r="E74" i="46" l="1"/>
  <c r="K72" i="46"/>
  <c r="K73" i="46" s="1"/>
  <c r="K74" i="46" s="1"/>
  <c r="K75" i="46" s="1"/>
  <c r="C74" i="46"/>
  <c r="C75" i="46" s="1"/>
  <c r="C76" i="46" s="1"/>
  <c r="C77" i="46" s="1"/>
  <c r="C78" i="46" s="1"/>
  <c r="C79" i="46" s="1"/>
  <c r="C80" i="46" s="1"/>
  <c r="C81" i="46" s="1"/>
  <c r="C82" i="46" s="1"/>
  <c r="C83" i="46" s="1"/>
  <c r="AK81" i="42"/>
  <c r="AK82" i="42"/>
  <c r="AK83" i="42" s="1"/>
  <c r="AK84" i="42" s="1"/>
  <c r="AK85" i="42" s="1"/>
  <c r="AK86" i="42" s="1"/>
  <c r="AK87" i="42" s="1"/>
  <c r="AK88" i="42" s="1"/>
  <c r="AK89" i="42" s="1"/>
  <c r="AK90" i="42" s="1"/>
  <c r="AK91" i="42" s="1"/>
  <c r="AJ81" i="42"/>
  <c r="AJ82" i="42" s="1"/>
  <c r="AJ83" i="42" s="1"/>
  <c r="AJ84" i="42" s="1"/>
  <c r="AJ85" i="42" s="1"/>
  <c r="AJ86" i="42" s="1"/>
  <c r="AJ87" i="42" s="1"/>
  <c r="AJ88" i="42" s="1"/>
  <c r="AJ89" i="42" s="1"/>
  <c r="AJ90" i="42" s="1"/>
  <c r="AJ91" i="42" s="1"/>
  <c r="E75" i="46"/>
  <c r="E76" i="46" s="1"/>
  <c r="E77" i="46" s="1"/>
  <c r="E78" i="46" s="1"/>
  <c r="E79" i="46" s="1"/>
  <c r="E80" i="46" s="1"/>
  <c r="E81" i="46" s="1"/>
  <c r="E82" i="46" s="1"/>
  <c r="E83" i="46" s="1"/>
  <c r="O72" i="44"/>
  <c r="O73" i="44" s="1"/>
  <c r="O74" i="44" s="1"/>
  <c r="O75" i="44" s="1"/>
  <c r="AF76" i="44"/>
  <c r="AF77" i="44" s="1"/>
  <c r="AF78" i="44" s="1"/>
  <c r="AF79" i="44" s="1"/>
  <c r="AF80" i="44" s="1"/>
  <c r="AF81" i="44" s="1"/>
  <c r="AF82" i="44" s="1"/>
  <c r="AF83" i="44" s="1"/>
  <c r="AF84" i="44" s="1"/>
  <c r="AF85" i="44" s="1"/>
  <c r="AF86" i="44" s="1"/>
  <c r="AF87" i="44" s="1"/>
  <c r="AF88" i="44" s="1"/>
  <c r="AF89" i="44" s="1"/>
  <c r="AF90" i="44" s="1"/>
  <c r="AF91" i="44" s="1"/>
  <c r="L110" i="5"/>
  <c r="L108" i="5"/>
  <c r="I113" i="5"/>
  <c r="H110" i="5"/>
  <c r="I110" i="5" s="1"/>
  <c r="H108" i="5"/>
  <c r="G112" i="5"/>
  <c r="K112" i="5" s="1"/>
  <c r="F110" i="5"/>
  <c r="G110" i="5" s="1"/>
  <c r="K110" i="5" s="1"/>
  <c r="F108" i="5"/>
  <c r="C113" i="5"/>
  <c r="B110" i="5"/>
  <c r="C110" i="5" s="1"/>
  <c r="B108" i="5"/>
  <c r="C109" i="5" s="1"/>
  <c r="AD74" i="42"/>
  <c r="AD75" i="42" s="1"/>
  <c r="AC74" i="42"/>
  <c r="AC75" i="42" s="1"/>
  <c r="AC76" i="42" s="1"/>
  <c r="AC77" i="42" s="1"/>
  <c r="AC78" i="42" s="1"/>
  <c r="AC79" i="42" s="1"/>
  <c r="AB78" i="42"/>
  <c r="AB79" i="42" s="1"/>
  <c r="AA78" i="42"/>
  <c r="AA79" i="42" s="1"/>
  <c r="Z78" i="42"/>
  <c r="Z79" i="42" s="1"/>
  <c r="Y78" i="42"/>
  <c r="Y79" i="42"/>
  <c r="X78" i="42"/>
  <c r="X79" i="42" s="1"/>
  <c r="W78" i="42"/>
  <c r="W79" i="42" s="1"/>
  <c r="V78" i="42"/>
  <c r="V79" i="42" s="1"/>
  <c r="U78" i="42"/>
  <c r="U79" i="42" s="1"/>
  <c r="T78" i="42"/>
  <c r="T79" i="42" s="1"/>
  <c r="S78" i="42"/>
  <c r="S79" i="42" s="1"/>
  <c r="R78" i="42"/>
  <c r="R79" i="42" s="1"/>
  <c r="P74" i="42"/>
  <c r="P75" i="42" s="1"/>
  <c r="P76" i="42" s="1"/>
  <c r="P77" i="42" s="1"/>
  <c r="P78" i="42" s="1"/>
  <c r="P79" i="42" s="1"/>
  <c r="O74" i="42"/>
  <c r="O75" i="42" s="1"/>
  <c r="O76" i="42" s="1"/>
  <c r="O77" i="42" s="1"/>
  <c r="O78" i="42" s="1"/>
  <c r="O79" i="42" s="1"/>
  <c r="N74" i="42"/>
  <c r="N75" i="42" s="1"/>
  <c r="N76" i="42" s="1"/>
  <c r="N77" i="42" s="1"/>
  <c r="N78" i="42" s="1"/>
  <c r="N79" i="42" s="1"/>
  <c r="M74" i="42"/>
  <c r="M75" i="42" s="1"/>
  <c r="M76" i="42" s="1"/>
  <c r="M77" i="42" s="1"/>
  <c r="M78" i="42" s="1"/>
  <c r="M79" i="42" s="1"/>
  <c r="L74" i="42"/>
  <c r="L75" i="42"/>
  <c r="L76" i="42" s="1"/>
  <c r="L77" i="42" s="1"/>
  <c r="L78" i="42" s="1"/>
  <c r="L79" i="42" s="1"/>
  <c r="K74" i="42"/>
  <c r="K75" i="42" s="1"/>
  <c r="K76" i="42" s="1"/>
  <c r="K77" i="42" s="1"/>
  <c r="K78" i="42" s="1"/>
  <c r="K79" i="42" s="1"/>
  <c r="J74" i="42"/>
  <c r="J75" i="42" s="1"/>
  <c r="J76" i="42" s="1"/>
  <c r="J77" i="42" s="1"/>
  <c r="J78" i="42" s="1"/>
  <c r="J79" i="42" s="1"/>
  <c r="I74" i="42"/>
  <c r="I75" i="42" s="1"/>
  <c r="H74" i="42"/>
  <c r="H75" i="42" s="1"/>
  <c r="G78" i="42"/>
  <c r="F74" i="42"/>
  <c r="F75" i="42" s="1"/>
  <c r="E74" i="42"/>
  <c r="E75" i="42" s="1"/>
  <c r="D74" i="42"/>
  <c r="D75" i="42"/>
  <c r="C74" i="42"/>
  <c r="C75" i="42" s="1"/>
  <c r="H61" i="44"/>
  <c r="H62" i="44" s="1"/>
  <c r="H63" i="44" s="1"/>
  <c r="H64" i="44" s="1"/>
  <c r="H65" i="44" s="1"/>
  <c r="H66" i="44" s="1"/>
  <c r="H67" i="44" s="1"/>
  <c r="H68" i="44" s="1"/>
  <c r="H69" i="44" s="1"/>
  <c r="H70" i="44" s="1"/>
  <c r="H71" i="44" s="1"/>
  <c r="H72" i="44" s="1"/>
  <c r="H73" i="44" s="1"/>
  <c r="H74" i="44" s="1"/>
  <c r="H75" i="44" s="1"/>
  <c r="H76" i="44" s="1"/>
  <c r="H77" i="44" s="1"/>
  <c r="H78" i="44" s="1"/>
  <c r="H79" i="44" s="1"/>
  <c r="H80" i="44" s="1"/>
  <c r="H81" i="44" s="1"/>
  <c r="H82" i="44" s="1"/>
  <c r="H83" i="44" s="1"/>
  <c r="H84" i="44" s="1"/>
  <c r="H85" i="44" s="1"/>
  <c r="H86" i="44" s="1"/>
  <c r="H87" i="44" s="1"/>
  <c r="H88" i="44" s="1"/>
  <c r="H89" i="44" s="1"/>
  <c r="H90" i="44" s="1"/>
  <c r="H91" i="44" s="1"/>
  <c r="AB81" i="42"/>
  <c r="AB82" i="42" s="1"/>
  <c r="AB83" i="42" s="1"/>
  <c r="AB84" i="42" s="1"/>
  <c r="AB85" i="42" s="1"/>
  <c r="AB86" i="42" s="1"/>
  <c r="AB87" i="42" s="1"/>
  <c r="AB88" i="42" s="1"/>
  <c r="AB89" i="42" s="1"/>
  <c r="AB90" i="42" s="1"/>
  <c r="AB91" i="42" s="1"/>
  <c r="AA81" i="42"/>
  <c r="AA82" i="42" s="1"/>
  <c r="AA83" i="42" s="1"/>
  <c r="AA84" i="42" s="1"/>
  <c r="AA85" i="42" s="1"/>
  <c r="AA86" i="42" s="1"/>
  <c r="AA87" i="42" s="1"/>
  <c r="AA88" i="42" s="1"/>
  <c r="AA89" i="42" s="1"/>
  <c r="AA90" i="42" s="1"/>
  <c r="AA91" i="42" s="1"/>
  <c r="Z81" i="42"/>
  <c r="Z82" i="42"/>
  <c r="Z83" i="42" s="1"/>
  <c r="Z84" i="42" s="1"/>
  <c r="Z85" i="42" s="1"/>
  <c r="Z86" i="42"/>
  <c r="Z87" i="42" s="1"/>
  <c r="Z88" i="42" s="1"/>
  <c r="Z89" i="42" s="1"/>
  <c r="Z90" i="42" s="1"/>
  <c r="Z91" i="42" s="1"/>
  <c r="Y81" i="42"/>
  <c r="Y82" i="42" s="1"/>
  <c r="Y83" i="42" s="1"/>
  <c r="Y84" i="42" s="1"/>
  <c r="Y85" i="42" s="1"/>
  <c r="Y86" i="42" s="1"/>
  <c r="Y87" i="42" s="1"/>
  <c r="Y88" i="42" s="1"/>
  <c r="Y89" i="42" s="1"/>
  <c r="Y90" i="42" s="1"/>
  <c r="Y91" i="42" s="1"/>
  <c r="X81" i="42"/>
  <c r="X82" i="42" s="1"/>
  <c r="X83" i="42" s="1"/>
  <c r="X84" i="42" s="1"/>
  <c r="X85" i="42" s="1"/>
  <c r="X86" i="42" s="1"/>
  <c r="X87" i="42" s="1"/>
  <c r="X88" i="42" s="1"/>
  <c r="X89" i="42" s="1"/>
  <c r="X90" i="42" s="1"/>
  <c r="X91" i="42" s="1"/>
  <c r="W81" i="42"/>
  <c r="W82" i="42"/>
  <c r="W83" i="42" s="1"/>
  <c r="W84" i="42" s="1"/>
  <c r="W85" i="42" s="1"/>
  <c r="W86" i="42" s="1"/>
  <c r="W87" i="42" s="1"/>
  <c r="W88" i="42" s="1"/>
  <c r="W89" i="42" s="1"/>
  <c r="W90" i="42" s="1"/>
  <c r="W91" i="42" s="1"/>
  <c r="V81" i="42"/>
  <c r="V82" i="42" s="1"/>
  <c r="V83" i="42" s="1"/>
  <c r="V84" i="42" s="1"/>
  <c r="V85" i="42" s="1"/>
  <c r="V86" i="42" s="1"/>
  <c r="V87" i="42" s="1"/>
  <c r="V88" i="42" s="1"/>
  <c r="V89" i="42" s="1"/>
  <c r="V90" i="42" s="1"/>
  <c r="V91" i="42" s="1"/>
  <c r="G79" i="42"/>
  <c r="G81" i="42"/>
  <c r="G82" i="42" s="1"/>
  <c r="G83" i="42" s="1"/>
  <c r="G84" i="42" s="1"/>
  <c r="G85" i="42" s="1"/>
  <c r="G86" i="42" s="1"/>
  <c r="G87" i="42" s="1"/>
  <c r="G88" i="42" s="1"/>
  <c r="G89" i="42" s="1"/>
  <c r="G90" i="42" s="1"/>
  <c r="G91" i="42" s="1"/>
  <c r="T80" i="42"/>
  <c r="T81" i="42" s="1"/>
  <c r="T82" i="42" s="1"/>
  <c r="T83" i="42" s="1"/>
  <c r="T84" i="42" s="1"/>
  <c r="T85" i="42" s="1"/>
  <c r="T86" i="42" s="1"/>
  <c r="T87" i="42" s="1"/>
  <c r="T88" i="42" s="1"/>
  <c r="T89" i="42" s="1"/>
  <c r="T90" i="42" s="1"/>
  <c r="T91" i="42" s="1"/>
  <c r="U80" i="42"/>
  <c r="U81" i="42" s="1"/>
  <c r="U82" i="42" s="1"/>
  <c r="U83" i="42" s="1"/>
  <c r="U84" i="42" s="1"/>
  <c r="U85" i="42" s="1"/>
  <c r="U86" i="42" s="1"/>
  <c r="U87" i="42" s="1"/>
  <c r="U88" i="42" s="1"/>
  <c r="U89" i="42" s="1"/>
  <c r="U90" i="42" s="1"/>
  <c r="U91" i="42" s="1"/>
  <c r="S80" i="42"/>
  <c r="S81" i="42" s="1"/>
  <c r="S82" i="42" s="1"/>
  <c r="S83" i="42" s="1"/>
  <c r="S84" i="42" s="1"/>
  <c r="S85" i="42" s="1"/>
  <c r="S86" i="42" s="1"/>
  <c r="S87" i="42" s="1"/>
  <c r="S88" i="42" s="1"/>
  <c r="S89" i="42" s="1"/>
  <c r="S90" i="42" s="1"/>
  <c r="S91" i="42" s="1"/>
  <c r="R81" i="42"/>
  <c r="R82" i="42" s="1"/>
  <c r="R83" i="42" s="1"/>
  <c r="R84" i="42" s="1"/>
  <c r="R85" i="42" s="1"/>
  <c r="R86" i="42" s="1"/>
  <c r="R87" i="42" s="1"/>
  <c r="R88" i="42" s="1"/>
  <c r="R89" i="42" s="1"/>
  <c r="R90" i="42" s="1"/>
  <c r="R91" i="42" s="1"/>
  <c r="H74" i="10"/>
  <c r="Z73" i="24"/>
  <c r="Y73" i="24"/>
  <c r="D73" i="28"/>
  <c r="K73" i="18"/>
  <c r="K74" i="18" s="1"/>
  <c r="K75" i="18" s="1"/>
  <c r="K76" i="18" s="1"/>
  <c r="K77" i="18" s="1"/>
  <c r="K78" i="18" s="1"/>
  <c r="K79" i="18" s="1"/>
  <c r="K80" i="18" s="1"/>
  <c r="K81" i="18" s="1"/>
  <c r="K82" i="18" s="1"/>
  <c r="K83" i="18" s="1"/>
  <c r="K84" i="18" s="1"/>
  <c r="K85" i="18" s="1"/>
  <c r="K86" i="18" s="1"/>
  <c r="K87" i="18" s="1"/>
  <c r="K88" i="18" s="1"/>
  <c r="K89" i="18" s="1"/>
  <c r="K90" i="18" s="1"/>
  <c r="K91" i="18" s="1"/>
  <c r="I73" i="52"/>
  <c r="I74" i="52" s="1"/>
  <c r="I75" i="52" s="1"/>
  <c r="I76" i="52" s="1"/>
  <c r="I77" i="52" s="1"/>
  <c r="I78" i="52" s="1"/>
  <c r="I79" i="52" s="1"/>
  <c r="I80" i="52" s="1"/>
  <c r="I81" i="52" s="1"/>
  <c r="I82" i="52" s="1"/>
  <c r="I83" i="52" s="1"/>
  <c r="I84" i="52" s="1"/>
  <c r="I85" i="52" s="1"/>
  <c r="I86" i="52" s="1"/>
  <c r="I87" i="52" s="1"/>
  <c r="I88" i="52" s="1"/>
  <c r="I89" i="52" s="1"/>
  <c r="I90" i="52" s="1"/>
  <c r="I91" i="52" s="1"/>
  <c r="H72" i="12"/>
  <c r="H73" i="12" s="1"/>
  <c r="H74" i="12" s="1"/>
  <c r="H75" i="12" s="1"/>
  <c r="H76" i="12" s="1"/>
  <c r="H77" i="12" s="1"/>
  <c r="H78" i="12" s="1"/>
  <c r="H79" i="12" s="1"/>
  <c r="H80" i="12" s="1"/>
  <c r="H81" i="12" s="1"/>
  <c r="H82" i="12" s="1"/>
  <c r="H83" i="12" s="1"/>
  <c r="H84" i="12" s="1"/>
  <c r="H85" i="12" s="1"/>
  <c r="H86" i="12" s="1"/>
  <c r="H87" i="12" s="1"/>
  <c r="H88" i="12" s="1"/>
  <c r="H89" i="12" s="1"/>
  <c r="H90" i="12" s="1"/>
  <c r="H91" i="12" s="1"/>
  <c r="E127" i="3"/>
  <c r="E126" i="3"/>
  <c r="E125" i="3"/>
  <c r="E124" i="3"/>
  <c r="C120" i="3"/>
  <c r="C127" i="3"/>
  <c r="C126" i="3"/>
  <c r="C125" i="3"/>
  <c r="C124" i="3"/>
  <c r="C123" i="3"/>
  <c r="C122" i="3"/>
  <c r="C121" i="3"/>
  <c r="J77" i="46"/>
  <c r="J78" i="46" s="1"/>
  <c r="J79" i="46" s="1"/>
  <c r="G23" i="5"/>
  <c r="D106" i="5"/>
  <c r="E107" i="5" s="1"/>
  <c r="E24" i="27"/>
  <c r="E25" i="27" s="1"/>
  <c r="E26" i="27" s="1"/>
  <c r="E27" i="27" s="1"/>
  <c r="E28" i="27" s="1"/>
  <c r="AI24" i="57"/>
  <c r="AI25" i="57" s="1"/>
  <c r="AI26" i="57" s="1"/>
  <c r="AH24" i="57"/>
  <c r="AH25" i="57" s="1"/>
  <c r="AH26" i="57" s="1"/>
  <c r="H23" i="57"/>
  <c r="H24" i="57" s="1"/>
  <c r="H25" i="57" s="1"/>
  <c r="H26" i="57" s="1"/>
  <c r="H27" i="57" s="1"/>
  <c r="H28" i="57" s="1"/>
  <c r="G8" i="12"/>
  <c r="I8" i="12" s="1"/>
  <c r="P8" i="12"/>
  <c r="Z8" i="12"/>
  <c r="AE8" i="12"/>
  <c r="AE9" i="12" s="1"/>
  <c r="AE10" i="12" s="1"/>
  <c r="AE11" i="12" s="1"/>
  <c r="AE12" i="12" s="1"/>
  <c r="AE13" i="12" s="1"/>
  <c r="AE14" i="12" s="1"/>
  <c r="AE15" i="12" s="1"/>
  <c r="AE16" i="12" s="1"/>
  <c r="AE17" i="12" s="1"/>
  <c r="AE18" i="12" s="1"/>
  <c r="AE19" i="12" s="1"/>
  <c r="AE20" i="12" s="1"/>
  <c r="AE21" i="12" s="1"/>
  <c r="AE22" i="12" s="1"/>
  <c r="AE23" i="12" s="1"/>
  <c r="AE24" i="12" s="1"/>
  <c r="AE25" i="12" s="1"/>
  <c r="AE26" i="12" s="1"/>
  <c r="AE27" i="12" s="1"/>
  <c r="AE28" i="12" s="1"/>
  <c r="AE29" i="12" s="1"/>
  <c r="AE30" i="12" s="1"/>
  <c r="AE31" i="12" s="1"/>
  <c r="AE32" i="12" s="1"/>
  <c r="AE33" i="12" s="1"/>
  <c r="AE34" i="12" s="1"/>
  <c r="AE35" i="12" s="1"/>
  <c r="AE36" i="12" s="1"/>
  <c r="G9" i="12"/>
  <c r="I9" i="12" s="1"/>
  <c r="P9" i="12"/>
  <c r="V9" i="12"/>
  <c r="V10" i="12" s="1"/>
  <c r="V11" i="12" s="1"/>
  <c r="W9" i="12"/>
  <c r="W10" i="12" s="1"/>
  <c r="W11" i="12" s="1"/>
  <c r="Z9" i="12"/>
  <c r="AF9" i="12"/>
  <c r="AF10" i="12" s="1"/>
  <c r="AF11" i="12" s="1"/>
  <c r="AF12" i="12" s="1"/>
  <c r="AF13" i="12" s="1"/>
  <c r="AF14" i="12" s="1"/>
  <c r="AF15" i="12" s="1"/>
  <c r="AF16" i="12" s="1"/>
  <c r="AF17" i="12" s="1"/>
  <c r="AF18" i="12" s="1"/>
  <c r="AF19" i="12" s="1"/>
  <c r="AF20" i="12" s="1"/>
  <c r="AF21" i="12" s="1"/>
  <c r="AF22" i="12" s="1"/>
  <c r="AF23" i="12" s="1"/>
  <c r="AF24" i="12" s="1"/>
  <c r="AF25" i="12" s="1"/>
  <c r="AF26" i="12" s="1"/>
  <c r="AF27" i="12" s="1"/>
  <c r="AF28" i="12" s="1"/>
  <c r="AF29" i="12" s="1"/>
  <c r="AF30" i="12" s="1"/>
  <c r="AF31" i="12" s="1"/>
  <c r="AF32" i="12" s="1"/>
  <c r="AF33" i="12" s="1"/>
  <c r="AF34" i="12" s="1"/>
  <c r="AF35" i="12" s="1"/>
  <c r="AF36" i="12" s="1"/>
  <c r="AF37" i="12" s="1"/>
  <c r="AF38" i="12" s="1"/>
  <c r="AF39" i="12" s="1"/>
  <c r="AF40" i="12" s="1"/>
  <c r="AF41" i="12" s="1"/>
  <c r="AF42" i="12" s="1"/>
  <c r="AF43" i="12" s="1"/>
  <c r="AF44" i="12" s="1"/>
  <c r="AF45" i="12" s="1"/>
  <c r="AF46" i="12" s="1"/>
  <c r="AF47" i="12" s="1"/>
  <c r="AF48" i="12" s="1"/>
  <c r="AF49" i="12" s="1"/>
  <c r="AF50" i="12" s="1"/>
  <c r="AF51" i="12" s="1"/>
  <c r="AF52" i="12" s="1"/>
  <c r="AF53" i="12" s="1"/>
  <c r="AF54" i="12" s="1"/>
  <c r="AF55" i="12" s="1"/>
  <c r="AF56" i="12" s="1"/>
  <c r="AF57" i="12" s="1"/>
  <c r="AF58" i="12" s="1"/>
  <c r="AF59" i="12" s="1"/>
  <c r="AF60" i="12" s="1"/>
  <c r="AF61" i="12" s="1"/>
  <c r="AF62" i="12" s="1"/>
  <c r="AF63" i="12" s="1"/>
  <c r="AF64" i="12" s="1"/>
  <c r="AF65" i="12" s="1"/>
  <c r="AF66" i="12" s="1"/>
  <c r="AF67" i="12" s="1"/>
  <c r="AF68" i="12" s="1"/>
  <c r="AF69" i="12" s="1"/>
  <c r="AF70" i="12" s="1"/>
  <c r="AF71" i="12" s="1"/>
  <c r="AF72" i="12" s="1"/>
  <c r="AF73" i="12" s="1"/>
  <c r="AF74" i="12" s="1"/>
  <c r="AF75" i="12" s="1"/>
  <c r="AF76" i="12" s="1"/>
  <c r="AF77" i="12" s="1"/>
  <c r="AF78" i="12" s="1"/>
  <c r="AF79" i="12" s="1"/>
  <c r="AF80" i="12" s="1"/>
  <c r="AF81" i="12" s="1"/>
  <c r="AF82" i="12" s="1"/>
  <c r="AF83" i="12" s="1"/>
  <c r="AF84" i="12" s="1"/>
  <c r="AF85" i="12" s="1"/>
  <c r="AF86" i="12" s="1"/>
  <c r="AF87" i="12" s="1"/>
  <c r="AF88" i="12" s="1"/>
  <c r="AF89" i="12" s="1"/>
  <c r="AF90" i="12" s="1"/>
  <c r="AF91" i="12" s="1"/>
  <c r="AI9" i="12"/>
  <c r="AI10" i="12" s="1"/>
  <c r="AJ9" i="12"/>
  <c r="AJ10" i="12" s="1"/>
  <c r="AJ11" i="12" s="1"/>
  <c r="G10" i="12"/>
  <c r="I10" i="12" s="1"/>
  <c r="P10" i="12"/>
  <c r="Z10" i="12"/>
  <c r="G11" i="12"/>
  <c r="I11" i="12" s="1"/>
  <c r="P11" i="12"/>
  <c r="Z11" i="12"/>
  <c r="G12" i="12"/>
  <c r="I12" i="12" s="1"/>
  <c r="P12" i="12"/>
  <c r="Z12" i="12"/>
  <c r="AB12" i="12"/>
  <c r="AB13" i="12" s="1"/>
  <c r="AB14" i="12" s="1"/>
  <c r="G13" i="12"/>
  <c r="I13" i="12" s="1"/>
  <c r="P13" i="12"/>
  <c r="V13" i="12"/>
  <c r="V14" i="12" s="1"/>
  <c r="W13" i="12"/>
  <c r="W14" i="12" s="1"/>
  <c r="Z13" i="12"/>
  <c r="AJ13" i="12"/>
  <c r="AJ14" i="12"/>
  <c r="AJ15" i="12" s="1"/>
  <c r="AJ16" i="12" s="1"/>
  <c r="AJ17" i="12" s="1"/>
  <c r="AJ18" i="12" s="1"/>
  <c r="AJ19" i="12" s="1"/>
  <c r="G14" i="12"/>
  <c r="I14" i="12" s="1"/>
  <c r="P14" i="12"/>
  <c r="Z14" i="12"/>
  <c r="G15" i="12"/>
  <c r="I15" i="12" s="1"/>
  <c r="P15" i="12"/>
  <c r="Z15" i="12"/>
  <c r="G16" i="12"/>
  <c r="I16" i="12" s="1"/>
  <c r="P16" i="12"/>
  <c r="V16" i="12"/>
  <c r="V17" i="12" s="1"/>
  <c r="V18" i="12" s="1"/>
  <c r="V19" i="12" s="1"/>
  <c r="V20" i="12" s="1"/>
  <c r="V21" i="12" s="1"/>
  <c r="V22" i="12" s="1"/>
  <c r="W16" i="12"/>
  <c r="W17" i="12" s="1"/>
  <c r="W18" i="12" s="1"/>
  <c r="W19" i="12" s="1"/>
  <c r="W20" i="12" s="1"/>
  <c r="W21" i="12" s="1"/>
  <c r="W22" i="12" s="1"/>
  <c r="Z16" i="12"/>
  <c r="AB16" i="12"/>
  <c r="G17" i="12"/>
  <c r="I17" i="12" s="1"/>
  <c r="P17" i="12"/>
  <c r="Z17" i="12"/>
  <c r="G18" i="12"/>
  <c r="I18" i="12" s="1"/>
  <c r="P18" i="12"/>
  <c r="Z18" i="12"/>
  <c r="G19" i="12"/>
  <c r="I19" i="12" s="1"/>
  <c r="P19" i="12"/>
  <c r="Z19" i="12"/>
  <c r="G20" i="12"/>
  <c r="I20" i="12" s="1"/>
  <c r="P20" i="12"/>
  <c r="Z20" i="12"/>
  <c r="AB20" i="12"/>
  <c r="P20" i="20" s="1"/>
  <c r="G21" i="12"/>
  <c r="I21" i="12" s="1"/>
  <c r="P21" i="12"/>
  <c r="Z21" i="12"/>
  <c r="AJ21" i="12"/>
  <c r="AJ22" i="12" s="1"/>
  <c r="AJ23" i="12" s="1"/>
  <c r="AJ24" i="12" s="1"/>
  <c r="AJ25" i="12" s="1"/>
  <c r="AJ26" i="12" s="1"/>
  <c r="AJ27" i="12" s="1"/>
  <c r="G22" i="12"/>
  <c r="I22" i="12" s="1"/>
  <c r="P22" i="12"/>
  <c r="Z22" i="12"/>
  <c r="G23" i="12"/>
  <c r="I23" i="12" s="1"/>
  <c r="P23" i="12"/>
  <c r="Z23" i="12"/>
  <c r="G24" i="12"/>
  <c r="I24" i="12" s="1"/>
  <c r="P24" i="12"/>
  <c r="V24" i="12"/>
  <c r="V25" i="12" s="1"/>
  <c r="V26" i="12" s="1"/>
  <c r="V27" i="12" s="1"/>
  <c r="V28" i="12" s="1"/>
  <c r="V29" i="12" s="1"/>
  <c r="V30" i="12" s="1"/>
  <c r="V31" i="12" s="1"/>
  <c r="V32" i="12" s="1"/>
  <c r="V33" i="12" s="1"/>
  <c r="V34" i="12" s="1"/>
  <c r="W24" i="12"/>
  <c r="W25" i="12" s="1"/>
  <c r="W26" i="12" s="1"/>
  <c r="W27" i="12" s="1"/>
  <c r="W28" i="12" s="1"/>
  <c r="W29" i="12" s="1"/>
  <c r="W30" i="12" s="1"/>
  <c r="W31" i="12" s="1"/>
  <c r="W32" i="12" s="1"/>
  <c r="W33" i="12" s="1"/>
  <c r="W34" i="12" s="1"/>
  <c r="Z24" i="12"/>
  <c r="AB24" i="12"/>
  <c r="AB25" i="12" s="1"/>
  <c r="G25" i="12"/>
  <c r="I25" i="12" s="1"/>
  <c r="P25" i="12"/>
  <c r="Z25" i="12"/>
  <c r="G26" i="12"/>
  <c r="I26" i="12" s="1"/>
  <c r="P26" i="12"/>
  <c r="Z26" i="12"/>
  <c r="G27" i="12"/>
  <c r="I27" i="12" s="1"/>
  <c r="P27" i="12"/>
  <c r="Z27" i="12"/>
  <c r="G28" i="12"/>
  <c r="I28" i="12" s="1"/>
  <c r="P28" i="12"/>
  <c r="Z28" i="12"/>
  <c r="AB28" i="12"/>
  <c r="AB29" i="12" s="1"/>
  <c r="G29" i="12"/>
  <c r="I29" i="12" s="1"/>
  <c r="P29" i="12"/>
  <c r="Z29" i="12"/>
  <c r="AJ29" i="12"/>
  <c r="AJ30" i="12"/>
  <c r="AJ31" i="12" s="1"/>
  <c r="AJ32" i="12" s="1"/>
  <c r="AJ33" i="12" s="1"/>
  <c r="AJ34" i="12" s="1"/>
  <c r="AJ35" i="12" s="1"/>
  <c r="G30" i="12"/>
  <c r="I30" i="12" s="1"/>
  <c r="P30" i="12"/>
  <c r="Z30" i="12"/>
  <c r="G31" i="12"/>
  <c r="I31" i="12" s="1"/>
  <c r="P31" i="12"/>
  <c r="Z31" i="12"/>
  <c r="G32" i="12"/>
  <c r="I32" i="12" s="1"/>
  <c r="P32" i="12"/>
  <c r="Z32" i="12"/>
  <c r="AB32" i="12"/>
  <c r="AB33" i="12" s="1"/>
  <c r="G33" i="12"/>
  <c r="I33" i="12" s="1"/>
  <c r="P33" i="12"/>
  <c r="Z33" i="12"/>
  <c r="G34" i="12"/>
  <c r="I34" i="12" s="1"/>
  <c r="P34" i="12"/>
  <c r="Z34" i="12"/>
  <c r="G35" i="12"/>
  <c r="I35" i="12" s="1"/>
  <c r="P35" i="12"/>
  <c r="Z35" i="12"/>
  <c r="G36" i="12"/>
  <c r="I36" i="12" s="1"/>
  <c r="P36" i="12"/>
  <c r="V36" i="12"/>
  <c r="V37" i="12" s="1"/>
  <c r="V38" i="12" s="1"/>
  <c r="W36" i="12"/>
  <c r="W37" i="12" s="1"/>
  <c r="W38" i="12" s="1"/>
  <c r="Z36" i="12"/>
  <c r="AB36" i="12"/>
  <c r="AB37" i="12" s="1"/>
  <c r="G37" i="12"/>
  <c r="I37" i="12" s="1"/>
  <c r="P37" i="12"/>
  <c r="Z37" i="12"/>
  <c r="AE37" i="12"/>
  <c r="AE38" i="12" s="1"/>
  <c r="AE39" i="12" s="1"/>
  <c r="AE40" i="12" s="1"/>
  <c r="AE41" i="12" s="1"/>
  <c r="AE42" i="12" s="1"/>
  <c r="AE43" i="12" s="1"/>
  <c r="AE44" i="12" s="1"/>
  <c r="AE45" i="12" s="1"/>
  <c r="AE46" i="12" s="1"/>
  <c r="AE47" i="12" s="1"/>
  <c r="AE48" i="12" s="1"/>
  <c r="AE49" i="12" s="1"/>
  <c r="AE50" i="12" s="1"/>
  <c r="AE51" i="12" s="1"/>
  <c r="AE52" i="12" s="1"/>
  <c r="AE53" i="12" s="1"/>
  <c r="AE54" i="12" s="1"/>
  <c r="AE55" i="12" s="1"/>
  <c r="AE56" i="12" s="1"/>
  <c r="AE57" i="12" s="1"/>
  <c r="AE58" i="12" s="1"/>
  <c r="AE59" i="12" s="1"/>
  <c r="AE60" i="12" s="1"/>
  <c r="AE61" i="12" s="1"/>
  <c r="AE62" i="12" s="1"/>
  <c r="AE63" i="12" s="1"/>
  <c r="AE64" i="12" s="1"/>
  <c r="AE65" i="12" s="1"/>
  <c r="AE66" i="12" s="1"/>
  <c r="AE67" i="12" s="1"/>
  <c r="AE68" i="12" s="1"/>
  <c r="AE69" i="12" s="1"/>
  <c r="AE70" i="12" s="1"/>
  <c r="AE71" i="12" s="1"/>
  <c r="AE72" i="12" s="1"/>
  <c r="AE73" i="12" s="1"/>
  <c r="AJ37" i="12"/>
  <c r="AJ38" i="12" s="1"/>
  <c r="AJ39" i="12" s="1"/>
  <c r="AJ40" i="12" s="1"/>
  <c r="AJ41" i="12" s="1"/>
  <c r="AJ42" i="12" s="1"/>
  <c r="AJ43" i="12" s="1"/>
  <c r="G38" i="12"/>
  <c r="I38" i="12" s="1"/>
  <c r="P38" i="12"/>
  <c r="Z38" i="12"/>
  <c r="G39" i="12"/>
  <c r="I39" i="12" s="1"/>
  <c r="P39" i="12"/>
  <c r="Z39" i="12"/>
  <c r="G40" i="12"/>
  <c r="I40" i="12" s="1"/>
  <c r="P40" i="12"/>
  <c r="V40" i="12"/>
  <c r="W40" i="12"/>
  <c r="Z40" i="12"/>
  <c r="AB40" i="12"/>
  <c r="AB41" i="12" s="1"/>
  <c r="G41" i="12"/>
  <c r="I41" i="12" s="1"/>
  <c r="P41" i="12"/>
  <c r="Z41" i="12"/>
  <c r="G42" i="12"/>
  <c r="I42" i="12" s="1"/>
  <c r="P42" i="12"/>
  <c r="V42" i="12"/>
  <c r="Z42" i="12"/>
  <c r="G43" i="12"/>
  <c r="I43" i="12" s="1"/>
  <c r="P43" i="12"/>
  <c r="Z43" i="12"/>
  <c r="G44" i="12"/>
  <c r="I44" i="12" s="1"/>
  <c r="P44" i="12"/>
  <c r="V44" i="12"/>
  <c r="V45" i="12" s="1"/>
  <c r="V46" i="12" s="1"/>
  <c r="W44" i="12"/>
  <c r="W45" i="12" s="1"/>
  <c r="W46" i="12" s="1"/>
  <c r="Z44" i="12"/>
  <c r="AB44" i="12"/>
  <c r="AB45" i="12" s="1"/>
  <c r="F45" i="12"/>
  <c r="F46" i="12"/>
  <c r="G45" i="12"/>
  <c r="I45" i="12" s="1"/>
  <c r="L45" i="12"/>
  <c r="P45" i="12"/>
  <c r="Z45" i="12"/>
  <c r="AJ45" i="12"/>
  <c r="AJ46" i="12" s="1"/>
  <c r="AJ47" i="12" s="1"/>
  <c r="AJ48" i="12" s="1"/>
  <c r="AJ49" i="12" s="1"/>
  <c r="AJ50" i="12" s="1"/>
  <c r="AJ51" i="12" s="1"/>
  <c r="L46" i="12"/>
  <c r="P46" i="12"/>
  <c r="Z46" i="12"/>
  <c r="AG46" i="12"/>
  <c r="AG47" i="12" s="1"/>
  <c r="AG48" i="12" s="1"/>
  <c r="AG49" i="12" s="1"/>
  <c r="AG50" i="12" s="1"/>
  <c r="AG51" i="12" s="1"/>
  <c r="AH46" i="12"/>
  <c r="AH47" i="12" s="1"/>
  <c r="AH48" i="12" s="1"/>
  <c r="AH49" i="12" s="1"/>
  <c r="AH50" i="12" s="1"/>
  <c r="AH51" i="12" s="1"/>
  <c r="F47" i="12"/>
  <c r="F48" i="12" s="1"/>
  <c r="G47" i="12"/>
  <c r="I47" i="12" s="1"/>
  <c r="L47" i="12"/>
  <c r="P47" i="12"/>
  <c r="Z47" i="12"/>
  <c r="L48" i="12"/>
  <c r="P48" i="12"/>
  <c r="V48" i="12"/>
  <c r="V49" i="12" s="1"/>
  <c r="V50" i="12" s="1"/>
  <c r="V51" i="12" s="1"/>
  <c r="V52" i="12" s="1"/>
  <c r="V53" i="12" s="1"/>
  <c r="V54" i="12" s="1"/>
  <c r="W48" i="12"/>
  <c r="W49" i="12" s="1"/>
  <c r="W50" i="12" s="1"/>
  <c r="W51" i="12" s="1"/>
  <c r="W52" i="12" s="1"/>
  <c r="W53" i="12" s="1"/>
  <c r="W54" i="12" s="1"/>
  <c r="Z48" i="12"/>
  <c r="AB48" i="12"/>
  <c r="P48" i="20" s="1"/>
  <c r="F49" i="12"/>
  <c r="F50" i="12" s="1"/>
  <c r="G49" i="12"/>
  <c r="L49" i="12"/>
  <c r="P49" i="12"/>
  <c r="Z49" i="12"/>
  <c r="L50" i="12"/>
  <c r="P50" i="12"/>
  <c r="Z50" i="12"/>
  <c r="F51" i="12"/>
  <c r="F52" i="12" s="1"/>
  <c r="G51" i="12"/>
  <c r="L51" i="12"/>
  <c r="P51" i="12"/>
  <c r="Z51" i="12"/>
  <c r="L52" i="12"/>
  <c r="P52" i="12"/>
  <c r="Z52" i="12"/>
  <c r="AB52" i="12"/>
  <c r="F53" i="12"/>
  <c r="F54" i="12" s="1"/>
  <c r="G53" i="12"/>
  <c r="G54" i="12" s="1"/>
  <c r="I53" i="12"/>
  <c r="L53" i="12"/>
  <c r="P53" i="12"/>
  <c r="Z53" i="12"/>
  <c r="AG53" i="12"/>
  <c r="AG54" i="12" s="1"/>
  <c r="AG55" i="12" s="1"/>
  <c r="AG56" i="12" s="1"/>
  <c r="AG57" i="12" s="1"/>
  <c r="AG58" i="12" s="1"/>
  <c r="AG59" i="12" s="1"/>
  <c r="AG60" i="12" s="1"/>
  <c r="AG61" i="12" s="1"/>
  <c r="AG62" i="12" s="1"/>
  <c r="AG63" i="12" s="1"/>
  <c r="AG64" i="12" s="1"/>
  <c r="AG65" i="12" s="1"/>
  <c r="AG66" i="12" s="1"/>
  <c r="AG67" i="12" s="1"/>
  <c r="AG68" i="12" s="1"/>
  <c r="AG69" i="12" s="1"/>
  <c r="AG70" i="12" s="1"/>
  <c r="AG71" i="12" s="1"/>
  <c r="AG72" i="12" s="1"/>
  <c r="AG73" i="12" s="1"/>
  <c r="AG74" i="12" s="1"/>
  <c r="AG75" i="12" s="1"/>
  <c r="AG76" i="12" s="1"/>
  <c r="AG77" i="12" s="1"/>
  <c r="AG78" i="12" s="1"/>
  <c r="AG79" i="12" s="1"/>
  <c r="AG80" i="12" s="1"/>
  <c r="AG81" i="12" s="1"/>
  <c r="AG82" i="12" s="1"/>
  <c r="AG83" i="12" s="1"/>
  <c r="AG84" i="12" s="1"/>
  <c r="AG85" i="12" s="1"/>
  <c r="AG86" i="12" s="1"/>
  <c r="AG87" i="12" s="1"/>
  <c r="AG88" i="12" s="1"/>
  <c r="AG89" i="12" s="1"/>
  <c r="AG90" i="12" s="1"/>
  <c r="AG91" i="12" s="1"/>
  <c r="AH53" i="12"/>
  <c r="AH54" i="12" s="1"/>
  <c r="AH55" i="12" s="1"/>
  <c r="AH56" i="12" s="1"/>
  <c r="AH57" i="12" s="1"/>
  <c r="AH58" i="12" s="1"/>
  <c r="AH59" i="12" s="1"/>
  <c r="AH60" i="12" s="1"/>
  <c r="AH61" i="12" s="1"/>
  <c r="AH62" i="12" s="1"/>
  <c r="AH63" i="12" s="1"/>
  <c r="AH64" i="12" s="1"/>
  <c r="AH65" i="12" s="1"/>
  <c r="AH66" i="12" s="1"/>
  <c r="AH67" i="12" s="1"/>
  <c r="AH68" i="12" s="1"/>
  <c r="AH69" i="12" s="1"/>
  <c r="AH70" i="12" s="1"/>
  <c r="AH71" i="12" s="1"/>
  <c r="AH72" i="12" s="1"/>
  <c r="AH73" i="12" s="1"/>
  <c r="AH74" i="12" s="1"/>
  <c r="AH75" i="12" s="1"/>
  <c r="AH76" i="12" s="1"/>
  <c r="AH77" i="12" s="1"/>
  <c r="AH78" i="12" s="1"/>
  <c r="AH79" i="12" s="1"/>
  <c r="AH80" i="12" s="1"/>
  <c r="AH81" i="12" s="1"/>
  <c r="AH82" i="12" s="1"/>
  <c r="AH83" i="12" s="1"/>
  <c r="AH84" i="12" s="1"/>
  <c r="AH85" i="12" s="1"/>
  <c r="AH86" i="12" s="1"/>
  <c r="AH87" i="12" s="1"/>
  <c r="AH88" i="12" s="1"/>
  <c r="AH89" i="12" s="1"/>
  <c r="AH90" i="12" s="1"/>
  <c r="AH91" i="12" s="1"/>
  <c r="AJ53" i="12"/>
  <c r="AJ54" i="12" s="1"/>
  <c r="AJ55" i="12" s="1"/>
  <c r="AJ56" i="12" s="1"/>
  <c r="AJ57" i="12" s="1"/>
  <c r="AJ58" i="12" s="1"/>
  <c r="AJ59" i="12" s="1"/>
  <c r="L54" i="12"/>
  <c r="P54" i="12"/>
  <c r="Z54" i="12"/>
  <c r="F55" i="12"/>
  <c r="F56" i="12" s="1"/>
  <c r="C56" i="34" s="1"/>
  <c r="G55" i="12"/>
  <c r="L55" i="12"/>
  <c r="P55" i="12"/>
  <c r="Z55" i="12"/>
  <c r="L56" i="12"/>
  <c r="P56" i="12"/>
  <c r="V56" i="12"/>
  <c r="V57" i="12" s="1"/>
  <c r="V58" i="12" s="1"/>
  <c r="W56" i="12"/>
  <c r="W57" i="12" s="1"/>
  <c r="W58" i="12" s="1"/>
  <c r="Z56" i="12"/>
  <c r="AB56" i="12"/>
  <c r="AB57" i="12" s="1"/>
  <c r="F57" i="12"/>
  <c r="F58" i="12" s="1"/>
  <c r="C58" i="34" s="1"/>
  <c r="G57" i="12"/>
  <c r="I57" i="12" s="1"/>
  <c r="L57" i="12"/>
  <c r="P57" i="12"/>
  <c r="Z57" i="12"/>
  <c r="L58" i="12"/>
  <c r="P58" i="12"/>
  <c r="Z58" i="12"/>
  <c r="G59" i="12"/>
  <c r="I59" i="12" s="1"/>
  <c r="M59" i="12"/>
  <c r="M60" i="12" s="1"/>
  <c r="P59" i="12"/>
  <c r="Z59" i="12"/>
  <c r="C60" i="12"/>
  <c r="D60" i="12"/>
  <c r="F60" i="12"/>
  <c r="C60" i="34" s="1"/>
  <c r="J60" i="12"/>
  <c r="K60" i="12"/>
  <c r="N60" i="12"/>
  <c r="O60" i="12"/>
  <c r="S60" i="12"/>
  <c r="S61" i="12" s="1"/>
  <c r="S62" i="12" s="1"/>
  <c r="S63" i="12" s="1"/>
  <c r="V60" i="12"/>
  <c r="W60" i="12"/>
  <c r="Y60" i="12"/>
  <c r="Z60" i="12" s="1"/>
  <c r="AA60" i="12"/>
  <c r="AA61" i="12" s="1"/>
  <c r="AA62" i="12" s="1"/>
  <c r="AC60" i="12"/>
  <c r="AC61" i="12" s="1"/>
  <c r="Q61" i="20" s="1"/>
  <c r="AD60" i="12"/>
  <c r="AD61" i="12" s="1"/>
  <c r="AD62" i="12" s="1"/>
  <c r="AD63" i="12" s="1"/>
  <c r="D61" i="12"/>
  <c r="D62" i="12"/>
  <c r="F61" i="12"/>
  <c r="F62" i="12" s="1"/>
  <c r="C62" i="34" s="1"/>
  <c r="H61" i="12"/>
  <c r="H62" i="12" s="1"/>
  <c r="K61" i="12"/>
  <c r="K62" i="12" s="1"/>
  <c r="M61" i="12"/>
  <c r="M62" i="12" s="1"/>
  <c r="E62" i="34" s="1"/>
  <c r="N61" i="12"/>
  <c r="P61" i="12" s="1"/>
  <c r="Q61" i="12"/>
  <c r="Q62" i="12" s="1"/>
  <c r="Q63" i="12" s="1"/>
  <c r="AJ61" i="12"/>
  <c r="AJ62" i="12" s="1"/>
  <c r="AJ63" i="12" s="1"/>
  <c r="AJ64" i="12" s="1"/>
  <c r="AJ65" i="12" s="1"/>
  <c r="AJ66" i="12" s="1"/>
  <c r="AJ67" i="12" s="1"/>
  <c r="AJ68" i="12" s="1"/>
  <c r="AJ69" i="12" s="1"/>
  <c r="AJ70" i="12" s="1"/>
  <c r="AJ71" i="12" s="1"/>
  <c r="AJ72" i="12" s="1"/>
  <c r="AJ73" i="12" s="1"/>
  <c r="AJ74" i="12" s="1"/>
  <c r="AJ75" i="12" s="1"/>
  <c r="C62" i="12"/>
  <c r="J62" i="12"/>
  <c r="O62" i="12"/>
  <c r="U64" i="12"/>
  <c r="U65" i="12" s="1"/>
  <c r="U66" i="12" s="1"/>
  <c r="U67" i="12" s="1"/>
  <c r="U68" i="12" s="1"/>
  <c r="U69" i="12" s="1"/>
  <c r="U70" i="12" s="1"/>
  <c r="U71" i="12" s="1"/>
  <c r="U72" i="12" s="1"/>
  <c r="U73" i="12" s="1"/>
  <c r="U74" i="12" s="1"/>
  <c r="U75" i="12" s="1"/>
  <c r="U76" i="12" s="1"/>
  <c r="U77" i="12" s="1"/>
  <c r="U78" i="12" s="1"/>
  <c r="U79" i="12" s="1"/>
  <c r="U80" i="12" s="1"/>
  <c r="U81" i="12" s="1"/>
  <c r="U82" i="12" s="1"/>
  <c r="U83" i="12" s="1"/>
  <c r="U84" i="12" s="1"/>
  <c r="U85" i="12" s="1"/>
  <c r="U86" i="12" s="1"/>
  <c r="U87" i="12" s="1"/>
  <c r="U88" i="12" s="1"/>
  <c r="U89" i="12" s="1"/>
  <c r="U90" i="12" s="1"/>
  <c r="U91" i="12" s="1"/>
  <c r="V65" i="12"/>
  <c r="V66" i="12" s="1"/>
  <c r="W65" i="12"/>
  <c r="W66" i="12"/>
  <c r="X65" i="12"/>
  <c r="X66" i="12" s="1"/>
  <c r="X67" i="12" s="1"/>
  <c r="Y65" i="12"/>
  <c r="AA65" i="12"/>
  <c r="AA66" i="12" s="1"/>
  <c r="AA67" i="12" s="1"/>
  <c r="AB65" i="12"/>
  <c r="AB66" i="12" s="1"/>
  <c r="AB67" i="12" s="1"/>
  <c r="AC65" i="12"/>
  <c r="AC66" i="12" s="1"/>
  <c r="AC67" i="12" s="1"/>
  <c r="AD65" i="12"/>
  <c r="AD66" i="12" s="1"/>
  <c r="AD67" i="12"/>
  <c r="H66" i="12"/>
  <c r="H67" i="12" s="1"/>
  <c r="H68" i="12" s="1"/>
  <c r="H69" i="12" s="1"/>
  <c r="H70" i="12" s="1"/>
  <c r="O66" i="12"/>
  <c r="O67" i="12" s="1"/>
  <c r="O68" i="12" s="1"/>
  <c r="O69" i="12" s="1"/>
  <c r="O70" i="12" s="1"/>
  <c r="V68" i="12"/>
  <c r="V69" i="12" s="1"/>
  <c r="V70" i="12" s="1"/>
  <c r="W68" i="12"/>
  <c r="W69" i="12" s="1"/>
  <c r="W70" i="12" s="1"/>
  <c r="X69" i="12"/>
  <c r="X70" i="12" s="1"/>
  <c r="X71" i="12" s="1"/>
  <c r="Y69" i="12"/>
  <c r="Y70" i="12" s="1"/>
  <c r="Z69" i="12"/>
  <c r="AA69" i="12"/>
  <c r="AA70" i="12" s="1"/>
  <c r="AA71" i="12" s="1"/>
  <c r="AB69" i="12"/>
  <c r="AB70" i="12" s="1"/>
  <c r="AB71" i="12" s="1"/>
  <c r="AC69" i="12"/>
  <c r="AC70" i="12" s="1"/>
  <c r="AC71" i="12" s="1"/>
  <c r="AD69" i="12"/>
  <c r="AD70" i="12" s="1"/>
  <c r="AD71" i="12" s="1"/>
  <c r="I71" i="12"/>
  <c r="P71" i="12"/>
  <c r="G72" i="12"/>
  <c r="J72" i="12"/>
  <c r="C72" i="12" s="1"/>
  <c r="N72" i="12"/>
  <c r="O72" i="12"/>
  <c r="O73" i="12" s="1"/>
  <c r="O74" i="12" s="1"/>
  <c r="O75" i="12" s="1"/>
  <c r="O76" i="12" s="1"/>
  <c r="O77" i="12" s="1"/>
  <c r="O78" i="12" s="1"/>
  <c r="O79" i="12" s="1"/>
  <c r="O80" i="12" s="1"/>
  <c r="O81" i="12" s="1"/>
  <c r="O82" i="12" s="1"/>
  <c r="O83" i="12" s="1"/>
  <c r="O84" i="12" s="1"/>
  <c r="O85" i="12" s="1"/>
  <c r="O86" i="12" s="1"/>
  <c r="O87" i="12" s="1"/>
  <c r="O88" i="12" s="1"/>
  <c r="O89" i="12" s="1"/>
  <c r="O90" i="12" s="1"/>
  <c r="O91" i="12" s="1"/>
  <c r="V72" i="12"/>
  <c r="V73" i="12" s="1"/>
  <c r="V74" i="12" s="1"/>
  <c r="V75" i="12" s="1"/>
  <c r="V76" i="12" s="1"/>
  <c r="V77" i="12" s="1"/>
  <c r="V78" i="12" s="1"/>
  <c r="V79" i="12" s="1"/>
  <c r="V80" i="12" s="1"/>
  <c r="V81" i="12" s="1"/>
  <c r="V82" i="12" s="1"/>
  <c r="V83" i="12" s="1"/>
  <c r="V84" i="12" s="1"/>
  <c r="V85" i="12" s="1"/>
  <c r="V86" i="12" s="1"/>
  <c r="V87" i="12" s="1"/>
  <c r="V88" i="12" s="1"/>
  <c r="V89" i="12" s="1"/>
  <c r="V90" i="12" s="1"/>
  <c r="V91" i="12" s="1"/>
  <c r="W72" i="12"/>
  <c r="W73" i="12" s="1"/>
  <c r="W74" i="12" s="1"/>
  <c r="W75" i="12" s="1"/>
  <c r="W76" i="12" s="1"/>
  <c r="W77" i="12" s="1"/>
  <c r="W78" i="12" s="1"/>
  <c r="W79" i="12" s="1"/>
  <c r="W80" i="12" s="1"/>
  <c r="W81" i="12" s="1"/>
  <c r="W82" i="12" s="1"/>
  <c r="W83" i="12" s="1"/>
  <c r="W84" i="12" s="1"/>
  <c r="W85" i="12" s="1"/>
  <c r="W86" i="12" s="1"/>
  <c r="W87" i="12" s="1"/>
  <c r="W88" i="12" s="1"/>
  <c r="W89" i="12" s="1"/>
  <c r="W90" i="12" s="1"/>
  <c r="W91" i="12" s="1"/>
  <c r="C72" i="26"/>
  <c r="C73" i="26"/>
  <c r="C74" i="26" s="1"/>
  <c r="C75" i="26" s="1"/>
  <c r="C76" i="26" s="1"/>
  <c r="C77" i="26" s="1"/>
  <c r="C78" i="26" s="1"/>
  <c r="C79" i="26" s="1"/>
  <c r="C80" i="26" s="1"/>
  <c r="C81" i="26" s="1"/>
  <c r="C82" i="26" s="1"/>
  <c r="C83" i="26" s="1"/>
  <c r="C84" i="26" s="1"/>
  <c r="C85" i="26" s="1"/>
  <c r="C86" i="26" s="1"/>
  <c r="C87" i="26" s="1"/>
  <c r="C88" i="26" s="1"/>
  <c r="C89" i="26" s="1"/>
  <c r="C90" i="26" s="1"/>
  <c r="C91" i="26" s="1"/>
  <c r="E72" i="26"/>
  <c r="E73" i="26" s="1"/>
  <c r="E74" i="26" s="1"/>
  <c r="E75" i="26" s="1"/>
  <c r="E76" i="26" s="1"/>
  <c r="E77" i="26" s="1"/>
  <c r="E78" i="26" s="1"/>
  <c r="E79" i="26" s="1"/>
  <c r="E80" i="26" s="1"/>
  <c r="E81" i="26" s="1"/>
  <c r="E82" i="26" s="1"/>
  <c r="E83" i="26" s="1"/>
  <c r="E84" i="26" s="1"/>
  <c r="E85" i="26" s="1"/>
  <c r="E86" i="26" s="1"/>
  <c r="E87" i="26" s="1"/>
  <c r="E88" i="26" s="1"/>
  <c r="E89" i="26" s="1"/>
  <c r="E90" i="26" s="1"/>
  <c r="E91" i="26" s="1"/>
  <c r="D72" i="26"/>
  <c r="D73" i="26" s="1"/>
  <c r="D74" i="26" s="1"/>
  <c r="D75" i="26" s="1"/>
  <c r="D76" i="26" s="1"/>
  <c r="D77" i="26" s="1"/>
  <c r="D78" i="26" s="1"/>
  <c r="D79" i="26" s="1"/>
  <c r="D80" i="26" s="1"/>
  <c r="D81" i="26" s="1"/>
  <c r="D82" i="26" s="1"/>
  <c r="D83" i="26" s="1"/>
  <c r="D84" i="26" s="1"/>
  <c r="D85" i="26" s="1"/>
  <c r="D86" i="26" s="1"/>
  <c r="D87" i="26" s="1"/>
  <c r="D88" i="26" s="1"/>
  <c r="D89" i="26" s="1"/>
  <c r="D90" i="26" s="1"/>
  <c r="D91" i="26" s="1"/>
  <c r="G28" i="4"/>
  <c r="C42" i="7"/>
  <c r="J25" i="56"/>
  <c r="J26" i="56" s="1"/>
  <c r="J27" i="56" s="1"/>
  <c r="J28" i="56" s="1"/>
  <c r="I25" i="56"/>
  <c r="I26" i="56" s="1"/>
  <c r="I27" i="56" s="1"/>
  <c r="I28" i="56" s="1"/>
  <c r="B106" i="5"/>
  <c r="E106" i="3"/>
  <c r="C106" i="3"/>
  <c r="C40" i="7"/>
  <c r="C41" i="7"/>
  <c r="D104" i="5"/>
  <c r="D102" i="5"/>
  <c r="E102" i="5" s="1"/>
  <c r="D100" i="5"/>
  <c r="D98" i="5"/>
  <c r="D96" i="5"/>
  <c r="E96" i="5" s="1"/>
  <c r="D94" i="5"/>
  <c r="E95" i="5" s="1"/>
  <c r="D92" i="5"/>
  <c r="D90" i="5"/>
  <c r="E90" i="5" s="1"/>
  <c r="D88" i="5"/>
  <c r="D86" i="5"/>
  <c r="D84" i="5"/>
  <c r="E84" i="5" s="1"/>
  <c r="D82" i="5"/>
  <c r="E83" i="5" s="1"/>
  <c r="D80" i="5"/>
  <c r="D78" i="5"/>
  <c r="D76" i="5"/>
  <c r="D74" i="5"/>
  <c r="E75" i="5" s="1"/>
  <c r="D72" i="5"/>
  <c r="E72" i="5" s="1"/>
  <c r="D70" i="5"/>
  <c r="E70" i="5" s="1"/>
  <c r="D68" i="5"/>
  <c r="E68" i="5" s="1"/>
  <c r="D66" i="5"/>
  <c r="D64" i="5"/>
  <c r="E64" i="5" s="1"/>
  <c r="D62" i="5"/>
  <c r="D60" i="5"/>
  <c r="E60" i="5" s="1"/>
  <c r="D58" i="5"/>
  <c r="E59" i="5" s="1"/>
  <c r="E58" i="5"/>
  <c r="D56" i="5"/>
  <c r="D54" i="5"/>
  <c r="E54" i="5" s="1"/>
  <c r="E55" i="5"/>
  <c r="D52" i="5"/>
  <c r="E53" i="5" s="1"/>
  <c r="D50" i="5"/>
  <c r="E50" i="5" s="1"/>
  <c r="D48" i="5"/>
  <c r="E49" i="5" s="1"/>
  <c r="D46" i="5"/>
  <c r="E46" i="5" s="1"/>
  <c r="D44" i="5"/>
  <c r="E44" i="5" s="1"/>
  <c r="E45" i="5"/>
  <c r="D42" i="5"/>
  <c r="D40" i="5"/>
  <c r="E41" i="5" s="1"/>
  <c r="D38" i="5"/>
  <c r="E38" i="5" s="1"/>
  <c r="D36" i="5"/>
  <c r="E37" i="5" s="1"/>
  <c r="D34" i="5"/>
  <c r="E34" i="5" s="1"/>
  <c r="D32" i="5"/>
  <c r="D30" i="5"/>
  <c r="D28" i="5"/>
  <c r="D26" i="5"/>
  <c r="E26" i="5" s="1"/>
  <c r="D24" i="5"/>
  <c r="E24" i="5" s="1"/>
  <c r="D22" i="5"/>
  <c r="E23" i="5" s="1"/>
  <c r="E61" i="5"/>
  <c r="E97" i="5"/>
  <c r="E48" i="5"/>
  <c r="D73" i="20"/>
  <c r="D74" i="20" s="1"/>
  <c r="D75" i="20" s="1"/>
  <c r="D76" i="20" s="1"/>
  <c r="D77" i="20" s="1"/>
  <c r="D78" i="20" s="1"/>
  <c r="T69" i="44"/>
  <c r="T70" i="44" s="1"/>
  <c r="L106" i="5"/>
  <c r="M106" i="5" s="1"/>
  <c r="E123" i="3"/>
  <c r="E122" i="3"/>
  <c r="E121" i="3"/>
  <c r="E120" i="3"/>
  <c r="C123" i="5"/>
  <c r="C122" i="5"/>
  <c r="C121" i="5"/>
  <c r="R74" i="20"/>
  <c r="Q74" i="20"/>
  <c r="P74" i="20"/>
  <c r="O74" i="20"/>
  <c r="F106" i="5"/>
  <c r="F94" i="5"/>
  <c r="G94" i="5" s="1"/>
  <c r="H96" i="5"/>
  <c r="F60" i="22"/>
  <c r="F61" i="22" s="1"/>
  <c r="H61" i="22" s="1"/>
  <c r="L73" i="46"/>
  <c r="L74" i="46" s="1"/>
  <c r="L75" i="46"/>
  <c r="L76" i="46" s="1"/>
  <c r="L77" i="46" s="1"/>
  <c r="L78" i="46" s="1"/>
  <c r="L79" i="46" s="1"/>
  <c r="H104" i="5"/>
  <c r="I104" i="5" s="1"/>
  <c r="G90" i="3"/>
  <c r="G88" i="3"/>
  <c r="R20" i="45"/>
  <c r="K68" i="46"/>
  <c r="K69" i="46"/>
  <c r="O68" i="44"/>
  <c r="O69" i="44" s="1"/>
  <c r="AZ81" i="42"/>
  <c r="AZ82" i="42" s="1"/>
  <c r="AZ83" i="42" s="1"/>
  <c r="AZ84" i="42" s="1"/>
  <c r="AZ85" i="42" s="1"/>
  <c r="AZ86" i="42" s="1"/>
  <c r="AZ87" i="42" s="1"/>
  <c r="AZ88" i="42" s="1"/>
  <c r="AZ89" i="42" s="1"/>
  <c r="AZ90" i="42" s="1"/>
  <c r="AZ91" i="42" s="1"/>
  <c r="AY81" i="42"/>
  <c r="AY82" i="42" s="1"/>
  <c r="AY83" i="42" s="1"/>
  <c r="AY84" i="42" s="1"/>
  <c r="AY85" i="42" s="1"/>
  <c r="AY86" i="42" s="1"/>
  <c r="AY87" i="42" s="1"/>
  <c r="AY88" i="42" s="1"/>
  <c r="AY89" i="42" s="1"/>
  <c r="AY90" i="42" s="1"/>
  <c r="AY91" i="42" s="1"/>
  <c r="AX81" i="42"/>
  <c r="AX82" i="42" s="1"/>
  <c r="AX83" i="42" s="1"/>
  <c r="AX84" i="42" s="1"/>
  <c r="AX85" i="42" s="1"/>
  <c r="AX86" i="42" s="1"/>
  <c r="AX87" i="42" s="1"/>
  <c r="AX88" i="42" s="1"/>
  <c r="AX89" i="42" s="1"/>
  <c r="AX90" i="42" s="1"/>
  <c r="AX91" i="42" s="1"/>
  <c r="AW81" i="42"/>
  <c r="AW82" i="42" s="1"/>
  <c r="AW83" i="42" s="1"/>
  <c r="AW84" i="42" s="1"/>
  <c r="AW85" i="42" s="1"/>
  <c r="AW86" i="42" s="1"/>
  <c r="AW87" i="42" s="1"/>
  <c r="AW88" i="42" s="1"/>
  <c r="AW89" i="42" s="1"/>
  <c r="AW90" i="42" s="1"/>
  <c r="AW91" i="42" s="1"/>
  <c r="AV81" i="42"/>
  <c r="AV82" i="42" s="1"/>
  <c r="AV83" i="42" s="1"/>
  <c r="AV84" i="42" s="1"/>
  <c r="AV85" i="42" s="1"/>
  <c r="AV86" i="42" s="1"/>
  <c r="AV87" i="42" s="1"/>
  <c r="AV88" i="42" s="1"/>
  <c r="AV89" i="42" s="1"/>
  <c r="AV90" i="42" s="1"/>
  <c r="AV91" i="42" s="1"/>
  <c r="AU81" i="42"/>
  <c r="AU82" i="42"/>
  <c r="AU83" i="42" s="1"/>
  <c r="AU84" i="42" s="1"/>
  <c r="AU85" i="42" s="1"/>
  <c r="AU86" i="42" s="1"/>
  <c r="AU87" i="42" s="1"/>
  <c r="AU88" i="42" s="1"/>
  <c r="AU89" i="42" s="1"/>
  <c r="AU90" i="42" s="1"/>
  <c r="AU91" i="42" s="1"/>
  <c r="AT81" i="42"/>
  <c r="AT82" i="42" s="1"/>
  <c r="AT83" i="42" s="1"/>
  <c r="AT84" i="42" s="1"/>
  <c r="AT85" i="42" s="1"/>
  <c r="AT86" i="42" s="1"/>
  <c r="AT87" i="42" s="1"/>
  <c r="AT88" i="42" s="1"/>
  <c r="AT89" i="42" s="1"/>
  <c r="AT90" i="42" s="1"/>
  <c r="AT91" i="42" s="1"/>
  <c r="AS81" i="42"/>
  <c r="AS82" i="42" s="1"/>
  <c r="AS83" i="42" s="1"/>
  <c r="AS84" i="42" s="1"/>
  <c r="AS85" i="42" s="1"/>
  <c r="AS86" i="42" s="1"/>
  <c r="AS87" i="42" s="1"/>
  <c r="AS88" i="42" s="1"/>
  <c r="AS89" i="42" s="1"/>
  <c r="AS90" i="42" s="1"/>
  <c r="AS91" i="42" s="1"/>
  <c r="AH81" i="42"/>
  <c r="AH82" i="42" s="1"/>
  <c r="AH83" i="42" s="1"/>
  <c r="AH84" i="42" s="1"/>
  <c r="AH85" i="42" s="1"/>
  <c r="AH86" i="42" s="1"/>
  <c r="AH87" i="42" s="1"/>
  <c r="AH88" i="42" s="1"/>
  <c r="AH89" i="42" s="1"/>
  <c r="AH90" i="42" s="1"/>
  <c r="AH91" i="42" s="1"/>
  <c r="L104" i="5"/>
  <c r="M105" i="5" s="1"/>
  <c r="Y74" i="24"/>
  <c r="Y75" i="24" s="1"/>
  <c r="Y77" i="24"/>
  <c r="Y78" i="24" s="1"/>
  <c r="Y79" i="24" s="1"/>
  <c r="Y80" i="24" s="1"/>
  <c r="Y81" i="24" s="1"/>
  <c r="Y82" i="24" s="1"/>
  <c r="Y83" i="24" s="1"/>
  <c r="Y84" i="24" s="1"/>
  <c r="Y85" i="24" s="1"/>
  <c r="Y86" i="24" s="1"/>
  <c r="Y87" i="24" s="1"/>
  <c r="Y88" i="24" s="1"/>
  <c r="Y89" i="24" s="1"/>
  <c r="Y90" i="24" s="1"/>
  <c r="Y91" i="24" s="1"/>
  <c r="I118" i="5"/>
  <c r="I117" i="5"/>
  <c r="G116" i="5"/>
  <c r="K116" i="5"/>
  <c r="C119" i="5"/>
  <c r="M116" i="5"/>
  <c r="C119" i="3"/>
  <c r="C118" i="3"/>
  <c r="C117" i="3"/>
  <c r="C116" i="3"/>
  <c r="G73" i="20"/>
  <c r="G74" i="20" s="1"/>
  <c r="G75" i="20" s="1"/>
  <c r="G76" i="20" s="1"/>
  <c r="G77" i="20" s="1"/>
  <c r="G78" i="20" s="1"/>
  <c r="G79" i="20" s="1"/>
  <c r="G80" i="20" s="1"/>
  <c r="G81" i="20" s="1"/>
  <c r="G82" i="20" s="1"/>
  <c r="G83" i="20" s="1"/>
  <c r="G84" i="20" s="1"/>
  <c r="G85" i="20" s="1"/>
  <c r="G86" i="20" s="1"/>
  <c r="G87" i="20" s="1"/>
  <c r="G88" i="20" s="1"/>
  <c r="G89" i="20" s="1"/>
  <c r="G90" i="20" s="1"/>
  <c r="G91" i="20" s="1"/>
  <c r="H70" i="16"/>
  <c r="H71" i="16" s="1"/>
  <c r="H72" i="16"/>
  <c r="H73" i="16" s="1"/>
  <c r="H74" i="16" s="1"/>
  <c r="H75" i="16" s="1"/>
  <c r="H76" i="16" s="1"/>
  <c r="H77" i="16" s="1"/>
  <c r="H78" i="16" s="1"/>
  <c r="H79" i="16" s="1"/>
  <c r="H80" i="16" s="1"/>
  <c r="H81" i="16" s="1"/>
  <c r="H82" i="16" s="1"/>
  <c r="H83" i="16" s="1"/>
  <c r="H84" i="16" s="1"/>
  <c r="H85" i="16" s="1"/>
  <c r="H86" i="16" s="1"/>
  <c r="H87" i="16" s="1"/>
  <c r="H88" i="16" s="1"/>
  <c r="H89" i="16" s="1"/>
  <c r="H90" i="16" s="1"/>
  <c r="H91" i="16" s="1"/>
  <c r="G9" i="34"/>
  <c r="G10" i="34" s="1"/>
  <c r="G11" i="34" s="1"/>
  <c r="H9" i="34"/>
  <c r="H10" i="34" s="1"/>
  <c r="H11" i="34" s="1"/>
  <c r="I9" i="34"/>
  <c r="I10" i="34"/>
  <c r="I11" i="34" s="1"/>
  <c r="G13" i="34"/>
  <c r="G14" i="34" s="1"/>
  <c r="G15" i="34" s="1"/>
  <c r="G16" i="34" s="1"/>
  <c r="G17" i="34" s="1"/>
  <c r="G18" i="34" s="1"/>
  <c r="G19" i="34" s="1"/>
  <c r="G20" i="34" s="1"/>
  <c r="G21" i="34" s="1"/>
  <c r="G22" i="34" s="1"/>
  <c r="G23" i="34" s="1"/>
  <c r="G24" i="34" s="1"/>
  <c r="G25" i="34" s="1"/>
  <c r="G26" i="34" s="1"/>
  <c r="G27" i="34" s="1"/>
  <c r="G28" i="34" s="1"/>
  <c r="G29" i="34" s="1"/>
  <c r="G30" i="34" s="1"/>
  <c r="G31" i="34" s="1"/>
  <c r="G32" i="34" s="1"/>
  <c r="G33" i="34" s="1"/>
  <c r="G34" i="34" s="1"/>
  <c r="G35" i="34" s="1"/>
  <c r="G36" i="34" s="1"/>
  <c r="G37" i="34" s="1"/>
  <c r="G38" i="34" s="1"/>
  <c r="G39" i="34" s="1"/>
  <c r="G40" i="34" s="1"/>
  <c r="G41" i="34" s="1"/>
  <c r="G42" i="34" s="1"/>
  <c r="G43" i="34" s="1"/>
  <c r="G44" i="34" s="1"/>
  <c r="G45" i="34" s="1"/>
  <c r="G46" i="34" s="1"/>
  <c r="G47" i="34" s="1"/>
  <c r="G48" i="34" s="1"/>
  <c r="G49" i="34" s="1"/>
  <c r="G50" i="34" s="1"/>
  <c r="G51" i="34" s="1"/>
  <c r="G52" i="34" s="1"/>
  <c r="G53" i="34" s="1"/>
  <c r="G54" i="34" s="1"/>
  <c r="G55" i="34" s="1"/>
  <c r="G56" i="34" s="1"/>
  <c r="G57" i="34" s="1"/>
  <c r="G58" i="34" s="1"/>
  <c r="G59" i="34" s="1"/>
  <c r="G60" i="34" s="1"/>
  <c r="G61" i="34" s="1"/>
  <c r="G62" i="34" s="1"/>
  <c r="G63" i="34" s="1"/>
  <c r="G64" i="34" s="1"/>
  <c r="H13" i="34"/>
  <c r="H14" i="34" s="1"/>
  <c r="H15" i="34" s="1"/>
  <c r="H16" i="34" s="1"/>
  <c r="H17" i="34" s="1"/>
  <c r="H18" i="34" s="1"/>
  <c r="H19" i="34" s="1"/>
  <c r="H20" i="34" s="1"/>
  <c r="H21" i="34" s="1"/>
  <c r="H22" i="34" s="1"/>
  <c r="H23" i="34" s="1"/>
  <c r="H24" i="34" s="1"/>
  <c r="H25" i="34" s="1"/>
  <c r="H26" i="34" s="1"/>
  <c r="H27" i="34" s="1"/>
  <c r="H28" i="34" s="1"/>
  <c r="H29" i="34" s="1"/>
  <c r="H30" i="34" s="1"/>
  <c r="H31" i="34" s="1"/>
  <c r="H32" i="34" s="1"/>
  <c r="H33" i="34" s="1"/>
  <c r="H34" i="34" s="1"/>
  <c r="H35" i="34" s="1"/>
  <c r="H36" i="34" s="1"/>
  <c r="H37" i="34" s="1"/>
  <c r="H38" i="34" s="1"/>
  <c r="H39" i="34" s="1"/>
  <c r="H40" i="34" s="1"/>
  <c r="H41" i="34" s="1"/>
  <c r="H42" i="34" s="1"/>
  <c r="H43" i="34" s="1"/>
  <c r="H44" i="34" s="1"/>
  <c r="H45" i="34" s="1"/>
  <c r="H46" i="34" s="1"/>
  <c r="H47" i="34" s="1"/>
  <c r="H48" i="34" s="1"/>
  <c r="H49" i="34" s="1"/>
  <c r="H50" i="34" s="1"/>
  <c r="H51" i="34" s="1"/>
  <c r="H52" i="34" s="1"/>
  <c r="H53" i="34" s="1"/>
  <c r="H54" i="34" s="1"/>
  <c r="H55" i="34" s="1"/>
  <c r="H56" i="34" s="1"/>
  <c r="H57" i="34" s="1"/>
  <c r="H58" i="34" s="1"/>
  <c r="H59" i="34" s="1"/>
  <c r="H60" i="34" s="1"/>
  <c r="H61" i="34" s="1"/>
  <c r="H62" i="34" s="1"/>
  <c r="H63" i="34" s="1"/>
  <c r="H64" i="34" s="1"/>
  <c r="I13" i="34"/>
  <c r="I14" i="34" s="1"/>
  <c r="I15" i="34" s="1"/>
  <c r="I16" i="34" s="1"/>
  <c r="I17" i="34" s="1"/>
  <c r="I18" i="34" s="1"/>
  <c r="I19" i="34" s="1"/>
  <c r="I20" i="34" s="1"/>
  <c r="I21" i="34" s="1"/>
  <c r="I22" i="34" s="1"/>
  <c r="I23" i="34" s="1"/>
  <c r="I24" i="34" s="1"/>
  <c r="I25" i="34" s="1"/>
  <c r="I26" i="34" s="1"/>
  <c r="I27" i="34" s="1"/>
  <c r="I28" i="34" s="1"/>
  <c r="I29" i="34" s="1"/>
  <c r="I30" i="34" s="1"/>
  <c r="I31" i="34" s="1"/>
  <c r="I32" i="34" s="1"/>
  <c r="I33" i="34" s="1"/>
  <c r="I34" i="34" s="1"/>
  <c r="I35" i="34" s="1"/>
  <c r="I36" i="34" s="1"/>
  <c r="I37" i="34" s="1"/>
  <c r="I38" i="34" s="1"/>
  <c r="I39" i="34" s="1"/>
  <c r="I40" i="34" s="1"/>
  <c r="I41" i="34" s="1"/>
  <c r="I42" i="34" s="1"/>
  <c r="I43" i="34" s="1"/>
  <c r="I44" i="34" s="1"/>
  <c r="I45" i="34" s="1"/>
  <c r="I46" i="34" s="1"/>
  <c r="I47" i="34" s="1"/>
  <c r="I48" i="34" s="1"/>
  <c r="I49" i="34" s="1"/>
  <c r="I50" i="34" s="1"/>
  <c r="I51" i="34" s="1"/>
  <c r="I52" i="34" s="1"/>
  <c r="I53" i="34" s="1"/>
  <c r="I54" i="34" s="1"/>
  <c r="I55" i="34" s="1"/>
  <c r="I56" i="34" s="1"/>
  <c r="I57" i="34" s="1"/>
  <c r="I58" i="34" s="1"/>
  <c r="I59" i="34" s="1"/>
  <c r="I60" i="34" s="1"/>
  <c r="I61" i="34" s="1"/>
  <c r="I62" i="34" s="1"/>
  <c r="I63" i="34" s="1"/>
  <c r="I64" i="34" s="1"/>
  <c r="I65" i="34" s="1"/>
  <c r="I66" i="34" s="1"/>
  <c r="I67" i="34" s="1"/>
  <c r="I68" i="34" s="1"/>
  <c r="I69" i="34" s="1"/>
  <c r="I70" i="34" s="1"/>
  <c r="I71" i="34" s="1"/>
  <c r="I72" i="34" s="1"/>
  <c r="I73" i="34" s="1"/>
  <c r="I74" i="34" s="1"/>
  <c r="I75" i="34" s="1"/>
  <c r="I76" i="34" s="1"/>
  <c r="I77" i="34" s="1"/>
  <c r="I78" i="34" s="1"/>
  <c r="I79" i="34" s="1"/>
  <c r="I80" i="34" s="1"/>
  <c r="I81" i="34" s="1"/>
  <c r="I82" i="34" s="1"/>
  <c r="I83" i="34" s="1"/>
  <c r="I84" i="34" s="1"/>
  <c r="I85" i="34" s="1"/>
  <c r="I86" i="34" s="1"/>
  <c r="I87" i="34" s="1"/>
  <c r="I88" i="34" s="1"/>
  <c r="I89" i="34" s="1"/>
  <c r="I90" i="34" s="1"/>
  <c r="I91" i="34" s="1"/>
  <c r="E26" i="34"/>
  <c r="E27" i="34"/>
  <c r="E28" i="34"/>
  <c r="E29" i="34"/>
  <c r="E30" i="34"/>
  <c r="E31" i="34"/>
  <c r="E32" i="34"/>
  <c r="E33" i="34"/>
  <c r="E34" i="34"/>
  <c r="E35" i="34"/>
  <c r="E36" i="34"/>
  <c r="E37" i="34"/>
  <c r="E38" i="34"/>
  <c r="E39" i="34"/>
  <c r="E40" i="34"/>
  <c r="E41" i="34"/>
  <c r="E42" i="34"/>
  <c r="E43" i="34"/>
  <c r="E44" i="34"/>
  <c r="E45" i="34"/>
  <c r="E46" i="34"/>
  <c r="E47" i="34"/>
  <c r="E48" i="34"/>
  <c r="E49" i="34"/>
  <c r="E50" i="34"/>
  <c r="E51" i="34"/>
  <c r="E52" i="34"/>
  <c r="E53" i="34"/>
  <c r="E54" i="34"/>
  <c r="E55" i="34"/>
  <c r="E56" i="34"/>
  <c r="E57" i="34"/>
  <c r="E58" i="34"/>
  <c r="C59" i="34"/>
  <c r="D60" i="34"/>
  <c r="F60" i="34"/>
  <c r="D62" i="34"/>
  <c r="F62" i="34"/>
  <c r="D64" i="34"/>
  <c r="F64" i="34"/>
  <c r="D66" i="34"/>
  <c r="D67" i="34" s="1"/>
  <c r="F66" i="34"/>
  <c r="F67" i="34" s="1"/>
  <c r="AG69" i="22"/>
  <c r="AG68" i="22"/>
  <c r="AG67" i="22"/>
  <c r="AG66" i="22"/>
  <c r="O65" i="20"/>
  <c r="O66" i="20" s="1"/>
  <c r="O67" i="20" s="1"/>
  <c r="O68" i="20" s="1"/>
  <c r="O69" i="20" s="1"/>
  <c r="O73" i="20"/>
  <c r="R65" i="20"/>
  <c r="R66" i="20" s="1"/>
  <c r="R67" i="20" s="1"/>
  <c r="R68" i="20" s="1"/>
  <c r="R69" i="20" s="1"/>
  <c r="R73" i="20"/>
  <c r="Q65" i="20"/>
  <c r="Q66" i="20" s="1"/>
  <c r="Q67" i="20" s="1"/>
  <c r="Q68" i="20" s="1"/>
  <c r="Q69" i="20" s="1"/>
  <c r="Q73" i="20"/>
  <c r="P65" i="20"/>
  <c r="P66" i="20" s="1"/>
  <c r="P67" i="20" s="1"/>
  <c r="P68" i="20" s="1"/>
  <c r="P69" i="20" s="1"/>
  <c r="J68" i="16"/>
  <c r="J70" i="16"/>
  <c r="J71" i="16" s="1"/>
  <c r="J72" i="16" s="1"/>
  <c r="J73" i="16" s="1"/>
  <c r="J75" i="16"/>
  <c r="E73" i="52"/>
  <c r="E74" i="52" s="1"/>
  <c r="E75" i="52" s="1"/>
  <c r="E76" i="52" s="1"/>
  <c r="E77" i="52" s="1"/>
  <c r="E78" i="52" s="1"/>
  <c r="E79" i="52" s="1"/>
  <c r="E80" i="52" s="1"/>
  <c r="E81" i="52" s="1"/>
  <c r="E82" i="52" s="1"/>
  <c r="E83" i="52" s="1"/>
  <c r="E84" i="52" s="1"/>
  <c r="E85" i="52" s="1"/>
  <c r="E86" i="52" s="1"/>
  <c r="E87" i="52" s="1"/>
  <c r="E88" i="52" s="1"/>
  <c r="E89" i="52" s="1"/>
  <c r="E90" i="52" s="1"/>
  <c r="E91" i="52" s="1"/>
  <c r="G73" i="52"/>
  <c r="G74" i="52" s="1"/>
  <c r="G75" i="52" s="1"/>
  <c r="G76" i="52" s="1"/>
  <c r="G77" i="52" s="1"/>
  <c r="G78" i="52" s="1"/>
  <c r="G79" i="52" s="1"/>
  <c r="G80" i="52" s="1"/>
  <c r="G81" i="52" s="1"/>
  <c r="G82" i="52" s="1"/>
  <c r="G83" i="52" s="1"/>
  <c r="G84" i="52" s="1"/>
  <c r="G85" i="52" s="1"/>
  <c r="G86" i="52" s="1"/>
  <c r="G87" i="52" s="1"/>
  <c r="G88" i="52" s="1"/>
  <c r="G89" i="52" s="1"/>
  <c r="G90" i="52" s="1"/>
  <c r="G91" i="52" s="1"/>
  <c r="C66" i="42"/>
  <c r="V73" i="24"/>
  <c r="V74" i="24" s="1"/>
  <c r="V75" i="24" s="1"/>
  <c r="V76" i="24" s="1"/>
  <c r="V77" i="24" s="1"/>
  <c r="V78" i="24" s="1"/>
  <c r="V79" i="24" s="1"/>
  <c r="V80" i="24" s="1"/>
  <c r="V81" i="24" s="1"/>
  <c r="V82" i="24" s="1"/>
  <c r="V83" i="24" s="1"/>
  <c r="V84" i="24" s="1"/>
  <c r="V85" i="24" s="1"/>
  <c r="V86" i="24" s="1"/>
  <c r="V87" i="24" s="1"/>
  <c r="V88" i="24" s="1"/>
  <c r="V89" i="24" s="1"/>
  <c r="V90" i="24" s="1"/>
  <c r="V91" i="24" s="1"/>
  <c r="U73" i="24"/>
  <c r="U74" i="24" s="1"/>
  <c r="U75" i="24" s="1"/>
  <c r="U76" i="24" s="1"/>
  <c r="U77" i="24" s="1"/>
  <c r="U78" i="24" s="1"/>
  <c r="U79" i="24" s="1"/>
  <c r="U80" i="24" s="1"/>
  <c r="U81" i="24" s="1"/>
  <c r="U82" i="24" s="1"/>
  <c r="U83" i="24" s="1"/>
  <c r="U84" i="24" s="1"/>
  <c r="U85" i="24" s="1"/>
  <c r="U86" i="24" s="1"/>
  <c r="U87" i="24" s="1"/>
  <c r="U88" i="24" s="1"/>
  <c r="U89" i="24" s="1"/>
  <c r="U90" i="24" s="1"/>
  <c r="U91" i="24" s="1"/>
  <c r="G115" i="5"/>
  <c r="K115" i="5" s="1"/>
  <c r="F104" i="5"/>
  <c r="G105" i="5" s="1"/>
  <c r="K105" i="5" s="1"/>
  <c r="F102" i="5"/>
  <c r="G102" i="5" s="1"/>
  <c r="K102" i="5" s="1"/>
  <c r="J102" i="5" s="1"/>
  <c r="F100" i="5"/>
  <c r="G101" i="5" s="1"/>
  <c r="K101" i="5" s="1"/>
  <c r="M6" i="5"/>
  <c r="K6" i="5"/>
  <c r="I6" i="5"/>
  <c r="G6" i="5"/>
  <c r="C6" i="5"/>
  <c r="N26" i="57"/>
  <c r="N27" i="57" s="1"/>
  <c r="N28" i="57" s="1"/>
  <c r="L26" i="57"/>
  <c r="L27" i="57" s="1"/>
  <c r="L28" i="57" s="1"/>
  <c r="J22" i="57"/>
  <c r="J23" i="57" s="1"/>
  <c r="J24" i="57" s="1"/>
  <c r="J25" i="57" s="1"/>
  <c r="J26" i="57" s="1"/>
  <c r="J27" i="57" s="1"/>
  <c r="J28" i="57" s="1"/>
  <c r="I22" i="57"/>
  <c r="I23" i="57" s="1"/>
  <c r="I24" i="57" s="1"/>
  <c r="I25" i="57" s="1"/>
  <c r="I26" i="57" s="1"/>
  <c r="I27" i="57" s="1"/>
  <c r="I28" i="57" s="1"/>
  <c r="O69" i="46"/>
  <c r="O72" i="46"/>
  <c r="O74" i="46"/>
  <c r="O75" i="46" s="1"/>
  <c r="O76" i="46" s="1"/>
  <c r="O77" i="46" s="1"/>
  <c r="O78" i="46" s="1"/>
  <c r="O79" i="46" s="1"/>
  <c r="O80" i="46" s="1"/>
  <c r="O81" i="46" s="1"/>
  <c r="O82" i="46" s="1"/>
  <c r="O83" i="46" s="1"/>
  <c r="O84" i="46" s="1"/>
  <c r="O85" i="46" s="1"/>
  <c r="O86" i="46" s="1"/>
  <c r="O87" i="46" s="1"/>
  <c r="AB68" i="44"/>
  <c r="AB69" i="44" s="1"/>
  <c r="L96" i="5"/>
  <c r="M96" i="5" s="1"/>
  <c r="M115" i="5"/>
  <c r="M112" i="5"/>
  <c r="L102" i="5"/>
  <c r="M102" i="5" s="1"/>
  <c r="L100" i="5"/>
  <c r="M100" i="5" s="1"/>
  <c r="C112" i="5"/>
  <c r="C108" i="5"/>
  <c r="B102" i="5"/>
  <c r="C102" i="5" s="1"/>
  <c r="B100" i="5"/>
  <c r="H106" i="5"/>
  <c r="I106" i="5" s="1"/>
  <c r="H102" i="5"/>
  <c r="I103" i="5" s="1"/>
  <c r="H100" i="5"/>
  <c r="I100" i="5" s="1"/>
  <c r="J98" i="5"/>
  <c r="K99" i="5" s="1"/>
  <c r="J96" i="5"/>
  <c r="D68" i="44"/>
  <c r="D69" i="44" s="1"/>
  <c r="D73" i="44"/>
  <c r="D74" i="44" s="1"/>
  <c r="D75" i="44" s="1"/>
  <c r="D76" i="44" s="1"/>
  <c r="D77" i="44" s="1"/>
  <c r="D78" i="44" s="1"/>
  <c r="D79" i="44" s="1"/>
  <c r="D80" i="44" s="1"/>
  <c r="D81" i="44" s="1"/>
  <c r="D82" i="44" s="1"/>
  <c r="D83" i="44" s="1"/>
  <c r="D84" i="44" s="1"/>
  <c r="D85" i="44" s="1"/>
  <c r="D86" i="44" s="1"/>
  <c r="D87" i="44" s="1"/>
  <c r="D88" i="44" s="1"/>
  <c r="D89" i="44" s="1"/>
  <c r="D90" i="44" s="1"/>
  <c r="D91" i="44" s="1"/>
  <c r="E25" i="56"/>
  <c r="E26" i="56" s="1"/>
  <c r="E27" i="56" s="1"/>
  <c r="E28" i="56" s="1"/>
  <c r="R69" i="44"/>
  <c r="C24" i="51"/>
  <c r="C25" i="51"/>
  <c r="C26" i="51"/>
  <c r="C27" i="51"/>
  <c r="C28" i="51"/>
  <c r="AI85" i="12"/>
  <c r="AI86" i="12" s="1"/>
  <c r="AI87" i="12" s="1"/>
  <c r="AI88" i="12" s="1"/>
  <c r="AI89" i="12" s="1"/>
  <c r="AI90" i="12" s="1"/>
  <c r="AI91" i="12" s="1"/>
  <c r="AI77" i="12"/>
  <c r="AI78" i="12" s="1"/>
  <c r="AI79" i="12" s="1"/>
  <c r="AI80" i="12" s="1"/>
  <c r="AI81" i="12" s="1"/>
  <c r="AI82" i="12" s="1"/>
  <c r="AI83" i="12" s="1"/>
  <c r="T8" i="10"/>
  <c r="D73" i="10"/>
  <c r="D74" i="10"/>
  <c r="D75" i="10" s="1"/>
  <c r="D76" i="10" s="1"/>
  <c r="D77" i="10" s="1"/>
  <c r="D78" i="10" s="1"/>
  <c r="D79" i="10" s="1"/>
  <c r="D80" i="10" s="1"/>
  <c r="D81" i="10" s="1"/>
  <c r="D82" i="10" s="1"/>
  <c r="D83" i="10" s="1"/>
  <c r="D84" i="10" s="1"/>
  <c r="D85" i="10" s="1"/>
  <c r="D86" i="10" s="1"/>
  <c r="D87" i="10" s="1"/>
  <c r="D88" i="10" s="1"/>
  <c r="D89" i="10" s="1"/>
  <c r="D90" i="10" s="1"/>
  <c r="D91" i="10" s="1"/>
  <c r="F73" i="10"/>
  <c r="F74" i="10" s="1"/>
  <c r="F75" i="10" s="1"/>
  <c r="F76" i="10" s="1"/>
  <c r="F77" i="10" s="1"/>
  <c r="F78" i="10" s="1"/>
  <c r="F79" i="10" s="1"/>
  <c r="F80" i="10" s="1"/>
  <c r="F81" i="10" s="1"/>
  <c r="F82" i="10" s="1"/>
  <c r="F83" i="10" s="1"/>
  <c r="F84" i="10" s="1"/>
  <c r="F85" i="10" s="1"/>
  <c r="F86" i="10" s="1"/>
  <c r="F87" i="10" s="1"/>
  <c r="F88" i="10" s="1"/>
  <c r="F89" i="10" s="1"/>
  <c r="F90" i="10" s="1"/>
  <c r="F91" i="10" s="1"/>
  <c r="J73" i="10"/>
  <c r="J74" i="10" s="1"/>
  <c r="J75" i="10" s="1"/>
  <c r="J76" i="10" s="1"/>
  <c r="J77" i="10" s="1"/>
  <c r="J78" i="10" s="1"/>
  <c r="J79" i="10" s="1"/>
  <c r="J80" i="10" s="1"/>
  <c r="J81" i="10" s="1"/>
  <c r="J82" i="10" s="1"/>
  <c r="J83" i="10" s="1"/>
  <c r="J84" i="10" s="1"/>
  <c r="J85" i="10" s="1"/>
  <c r="J86" i="10" s="1"/>
  <c r="J87" i="10" s="1"/>
  <c r="J88" i="10" s="1"/>
  <c r="J89" i="10" s="1"/>
  <c r="J90" i="10" s="1"/>
  <c r="J91" i="10" s="1"/>
  <c r="N73" i="10"/>
  <c r="N74" i="10" s="1"/>
  <c r="N75" i="10" s="1"/>
  <c r="N76" i="10" s="1"/>
  <c r="N77" i="10" s="1"/>
  <c r="N78" i="10" s="1"/>
  <c r="N79" i="10" s="1"/>
  <c r="N80" i="10" s="1"/>
  <c r="N81" i="10" s="1"/>
  <c r="N82" i="10" s="1"/>
  <c r="N83" i="10" s="1"/>
  <c r="N84" i="10" s="1"/>
  <c r="N85" i="10" s="1"/>
  <c r="N86" i="10" s="1"/>
  <c r="N87" i="10" s="1"/>
  <c r="N88" i="10" s="1"/>
  <c r="N89" i="10" s="1"/>
  <c r="N90" i="10" s="1"/>
  <c r="N91" i="10" s="1"/>
  <c r="S73" i="10"/>
  <c r="S74" i="10" s="1"/>
  <c r="S75" i="10" s="1"/>
  <c r="S76" i="10" s="1"/>
  <c r="S77" i="10" s="1"/>
  <c r="S78" i="10" s="1"/>
  <c r="S79" i="10" s="1"/>
  <c r="S80" i="10" s="1"/>
  <c r="S81" i="10" s="1"/>
  <c r="S82" i="10" s="1"/>
  <c r="S83" i="10" s="1"/>
  <c r="S84" i="10" s="1"/>
  <c r="S85" i="10" s="1"/>
  <c r="S86" i="10" s="1"/>
  <c r="S87" i="10" s="1"/>
  <c r="S88" i="10" s="1"/>
  <c r="S89" i="10" s="1"/>
  <c r="S90" i="10" s="1"/>
  <c r="S91" i="10" s="1"/>
  <c r="Z74" i="24"/>
  <c r="Z75" i="24" s="1"/>
  <c r="Z77" i="24"/>
  <c r="Z78" i="24" s="1"/>
  <c r="Z79" i="24" s="1"/>
  <c r="Z80" i="24" s="1"/>
  <c r="Z81" i="24" s="1"/>
  <c r="Z82" i="24" s="1"/>
  <c r="Z83" i="24" s="1"/>
  <c r="Z84" i="24" s="1"/>
  <c r="Z85" i="24" s="1"/>
  <c r="Z86" i="24" s="1"/>
  <c r="Z87" i="24" s="1"/>
  <c r="Z88" i="24" s="1"/>
  <c r="Z89" i="24" s="1"/>
  <c r="Z90" i="24" s="1"/>
  <c r="Z91" i="24" s="1"/>
  <c r="AA23" i="56"/>
  <c r="AA24" i="56" s="1"/>
  <c r="AA25" i="56" s="1"/>
  <c r="AA26" i="56" s="1"/>
  <c r="AA27" i="56"/>
  <c r="AA28" i="56" s="1"/>
  <c r="Z23" i="56"/>
  <c r="Z24" i="56" s="1"/>
  <c r="Z25" i="56" s="1"/>
  <c r="Z26" i="56" s="1"/>
  <c r="Z27" i="56" s="1"/>
  <c r="Z28" i="56" s="1"/>
  <c r="M23" i="56"/>
  <c r="M24" i="56" s="1"/>
  <c r="M25" i="56" s="1"/>
  <c r="M26" i="56" s="1"/>
  <c r="M27" i="56" s="1"/>
  <c r="M28" i="56" s="1"/>
  <c r="L23" i="56"/>
  <c r="L24" i="56" s="1"/>
  <c r="L25" i="56" s="1"/>
  <c r="L26" i="56" s="1"/>
  <c r="L27" i="56" s="1"/>
  <c r="L28" i="56" s="1"/>
  <c r="K25" i="56"/>
  <c r="K26" i="56" s="1"/>
  <c r="K27" i="56" s="1"/>
  <c r="K28" i="56" s="1"/>
  <c r="Y68" i="44"/>
  <c r="Y69" i="44" s="1"/>
  <c r="Y74" i="44"/>
  <c r="Y75" i="44" s="1"/>
  <c r="L68" i="44"/>
  <c r="L69" i="44" s="1"/>
  <c r="L73" i="44"/>
  <c r="L74" i="44" s="1"/>
  <c r="L75" i="44" s="1"/>
  <c r="L76" i="44" s="1"/>
  <c r="L77" i="44" s="1"/>
  <c r="L78" i="44" s="1"/>
  <c r="L79" i="44" s="1"/>
  <c r="L80" i="44" s="1"/>
  <c r="L81" i="44" s="1"/>
  <c r="L82" i="44" s="1"/>
  <c r="L83" i="44" s="1"/>
  <c r="L84" i="44" s="1"/>
  <c r="L85" i="44" s="1"/>
  <c r="L86" i="44" s="1"/>
  <c r="L87" i="44" s="1"/>
  <c r="L88" i="44" s="1"/>
  <c r="L89" i="44" s="1"/>
  <c r="L90" i="44" s="1"/>
  <c r="L91" i="44" s="1"/>
  <c r="X73" i="24"/>
  <c r="X74" i="24" s="1"/>
  <c r="X75" i="24" s="1"/>
  <c r="X76" i="24" s="1"/>
  <c r="X77" i="24" s="1"/>
  <c r="X78" i="24" s="1"/>
  <c r="X79" i="24" s="1"/>
  <c r="X80" i="24" s="1"/>
  <c r="X81" i="24" s="1"/>
  <c r="X82" i="24" s="1"/>
  <c r="X83" i="24" s="1"/>
  <c r="X84" i="24" s="1"/>
  <c r="X85" i="24" s="1"/>
  <c r="X86" i="24" s="1"/>
  <c r="X87" i="24" s="1"/>
  <c r="X88" i="24" s="1"/>
  <c r="X89" i="24" s="1"/>
  <c r="X90" i="24" s="1"/>
  <c r="X91" i="24" s="1"/>
  <c r="W73" i="24"/>
  <c r="W74" i="24" s="1"/>
  <c r="W75" i="24" s="1"/>
  <c r="W76" i="24" s="1"/>
  <c r="W77" i="24" s="1"/>
  <c r="W78" i="24" s="1"/>
  <c r="W79" i="24" s="1"/>
  <c r="W80" i="24" s="1"/>
  <c r="W81" i="24" s="1"/>
  <c r="W82" i="24" s="1"/>
  <c r="W83" i="24" s="1"/>
  <c r="W84" i="24" s="1"/>
  <c r="W85" i="24" s="1"/>
  <c r="W86" i="24" s="1"/>
  <c r="W87" i="24" s="1"/>
  <c r="W88" i="24" s="1"/>
  <c r="W89" i="24" s="1"/>
  <c r="W90" i="24" s="1"/>
  <c r="W91" i="24" s="1"/>
  <c r="D9" i="26"/>
  <c r="D10" i="26"/>
  <c r="D11" i="26"/>
  <c r="D12" i="26"/>
  <c r="D13" i="26"/>
  <c r="D14" i="26"/>
  <c r="D15" i="26"/>
  <c r="D16" i="26"/>
  <c r="D17" i="26"/>
  <c r="D18" i="26"/>
  <c r="D19" i="26"/>
  <c r="D20" i="26"/>
  <c r="D21" i="26"/>
  <c r="D22" i="26"/>
  <c r="D23" i="26"/>
  <c r="D24" i="26"/>
  <c r="D25" i="26"/>
  <c r="D26" i="26"/>
  <c r="D27" i="26"/>
  <c r="D28" i="26"/>
  <c r="D29" i="26"/>
  <c r="D30" i="26"/>
  <c r="D31" i="26"/>
  <c r="D32" i="26"/>
  <c r="D33" i="26"/>
  <c r="D34" i="26"/>
  <c r="D35" i="26"/>
  <c r="D36" i="26"/>
  <c r="D37" i="26"/>
  <c r="D38" i="26"/>
  <c r="D39" i="26"/>
  <c r="D40" i="26"/>
  <c r="D41" i="26"/>
  <c r="D42" i="26"/>
  <c r="D43" i="26"/>
  <c r="D44" i="26"/>
  <c r="D45" i="26"/>
  <c r="D46" i="26"/>
  <c r="D47" i="26"/>
  <c r="D48" i="26"/>
  <c r="D49" i="26"/>
  <c r="D50" i="26"/>
  <c r="D51" i="26"/>
  <c r="D52" i="26"/>
  <c r="D53" i="26"/>
  <c r="D54" i="26"/>
  <c r="D55" i="26"/>
  <c r="D56" i="26"/>
  <c r="D57" i="26"/>
  <c r="D58" i="26"/>
  <c r="D59" i="26"/>
  <c r="D60" i="26"/>
  <c r="D61" i="26"/>
  <c r="D8" i="26"/>
  <c r="AF58" i="22"/>
  <c r="AF59" i="22" s="1"/>
  <c r="AF60" i="22" s="1"/>
  <c r="AF61" i="22" s="1"/>
  <c r="AF62" i="22" s="1"/>
  <c r="AF63" i="22" s="1"/>
  <c r="AF64" i="22" s="1"/>
  <c r="AF65" i="22" s="1"/>
  <c r="AF66" i="22" s="1"/>
  <c r="AF67" i="22" s="1"/>
  <c r="AF68" i="22" s="1"/>
  <c r="AF69" i="22" s="1"/>
  <c r="AF73" i="22"/>
  <c r="AF74" i="22" s="1"/>
  <c r="AF75" i="22" s="1"/>
  <c r="AF76" i="22" s="1"/>
  <c r="AF77" i="22" s="1"/>
  <c r="AF78" i="22" s="1"/>
  <c r="AF79" i="22" s="1"/>
  <c r="AF80" i="22" s="1"/>
  <c r="AF81" i="22" s="1"/>
  <c r="AF82" i="22" s="1"/>
  <c r="AF83" i="22" s="1"/>
  <c r="AF84" i="22" s="1"/>
  <c r="AF85" i="22" s="1"/>
  <c r="AF86" i="22" s="1"/>
  <c r="AF87" i="22" s="1"/>
  <c r="AF88" i="22" s="1"/>
  <c r="AF89" i="22" s="1"/>
  <c r="AF90" i="22" s="1"/>
  <c r="AF91" i="22" s="1"/>
  <c r="AA21" i="20"/>
  <c r="AA20" i="20"/>
  <c r="AA17" i="20"/>
  <c r="AA16" i="20"/>
  <c r="R59" i="20"/>
  <c r="Q59" i="20"/>
  <c r="O59" i="20"/>
  <c r="R58" i="20"/>
  <c r="Q58" i="20"/>
  <c r="O58" i="20"/>
  <c r="R57" i="20"/>
  <c r="Q57" i="20"/>
  <c r="O57" i="20"/>
  <c r="R56" i="20"/>
  <c r="Q56" i="20"/>
  <c r="O56" i="20"/>
  <c r="R55" i="20"/>
  <c r="Q55" i="20"/>
  <c r="O55" i="20"/>
  <c r="R54" i="20"/>
  <c r="Q54" i="20"/>
  <c r="O54" i="20"/>
  <c r="R53" i="20"/>
  <c r="Q53" i="20"/>
  <c r="O53" i="20"/>
  <c r="R52" i="20"/>
  <c r="Q52" i="20"/>
  <c r="O52" i="20"/>
  <c r="R51" i="20"/>
  <c r="Q51" i="20"/>
  <c r="O51" i="20"/>
  <c r="R50" i="20"/>
  <c r="Q50" i="20"/>
  <c r="O50" i="20"/>
  <c r="R49" i="20"/>
  <c r="Q49" i="20"/>
  <c r="O49" i="20"/>
  <c r="R48" i="20"/>
  <c r="Q48" i="20"/>
  <c r="O48" i="20"/>
  <c r="R47" i="20"/>
  <c r="Q47" i="20"/>
  <c r="O47" i="20"/>
  <c r="R46" i="20"/>
  <c r="Q46" i="20"/>
  <c r="O46" i="20"/>
  <c r="R45" i="20"/>
  <c r="Q45" i="20"/>
  <c r="O45" i="20"/>
  <c r="R44" i="20"/>
  <c r="Q44" i="20"/>
  <c r="O44" i="20"/>
  <c r="R43" i="20"/>
  <c r="Q43" i="20"/>
  <c r="O43" i="20"/>
  <c r="R42" i="20"/>
  <c r="Q42" i="20"/>
  <c r="O42" i="20"/>
  <c r="R41" i="20"/>
  <c r="Q41" i="20"/>
  <c r="O41" i="20"/>
  <c r="R40" i="20"/>
  <c r="Q40" i="20"/>
  <c r="O40" i="20"/>
  <c r="R39" i="20"/>
  <c r="Q39" i="20"/>
  <c r="O39" i="20"/>
  <c r="R38" i="20"/>
  <c r="Q38" i="20"/>
  <c r="O38" i="20"/>
  <c r="R37" i="20"/>
  <c r="Q37" i="20"/>
  <c r="O37" i="20"/>
  <c r="R36" i="20"/>
  <c r="Q36" i="20"/>
  <c r="O36" i="20"/>
  <c r="R35" i="20"/>
  <c r="Q35" i="20"/>
  <c r="O35" i="20"/>
  <c r="R34" i="20"/>
  <c r="Q34" i="20"/>
  <c r="O34" i="20"/>
  <c r="R33" i="20"/>
  <c r="Q33" i="20"/>
  <c r="O33" i="20"/>
  <c r="R32" i="20"/>
  <c r="Q32" i="20"/>
  <c r="O32" i="20"/>
  <c r="R31" i="20"/>
  <c r="Q31" i="20"/>
  <c r="O31" i="20"/>
  <c r="R30" i="20"/>
  <c r="Q30" i="20"/>
  <c r="O30" i="20"/>
  <c r="R29" i="20"/>
  <c r="Q29" i="20"/>
  <c r="O29" i="20"/>
  <c r="R28" i="20"/>
  <c r="Q28" i="20"/>
  <c r="O28" i="20"/>
  <c r="R27" i="20"/>
  <c r="Q27" i="20"/>
  <c r="O27" i="20"/>
  <c r="R26" i="20"/>
  <c r="Q26" i="20"/>
  <c r="O26" i="20"/>
  <c r="R25" i="20"/>
  <c r="Q25" i="20"/>
  <c r="O25" i="20"/>
  <c r="R24" i="20"/>
  <c r="Q24" i="20"/>
  <c r="O24" i="20"/>
  <c r="R23" i="20"/>
  <c r="Q23" i="20"/>
  <c r="O23" i="20"/>
  <c r="R22" i="20"/>
  <c r="Q22" i="20"/>
  <c r="O22" i="20"/>
  <c r="R21" i="20"/>
  <c r="Q21" i="20"/>
  <c r="O21" i="20"/>
  <c r="R20" i="20"/>
  <c r="Q20" i="20"/>
  <c r="O20" i="20"/>
  <c r="R19" i="20"/>
  <c r="Q19" i="20"/>
  <c r="O19" i="20"/>
  <c r="R18" i="20"/>
  <c r="Q18" i="20"/>
  <c r="O18" i="20"/>
  <c r="R17" i="20"/>
  <c r="Q17" i="20"/>
  <c r="O17" i="20"/>
  <c r="R16" i="20"/>
  <c r="Q16" i="20"/>
  <c r="O16" i="20"/>
  <c r="R15" i="20"/>
  <c r="Q15" i="20"/>
  <c r="O15" i="20"/>
  <c r="R14" i="20"/>
  <c r="Q14" i="20"/>
  <c r="O14" i="20"/>
  <c r="R13" i="20"/>
  <c r="Q13" i="20"/>
  <c r="O13" i="20"/>
  <c r="R12" i="20"/>
  <c r="Q12" i="20"/>
  <c r="O12" i="20"/>
  <c r="R11" i="20"/>
  <c r="Q11" i="20"/>
  <c r="P11" i="20"/>
  <c r="O11" i="20"/>
  <c r="R10" i="20"/>
  <c r="Q10" i="20"/>
  <c r="P10" i="20"/>
  <c r="O10" i="20"/>
  <c r="R9" i="20"/>
  <c r="Q9" i="20"/>
  <c r="P9" i="20"/>
  <c r="O9" i="20"/>
  <c r="R8" i="20"/>
  <c r="Q8" i="20"/>
  <c r="P8" i="20"/>
  <c r="O8" i="20"/>
  <c r="J59" i="16"/>
  <c r="J58" i="16"/>
  <c r="J57" i="16"/>
  <c r="J56" i="16"/>
  <c r="J55" i="16"/>
  <c r="J54" i="16"/>
  <c r="J53" i="16"/>
  <c r="J52" i="16"/>
  <c r="J51" i="16"/>
  <c r="J50" i="16"/>
  <c r="J49" i="16"/>
  <c r="J48" i="16"/>
  <c r="J47" i="16"/>
  <c r="J46" i="16"/>
  <c r="J45" i="16"/>
  <c r="J44" i="16"/>
  <c r="I44" i="16"/>
  <c r="I45" i="16" s="1"/>
  <c r="I46" i="16" s="1"/>
  <c r="I47" i="16" s="1"/>
  <c r="I48" i="16" s="1"/>
  <c r="I49" i="16" s="1"/>
  <c r="I50" i="16" s="1"/>
  <c r="I51" i="16" s="1"/>
  <c r="I52" i="16" s="1"/>
  <c r="I53" i="16"/>
  <c r="I54" i="16" s="1"/>
  <c r="I55" i="16" s="1"/>
  <c r="I56" i="16" s="1"/>
  <c r="I57" i="16" s="1"/>
  <c r="I58" i="16" s="1"/>
  <c r="I59" i="16" s="1"/>
  <c r="I70" i="16"/>
  <c r="I71" i="16"/>
  <c r="I72" i="16"/>
  <c r="I73" i="16" s="1"/>
  <c r="I74" i="16" s="1"/>
  <c r="I75" i="16" s="1"/>
  <c r="I76" i="16" s="1"/>
  <c r="I77" i="16" s="1"/>
  <c r="I78" i="16" s="1"/>
  <c r="I79" i="16" s="1"/>
  <c r="I80" i="16" s="1"/>
  <c r="I81" i="16" s="1"/>
  <c r="I82" i="16" s="1"/>
  <c r="I83" i="16" s="1"/>
  <c r="I84" i="16" s="1"/>
  <c r="I85" i="16" s="1"/>
  <c r="I86" i="16" s="1"/>
  <c r="I87" i="16" s="1"/>
  <c r="I88" i="16" s="1"/>
  <c r="I89" i="16" s="1"/>
  <c r="I90" i="16" s="1"/>
  <c r="I91" i="16" s="1"/>
  <c r="H44" i="16"/>
  <c r="H45" i="16" s="1"/>
  <c r="H46" i="16"/>
  <c r="H47" i="16" s="1"/>
  <c r="J43" i="16"/>
  <c r="I43" i="16"/>
  <c r="H43" i="16"/>
  <c r="J42" i="16"/>
  <c r="I42" i="16"/>
  <c r="H42" i="16"/>
  <c r="J41" i="16"/>
  <c r="I41" i="16"/>
  <c r="H41" i="16"/>
  <c r="J40" i="16"/>
  <c r="I40" i="16"/>
  <c r="H40" i="16"/>
  <c r="J39" i="16"/>
  <c r="I39" i="16"/>
  <c r="H39" i="16"/>
  <c r="J38" i="16"/>
  <c r="I38" i="16"/>
  <c r="H38" i="16"/>
  <c r="J37" i="16"/>
  <c r="I37" i="16"/>
  <c r="H37" i="16"/>
  <c r="J36" i="16"/>
  <c r="I36" i="16"/>
  <c r="H36" i="16"/>
  <c r="J35" i="16"/>
  <c r="I35" i="16"/>
  <c r="H35" i="16"/>
  <c r="J34" i="16"/>
  <c r="I34" i="16"/>
  <c r="H34" i="16"/>
  <c r="J33" i="16"/>
  <c r="I33" i="16"/>
  <c r="H33" i="16"/>
  <c r="J32" i="16"/>
  <c r="I32" i="16"/>
  <c r="H32" i="16"/>
  <c r="J31" i="16"/>
  <c r="I31" i="16"/>
  <c r="H31" i="16"/>
  <c r="J30" i="16"/>
  <c r="I30" i="16"/>
  <c r="H30" i="16"/>
  <c r="J29" i="16"/>
  <c r="I29" i="16"/>
  <c r="H29" i="16"/>
  <c r="J28" i="16"/>
  <c r="I28" i="16"/>
  <c r="H28" i="16"/>
  <c r="J27" i="16"/>
  <c r="I27" i="16"/>
  <c r="H27" i="16"/>
  <c r="J26" i="16"/>
  <c r="I26" i="16"/>
  <c r="H26" i="16"/>
  <c r="J25" i="16"/>
  <c r="I25" i="16"/>
  <c r="H25" i="16"/>
  <c r="J24" i="16"/>
  <c r="I24" i="16"/>
  <c r="H24" i="16"/>
  <c r="J23" i="16"/>
  <c r="I23" i="16"/>
  <c r="H23" i="16"/>
  <c r="J22" i="16"/>
  <c r="I22" i="16"/>
  <c r="H22" i="16"/>
  <c r="J21" i="16"/>
  <c r="I21" i="16"/>
  <c r="H21" i="16"/>
  <c r="J20" i="16"/>
  <c r="I20" i="16"/>
  <c r="H20" i="16"/>
  <c r="J19" i="16"/>
  <c r="I19" i="16"/>
  <c r="H19" i="16"/>
  <c r="J18" i="16"/>
  <c r="I18" i="16"/>
  <c r="H18" i="16"/>
  <c r="J17" i="16"/>
  <c r="I17" i="16"/>
  <c r="H17" i="16"/>
  <c r="J16" i="16"/>
  <c r="I16" i="16"/>
  <c r="H16" i="16"/>
  <c r="J15" i="16"/>
  <c r="I15" i="16"/>
  <c r="H15" i="16"/>
  <c r="J14" i="16"/>
  <c r="I14" i="16"/>
  <c r="H14" i="16"/>
  <c r="J13" i="16"/>
  <c r="I13" i="16"/>
  <c r="H13" i="16"/>
  <c r="J12" i="16"/>
  <c r="I12" i="16"/>
  <c r="H12" i="16"/>
  <c r="K11" i="16"/>
  <c r="J11" i="16"/>
  <c r="I11" i="16"/>
  <c r="H11" i="16"/>
  <c r="K10" i="16"/>
  <c r="J10" i="16"/>
  <c r="I10" i="16"/>
  <c r="H10" i="16"/>
  <c r="K9" i="16"/>
  <c r="J9" i="16"/>
  <c r="I9" i="16"/>
  <c r="H9" i="16"/>
  <c r="K8" i="16"/>
  <c r="J8" i="16"/>
  <c r="I8" i="16"/>
  <c r="H8" i="16"/>
  <c r="D59" i="16"/>
  <c r="F59" i="16" s="1"/>
  <c r="D58" i="16"/>
  <c r="F58" i="16" s="1"/>
  <c r="D57" i="16"/>
  <c r="F57" i="16" s="1"/>
  <c r="D56" i="16"/>
  <c r="F56" i="16" s="1"/>
  <c r="D55" i="16"/>
  <c r="F55" i="16" s="1"/>
  <c r="D54" i="16"/>
  <c r="F54" i="16" s="1"/>
  <c r="D53" i="16"/>
  <c r="F53" i="16" s="1"/>
  <c r="D52" i="16"/>
  <c r="F52" i="16" s="1"/>
  <c r="D51" i="16"/>
  <c r="F51" i="16" s="1"/>
  <c r="D50" i="16"/>
  <c r="F50" i="16" s="1"/>
  <c r="D49" i="16"/>
  <c r="F49" i="16" s="1"/>
  <c r="D48" i="16"/>
  <c r="F48" i="16" s="1"/>
  <c r="D47" i="16"/>
  <c r="F47" i="16" s="1"/>
  <c r="D46" i="16"/>
  <c r="F46" i="16" s="1"/>
  <c r="D45" i="16"/>
  <c r="F45" i="16" s="1"/>
  <c r="D44" i="16"/>
  <c r="F44" i="16" s="1"/>
  <c r="D43" i="16"/>
  <c r="F43" i="16" s="1"/>
  <c r="D42" i="16"/>
  <c r="F42" i="16" s="1"/>
  <c r="D41" i="16"/>
  <c r="F41" i="16" s="1"/>
  <c r="D40" i="16"/>
  <c r="F40" i="16" s="1"/>
  <c r="D39" i="16"/>
  <c r="F39" i="16" s="1"/>
  <c r="D38" i="16"/>
  <c r="F38" i="16"/>
  <c r="D37" i="16"/>
  <c r="F37" i="16" s="1"/>
  <c r="D36" i="16"/>
  <c r="F36" i="16" s="1"/>
  <c r="D35" i="16"/>
  <c r="F35" i="16" s="1"/>
  <c r="D34" i="16"/>
  <c r="F34" i="16" s="1"/>
  <c r="D33" i="16"/>
  <c r="F33" i="16" s="1"/>
  <c r="D32" i="16"/>
  <c r="F32" i="16" s="1"/>
  <c r="D31" i="16"/>
  <c r="F31" i="16" s="1"/>
  <c r="D30" i="16"/>
  <c r="F30" i="16" s="1"/>
  <c r="D29" i="16"/>
  <c r="F29" i="16" s="1"/>
  <c r="D28" i="16"/>
  <c r="F28" i="16" s="1"/>
  <c r="D27" i="16"/>
  <c r="F27" i="16" s="1"/>
  <c r="D26" i="16"/>
  <c r="F26" i="16" s="1"/>
  <c r="D25" i="16"/>
  <c r="F25" i="16" s="1"/>
  <c r="D24" i="16"/>
  <c r="F24" i="16" s="1"/>
  <c r="D23" i="16"/>
  <c r="F23" i="16" s="1"/>
  <c r="D22" i="16"/>
  <c r="F22" i="16" s="1"/>
  <c r="D21" i="16"/>
  <c r="F21" i="16" s="1"/>
  <c r="D20" i="16"/>
  <c r="F20" i="16" s="1"/>
  <c r="D19" i="16"/>
  <c r="F19" i="16" s="1"/>
  <c r="D18" i="16"/>
  <c r="F18" i="16" s="1"/>
  <c r="D17" i="16"/>
  <c r="F17" i="16" s="1"/>
  <c r="D16" i="16"/>
  <c r="F16" i="16" s="1"/>
  <c r="D15" i="16"/>
  <c r="F15" i="16" s="1"/>
  <c r="D14" i="16"/>
  <c r="F14" i="16"/>
  <c r="D13" i="16"/>
  <c r="F13" i="16" s="1"/>
  <c r="D12" i="16"/>
  <c r="F12" i="16" s="1"/>
  <c r="D11" i="16"/>
  <c r="F11" i="16" s="1"/>
  <c r="D10" i="16"/>
  <c r="F10" i="16" s="1"/>
  <c r="D9" i="16"/>
  <c r="F9" i="16" s="1"/>
  <c r="D8" i="16"/>
  <c r="F8" i="16" s="1"/>
  <c r="G57" i="38"/>
  <c r="G58" i="38" s="1"/>
  <c r="G59" i="38" s="1"/>
  <c r="G60" i="38" s="1"/>
  <c r="G61" i="38" s="1"/>
  <c r="G62" i="38" s="1"/>
  <c r="G63" i="38" s="1"/>
  <c r="G64" i="38" s="1"/>
  <c r="G65" i="38" s="1"/>
  <c r="G66" i="38" s="1"/>
  <c r="G67" i="38" s="1"/>
  <c r="G68" i="38" s="1"/>
  <c r="G69" i="38" s="1"/>
  <c r="G70" i="38" s="1"/>
  <c r="G71" i="38" s="1"/>
  <c r="G72" i="38" s="1"/>
  <c r="G73" i="38" s="1"/>
  <c r="G74" i="38" s="1"/>
  <c r="G75" i="38" s="1"/>
  <c r="F57" i="38"/>
  <c r="F58" i="38" s="1"/>
  <c r="F59" i="38" s="1"/>
  <c r="F60" i="38" s="1"/>
  <c r="F61" i="38" s="1"/>
  <c r="F62" i="38" s="1"/>
  <c r="F63" i="38" s="1"/>
  <c r="F64" i="38" s="1"/>
  <c r="F65" i="38" s="1"/>
  <c r="F66" i="38" s="1"/>
  <c r="F67" i="38" s="1"/>
  <c r="F68" i="38" s="1"/>
  <c r="F69" i="38" s="1"/>
  <c r="F70" i="38" s="1"/>
  <c r="F71" i="38" s="1"/>
  <c r="F72" i="38" s="1"/>
  <c r="F73" i="38" s="1"/>
  <c r="F74" i="38" s="1"/>
  <c r="F75" i="38" s="1"/>
  <c r="E57" i="38"/>
  <c r="E58" i="38"/>
  <c r="E59" i="38" s="1"/>
  <c r="E60" i="38" s="1"/>
  <c r="E61" i="38" s="1"/>
  <c r="E62" i="38" s="1"/>
  <c r="E63" i="38" s="1"/>
  <c r="E64" i="38" s="1"/>
  <c r="E65" i="38" s="1"/>
  <c r="E66" i="38" s="1"/>
  <c r="E67" i="38" s="1"/>
  <c r="E68" i="38" s="1"/>
  <c r="E69" i="38" s="1"/>
  <c r="E70" i="38" s="1"/>
  <c r="E71" i="38" s="1"/>
  <c r="E72" i="38" s="1"/>
  <c r="E73" i="38" s="1"/>
  <c r="E74" i="38" s="1"/>
  <c r="E75" i="38" s="1"/>
  <c r="D57" i="38"/>
  <c r="D58" i="38"/>
  <c r="D59" i="38" s="1"/>
  <c r="D60" i="38" s="1"/>
  <c r="D61" i="38" s="1"/>
  <c r="D62" i="38" s="1"/>
  <c r="D63" i="38" s="1"/>
  <c r="D64" i="38" s="1"/>
  <c r="D65" i="38" s="1"/>
  <c r="D66" i="38" s="1"/>
  <c r="D67" i="38" s="1"/>
  <c r="D68" i="38" s="1"/>
  <c r="D69" i="38" s="1"/>
  <c r="D70" i="38" s="1"/>
  <c r="D71" i="38" s="1"/>
  <c r="D72" i="38" s="1"/>
  <c r="D73" i="38" s="1"/>
  <c r="D74" i="38" s="1"/>
  <c r="D75" i="38" s="1"/>
  <c r="C57" i="38"/>
  <c r="C58" i="38"/>
  <c r="C59" i="38" s="1"/>
  <c r="C60" i="38" s="1"/>
  <c r="C61" i="38" s="1"/>
  <c r="C62" i="38" s="1"/>
  <c r="C63" i="38" s="1"/>
  <c r="C64" i="38" s="1"/>
  <c r="C65" i="38" s="1"/>
  <c r="C66" i="38" s="1"/>
  <c r="C67" i="38" s="1"/>
  <c r="C68" i="38" s="1"/>
  <c r="C69" i="38" s="1"/>
  <c r="C70" i="38" s="1"/>
  <c r="C71" i="38" s="1"/>
  <c r="C72" i="38" s="1"/>
  <c r="C73" i="38" s="1"/>
  <c r="C74" i="38" s="1"/>
  <c r="C75" i="38" s="1"/>
  <c r="C77" i="38"/>
  <c r="C78" i="38" s="1"/>
  <c r="C79" i="38" s="1"/>
  <c r="C80" i="38" s="1"/>
  <c r="C81" i="38" s="1"/>
  <c r="C82" i="38" s="1"/>
  <c r="C83" i="38" s="1"/>
  <c r="C84" i="38" s="1"/>
  <c r="C85" i="38" s="1"/>
  <c r="C86" i="38" s="1"/>
  <c r="C87" i="38" s="1"/>
  <c r="C88" i="38" s="1"/>
  <c r="C89" i="38" s="1"/>
  <c r="C90" i="38" s="1"/>
  <c r="C91" i="38" s="1"/>
  <c r="M62" i="36"/>
  <c r="N62" i="36" s="1"/>
  <c r="L62" i="36"/>
  <c r="J62" i="36"/>
  <c r="K62" i="36" s="1"/>
  <c r="I62" i="36"/>
  <c r="F62" i="36"/>
  <c r="E62" i="36"/>
  <c r="H62" i="36" s="1"/>
  <c r="D62" i="36"/>
  <c r="G62" i="36" s="1"/>
  <c r="C62" i="36"/>
  <c r="N61" i="36"/>
  <c r="K61" i="36"/>
  <c r="M56" i="36"/>
  <c r="N56" i="36" s="1"/>
  <c r="L56" i="36"/>
  <c r="J56" i="36"/>
  <c r="K56" i="36" s="1"/>
  <c r="I56" i="36"/>
  <c r="F56" i="36"/>
  <c r="E56" i="36"/>
  <c r="H56" i="36" s="1"/>
  <c r="D56" i="36"/>
  <c r="G56" i="36" s="1"/>
  <c r="C56" i="36"/>
  <c r="N55" i="36"/>
  <c r="K55" i="36"/>
  <c r="H55" i="36"/>
  <c r="G55" i="36"/>
  <c r="N54" i="36"/>
  <c r="K54" i="36"/>
  <c r="H54" i="36"/>
  <c r="G54" i="36"/>
  <c r="N53" i="36"/>
  <c r="K53" i="36"/>
  <c r="H53" i="36"/>
  <c r="G53" i="36"/>
  <c r="N52" i="36"/>
  <c r="K52" i="36"/>
  <c r="H52" i="36"/>
  <c r="G52" i="36"/>
  <c r="N51" i="36"/>
  <c r="K51" i="36"/>
  <c r="H51" i="36"/>
  <c r="G51" i="36"/>
  <c r="N50" i="36"/>
  <c r="K50" i="36"/>
  <c r="H50" i="36"/>
  <c r="G50" i="36"/>
  <c r="N49" i="36"/>
  <c r="K49" i="36"/>
  <c r="H49" i="36"/>
  <c r="G49" i="36"/>
  <c r="N48" i="36"/>
  <c r="K48" i="36"/>
  <c r="H48" i="36"/>
  <c r="G48" i="36"/>
  <c r="N47" i="36"/>
  <c r="K47" i="36"/>
  <c r="H47" i="36"/>
  <c r="G47" i="36"/>
  <c r="N46" i="36"/>
  <c r="K46" i="36"/>
  <c r="H46" i="36"/>
  <c r="G46" i="36"/>
  <c r="N45" i="36"/>
  <c r="K45" i="36"/>
  <c r="H45" i="36"/>
  <c r="G45" i="36"/>
  <c r="N44" i="36"/>
  <c r="K44" i="36"/>
  <c r="H44" i="36"/>
  <c r="G44" i="36"/>
  <c r="N43" i="36"/>
  <c r="K43" i="36"/>
  <c r="H43" i="36"/>
  <c r="G43" i="36"/>
  <c r="N42" i="36"/>
  <c r="K42" i="36"/>
  <c r="H42" i="36"/>
  <c r="G42" i="36"/>
  <c r="N41" i="36"/>
  <c r="K41" i="36"/>
  <c r="H41" i="36"/>
  <c r="G41" i="36"/>
  <c r="N40" i="36"/>
  <c r="K40" i="36"/>
  <c r="H40" i="36"/>
  <c r="G40" i="36"/>
  <c r="N39" i="36"/>
  <c r="K39" i="36"/>
  <c r="H39" i="36"/>
  <c r="G39" i="36"/>
  <c r="N38" i="36"/>
  <c r="K38" i="36"/>
  <c r="H38" i="36"/>
  <c r="G38" i="36"/>
  <c r="N37" i="36"/>
  <c r="K37" i="36"/>
  <c r="H37" i="36"/>
  <c r="G37" i="36"/>
  <c r="N36" i="36"/>
  <c r="K36" i="36"/>
  <c r="H36" i="36"/>
  <c r="G36" i="36"/>
  <c r="N35" i="36"/>
  <c r="K35" i="36"/>
  <c r="H35" i="36"/>
  <c r="G35" i="36"/>
  <c r="N34" i="36"/>
  <c r="K34" i="36"/>
  <c r="H34" i="36"/>
  <c r="G34" i="36"/>
  <c r="N33" i="36"/>
  <c r="K33" i="36"/>
  <c r="H33" i="36"/>
  <c r="G33" i="36"/>
  <c r="N32" i="36"/>
  <c r="K32" i="36"/>
  <c r="H32" i="36"/>
  <c r="G32" i="36"/>
  <c r="N31" i="36"/>
  <c r="K31" i="36"/>
  <c r="H31" i="36"/>
  <c r="G31" i="36"/>
  <c r="N30" i="36"/>
  <c r="K30" i="36"/>
  <c r="H30" i="36"/>
  <c r="G30" i="36"/>
  <c r="N29" i="36"/>
  <c r="K29" i="36"/>
  <c r="H29" i="36"/>
  <c r="G29" i="36"/>
  <c r="N28" i="36"/>
  <c r="K28" i="36"/>
  <c r="H28" i="36"/>
  <c r="G28" i="36"/>
  <c r="N27" i="36"/>
  <c r="K27" i="36"/>
  <c r="H27" i="36"/>
  <c r="G27" i="36"/>
  <c r="N26" i="36"/>
  <c r="K26" i="36"/>
  <c r="H26" i="36"/>
  <c r="G26" i="36"/>
  <c r="N25" i="36"/>
  <c r="K25" i="36"/>
  <c r="H25" i="36"/>
  <c r="G25" i="36"/>
  <c r="N24" i="36"/>
  <c r="K24" i="36"/>
  <c r="H24" i="36"/>
  <c r="G24" i="36"/>
  <c r="N23" i="36"/>
  <c r="K23" i="36"/>
  <c r="H23" i="36"/>
  <c r="G23" i="36"/>
  <c r="N22" i="36"/>
  <c r="K22" i="36"/>
  <c r="H22" i="36"/>
  <c r="G22" i="36"/>
  <c r="N21" i="36"/>
  <c r="K21" i="36"/>
  <c r="H21" i="36"/>
  <c r="G21" i="36"/>
  <c r="N20" i="36"/>
  <c r="K20" i="36"/>
  <c r="H20" i="36"/>
  <c r="G20" i="36"/>
  <c r="N19" i="36"/>
  <c r="K19" i="36"/>
  <c r="H19" i="36"/>
  <c r="G19" i="36"/>
  <c r="N18" i="36"/>
  <c r="K18" i="36"/>
  <c r="H18" i="36"/>
  <c r="G18" i="36"/>
  <c r="N17" i="36"/>
  <c r="K17" i="36"/>
  <c r="H17" i="36"/>
  <c r="G17" i="36"/>
  <c r="N16" i="36"/>
  <c r="K16" i="36"/>
  <c r="H16" i="36"/>
  <c r="G16" i="36"/>
  <c r="N15" i="36"/>
  <c r="K15" i="36"/>
  <c r="H15" i="36"/>
  <c r="G15" i="36"/>
  <c r="N14" i="36"/>
  <c r="K14" i="36"/>
  <c r="H14" i="36"/>
  <c r="G14" i="36"/>
  <c r="N13" i="36"/>
  <c r="K13" i="36"/>
  <c r="H13" i="36"/>
  <c r="G13" i="36"/>
  <c r="N12" i="36"/>
  <c r="K12" i="36"/>
  <c r="H12" i="36"/>
  <c r="G12" i="36"/>
  <c r="N11" i="36"/>
  <c r="K11" i="36"/>
  <c r="H11" i="36"/>
  <c r="G11" i="36"/>
  <c r="N10" i="36"/>
  <c r="K10" i="36"/>
  <c r="H10" i="36"/>
  <c r="G10" i="36"/>
  <c r="N9" i="36"/>
  <c r="K9" i="36"/>
  <c r="H9" i="36"/>
  <c r="G9" i="36"/>
  <c r="N8" i="36"/>
  <c r="K8" i="36"/>
  <c r="H8" i="36"/>
  <c r="G8" i="36"/>
  <c r="C47" i="30"/>
  <c r="C46" i="30"/>
  <c r="C45" i="30"/>
  <c r="C44" i="30"/>
  <c r="C62" i="26"/>
  <c r="Y64" i="22"/>
  <c r="Y65" i="22" s="1"/>
  <c r="Y66" i="22" s="1"/>
  <c r="Y67" i="22" s="1"/>
  <c r="Y68" i="22" s="1"/>
  <c r="Y69" i="22" s="1"/>
  <c r="Y73" i="22"/>
  <c r="Y74" i="22" s="1"/>
  <c r="Y75" i="22" s="1"/>
  <c r="Y76" i="22" s="1"/>
  <c r="Y77" i="22" s="1"/>
  <c r="Y78" i="22" s="1"/>
  <c r="Y79" i="22" s="1"/>
  <c r="Y80" i="22" s="1"/>
  <c r="Y81" i="22" s="1"/>
  <c r="Y82" i="22" s="1"/>
  <c r="Y83" i="22" s="1"/>
  <c r="Y84" i="22" s="1"/>
  <c r="Y85" i="22" s="1"/>
  <c r="Y86" i="22" s="1"/>
  <c r="Y87" i="22" s="1"/>
  <c r="Y88" i="22" s="1"/>
  <c r="Y89" i="22" s="1"/>
  <c r="Y90" i="22" s="1"/>
  <c r="Y91" i="22" s="1"/>
  <c r="X64" i="22"/>
  <c r="X65" i="22" s="1"/>
  <c r="X66" i="22" s="1"/>
  <c r="X67" i="22" s="1"/>
  <c r="X68" i="22" s="1"/>
  <c r="X69" i="22" s="1"/>
  <c r="X73" i="22"/>
  <c r="X74" i="22"/>
  <c r="X75" i="22" s="1"/>
  <c r="X76" i="22" s="1"/>
  <c r="X77" i="22" s="1"/>
  <c r="X78" i="22" s="1"/>
  <c r="X79" i="22" s="1"/>
  <c r="X80" i="22" s="1"/>
  <c r="X81" i="22" s="1"/>
  <c r="X82" i="22" s="1"/>
  <c r="X83" i="22" s="1"/>
  <c r="X84" i="22" s="1"/>
  <c r="X85" i="22" s="1"/>
  <c r="X86" i="22" s="1"/>
  <c r="X87" i="22" s="1"/>
  <c r="X88" i="22" s="1"/>
  <c r="X89" i="22" s="1"/>
  <c r="X90" i="22" s="1"/>
  <c r="X91" i="22" s="1"/>
  <c r="W64" i="22"/>
  <c r="W65" i="22" s="1"/>
  <c r="W66" i="22" s="1"/>
  <c r="W67" i="22" s="1"/>
  <c r="W68" i="22" s="1"/>
  <c r="W69" i="22" s="1"/>
  <c r="W73" i="22"/>
  <c r="W74" i="22" s="1"/>
  <c r="W75" i="22" s="1"/>
  <c r="W76" i="22" s="1"/>
  <c r="W77" i="22" s="1"/>
  <c r="W78" i="22" s="1"/>
  <c r="W79" i="22" s="1"/>
  <c r="W80" i="22" s="1"/>
  <c r="W81" i="22" s="1"/>
  <c r="W82" i="22" s="1"/>
  <c r="W83" i="22" s="1"/>
  <c r="W84" i="22" s="1"/>
  <c r="W85" i="22" s="1"/>
  <c r="W86" i="22" s="1"/>
  <c r="W87" i="22" s="1"/>
  <c r="W88" i="22" s="1"/>
  <c r="W89" i="22" s="1"/>
  <c r="W90" i="22" s="1"/>
  <c r="W91" i="22" s="1"/>
  <c r="AB60" i="22"/>
  <c r="AB61" i="22"/>
  <c r="AA60" i="22"/>
  <c r="AA61" i="22" s="1"/>
  <c r="Z60" i="22"/>
  <c r="Z61" i="22" s="1"/>
  <c r="R60" i="22"/>
  <c r="R61" i="22" s="1"/>
  <c r="T61" i="22" s="1"/>
  <c r="O60" i="22"/>
  <c r="O61" i="22" s="1"/>
  <c r="L60" i="22"/>
  <c r="I60" i="22"/>
  <c r="K60" i="22" s="1"/>
  <c r="T59" i="22"/>
  <c r="Q59" i="22"/>
  <c r="N59" i="22"/>
  <c r="K59" i="22"/>
  <c r="H59" i="22"/>
  <c r="E59" i="22"/>
  <c r="T58" i="22"/>
  <c r="Q58" i="22"/>
  <c r="N58" i="22"/>
  <c r="K58" i="22"/>
  <c r="H58" i="22"/>
  <c r="E58" i="22"/>
  <c r="T57" i="22"/>
  <c r="Q57" i="22"/>
  <c r="N57" i="22"/>
  <c r="K57" i="22"/>
  <c r="H57" i="22"/>
  <c r="E57" i="22"/>
  <c r="T56" i="22"/>
  <c r="Q56" i="22"/>
  <c r="N56" i="22"/>
  <c r="K56" i="22"/>
  <c r="H56" i="22"/>
  <c r="E56" i="22"/>
  <c r="T55" i="22"/>
  <c r="Q55" i="22"/>
  <c r="N55" i="22"/>
  <c r="K55" i="22"/>
  <c r="H55" i="22"/>
  <c r="E55" i="22"/>
  <c r="T54" i="22"/>
  <c r="Q54" i="22"/>
  <c r="N54" i="22"/>
  <c r="K54" i="22"/>
  <c r="H54" i="22"/>
  <c r="E54" i="22"/>
  <c r="T53" i="22"/>
  <c r="Q53" i="22"/>
  <c r="N53" i="22"/>
  <c r="K53" i="22"/>
  <c r="H53" i="22"/>
  <c r="E53" i="22"/>
  <c r="T52" i="22"/>
  <c r="Q52" i="22"/>
  <c r="N52" i="22"/>
  <c r="K52" i="22"/>
  <c r="H52" i="22"/>
  <c r="E52" i="22"/>
  <c r="T51" i="22"/>
  <c r="Q51" i="22"/>
  <c r="N51" i="22"/>
  <c r="K51" i="22"/>
  <c r="H51" i="22"/>
  <c r="E51" i="22"/>
  <c r="T50" i="22"/>
  <c r="Q50" i="22"/>
  <c r="N50" i="22"/>
  <c r="K50" i="22"/>
  <c r="H50" i="22"/>
  <c r="E50" i="22"/>
  <c r="T49" i="22"/>
  <c r="Q49" i="22"/>
  <c r="N49" i="22"/>
  <c r="K49" i="22"/>
  <c r="H49" i="22"/>
  <c r="E49" i="22"/>
  <c r="T48" i="22"/>
  <c r="Q48" i="22"/>
  <c r="N48" i="22"/>
  <c r="K48" i="22"/>
  <c r="H48" i="22"/>
  <c r="E48" i="22"/>
  <c r="T47" i="22"/>
  <c r="Q47" i="22"/>
  <c r="N47" i="22"/>
  <c r="K47" i="22"/>
  <c r="H47" i="22"/>
  <c r="E47" i="22"/>
  <c r="T46" i="22"/>
  <c r="Q46" i="22"/>
  <c r="N46" i="22"/>
  <c r="K46" i="22"/>
  <c r="H46" i="22"/>
  <c r="E46" i="22"/>
  <c r="T45" i="22"/>
  <c r="Q45" i="22"/>
  <c r="N45" i="22"/>
  <c r="K45" i="22"/>
  <c r="H45" i="22"/>
  <c r="E45" i="22"/>
  <c r="T44" i="22"/>
  <c r="Q44" i="22"/>
  <c r="N44" i="22"/>
  <c r="K44" i="22"/>
  <c r="H44" i="22"/>
  <c r="E44" i="22"/>
  <c r="T43" i="22"/>
  <c r="Q43" i="22"/>
  <c r="N43" i="22"/>
  <c r="K43" i="22"/>
  <c r="H43" i="22"/>
  <c r="E43" i="22"/>
  <c r="T42" i="22"/>
  <c r="Q42" i="22"/>
  <c r="N42" i="22"/>
  <c r="K42" i="22"/>
  <c r="H42" i="22"/>
  <c r="E42" i="22"/>
  <c r="T41" i="22"/>
  <c r="Q41" i="22"/>
  <c r="N41" i="22"/>
  <c r="K41" i="22"/>
  <c r="H41" i="22"/>
  <c r="E41" i="22"/>
  <c r="T40" i="22"/>
  <c r="Q40" i="22"/>
  <c r="N40" i="22"/>
  <c r="K40" i="22"/>
  <c r="H40" i="22"/>
  <c r="E40" i="22"/>
  <c r="T39" i="22"/>
  <c r="Q39" i="22"/>
  <c r="N39" i="22"/>
  <c r="K39" i="22"/>
  <c r="H39" i="22"/>
  <c r="E39" i="22"/>
  <c r="T38" i="22"/>
  <c r="Q38" i="22"/>
  <c r="N38" i="22"/>
  <c r="K38" i="22"/>
  <c r="H38" i="22"/>
  <c r="E38" i="22"/>
  <c r="T37" i="22"/>
  <c r="Q37" i="22"/>
  <c r="N37" i="22"/>
  <c r="K37" i="22"/>
  <c r="H37" i="22"/>
  <c r="E37" i="22"/>
  <c r="T36" i="22"/>
  <c r="Q36" i="22"/>
  <c r="N36" i="22"/>
  <c r="K36" i="22"/>
  <c r="H36" i="22"/>
  <c r="E36" i="22"/>
  <c r="T35" i="22"/>
  <c r="Q35" i="22"/>
  <c r="N35" i="22"/>
  <c r="K35" i="22"/>
  <c r="H35" i="22"/>
  <c r="E35" i="22"/>
  <c r="T34" i="22"/>
  <c r="Q34" i="22"/>
  <c r="N34" i="22"/>
  <c r="K34" i="22"/>
  <c r="H34" i="22"/>
  <c r="E34" i="22"/>
  <c r="T33" i="22"/>
  <c r="Q33" i="22"/>
  <c r="N33" i="22"/>
  <c r="K33" i="22"/>
  <c r="H33" i="22"/>
  <c r="E33" i="22"/>
  <c r="T32" i="22"/>
  <c r="Q32" i="22"/>
  <c r="N32" i="22"/>
  <c r="K32" i="22"/>
  <c r="H32" i="22"/>
  <c r="E32" i="22"/>
  <c r="T31" i="22"/>
  <c r="Q31" i="22"/>
  <c r="N31" i="22"/>
  <c r="K31" i="22"/>
  <c r="H31" i="22"/>
  <c r="E31" i="22"/>
  <c r="T30" i="22"/>
  <c r="Q30" i="22"/>
  <c r="N30" i="22"/>
  <c r="K30" i="22"/>
  <c r="H30" i="22"/>
  <c r="E30" i="22"/>
  <c r="T29" i="22"/>
  <c r="Q29" i="22"/>
  <c r="N29" i="22"/>
  <c r="K29" i="22"/>
  <c r="H29" i="22"/>
  <c r="E29" i="22"/>
  <c r="T28" i="22"/>
  <c r="Q28" i="22"/>
  <c r="N28" i="22"/>
  <c r="K28" i="22"/>
  <c r="H28" i="22"/>
  <c r="E28" i="22"/>
  <c r="T27" i="22"/>
  <c r="Q27" i="22"/>
  <c r="N27" i="22"/>
  <c r="K27" i="22"/>
  <c r="H27" i="22"/>
  <c r="E27" i="22"/>
  <c r="T26" i="22"/>
  <c r="Q26" i="22"/>
  <c r="N26" i="22"/>
  <c r="K26" i="22"/>
  <c r="H26" i="22"/>
  <c r="E26" i="22"/>
  <c r="T25" i="22"/>
  <c r="Q25" i="22"/>
  <c r="N25" i="22"/>
  <c r="K25" i="22"/>
  <c r="H25" i="22"/>
  <c r="E25" i="22"/>
  <c r="T24" i="22"/>
  <c r="Q24" i="22"/>
  <c r="N24" i="22"/>
  <c r="K24" i="22"/>
  <c r="H24" i="22"/>
  <c r="E24" i="22"/>
  <c r="T23" i="22"/>
  <c r="Q23" i="22"/>
  <c r="N23" i="22"/>
  <c r="K23" i="22"/>
  <c r="H23" i="22"/>
  <c r="E23" i="22"/>
  <c r="T22" i="22"/>
  <c r="Q22" i="22"/>
  <c r="N22" i="22"/>
  <c r="K22" i="22"/>
  <c r="H22" i="22"/>
  <c r="E22" i="22"/>
  <c r="T21" i="22"/>
  <c r="Q21" i="22"/>
  <c r="N21" i="22"/>
  <c r="K21" i="22"/>
  <c r="H21" i="22"/>
  <c r="E21" i="22"/>
  <c r="T20" i="22"/>
  <c r="Q20" i="22"/>
  <c r="N20" i="22"/>
  <c r="K20" i="22"/>
  <c r="H20" i="22"/>
  <c r="E20" i="22"/>
  <c r="T19" i="22"/>
  <c r="Q19" i="22"/>
  <c r="N19" i="22"/>
  <c r="K19" i="22"/>
  <c r="H19" i="22"/>
  <c r="E19" i="22"/>
  <c r="T18" i="22"/>
  <c r="Q18" i="22"/>
  <c r="N18" i="22"/>
  <c r="K18" i="22"/>
  <c r="H18" i="22"/>
  <c r="E18" i="22"/>
  <c r="T17" i="22"/>
  <c r="Q17" i="22"/>
  <c r="N17" i="22"/>
  <c r="K17" i="22"/>
  <c r="H17" i="22"/>
  <c r="E17" i="22"/>
  <c r="T16" i="22"/>
  <c r="Q16" i="22"/>
  <c r="N16" i="22"/>
  <c r="K16" i="22"/>
  <c r="H16" i="22"/>
  <c r="E16" i="22"/>
  <c r="T15" i="22"/>
  <c r="Q15" i="22"/>
  <c r="N15" i="22"/>
  <c r="K15" i="22"/>
  <c r="H15" i="22"/>
  <c r="E15" i="22"/>
  <c r="T14" i="22"/>
  <c r="Q14" i="22"/>
  <c r="N14" i="22"/>
  <c r="K14" i="22"/>
  <c r="H14" i="22"/>
  <c r="E14" i="22"/>
  <c r="T13" i="22"/>
  <c r="Q13" i="22"/>
  <c r="N13" i="22"/>
  <c r="K13" i="22"/>
  <c r="H13" i="22"/>
  <c r="E13" i="22"/>
  <c r="T12" i="22"/>
  <c r="Q12" i="22"/>
  <c r="N12" i="22"/>
  <c r="K12" i="22"/>
  <c r="H12" i="22"/>
  <c r="E12" i="22"/>
  <c r="T11" i="22"/>
  <c r="Q11" i="22"/>
  <c r="N11" i="22"/>
  <c r="K11" i="22"/>
  <c r="H11" i="22"/>
  <c r="E11" i="22"/>
  <c r="T10" i="22"/>
  <c r="Q10" i="22"/>
  <c r="N10" i="22"/>
  <c r="K10" i="22"/>
  <c r="H10" i="22"/>
  <c r="E10" i="22"/>
  <c r="T9" i="22"/>
  <c r="Q9" i="22"/>
  <c r="N9" i="22"/>
  <c r="K9" i="22"/>
  <c r="H9" i="22"/>
  <c r="E9" i="22"/>
  <c r="T8" i="22"/>
  <c r="Q8" i="22"/>
  <c r="N8" i="22"/>
  <c r="K8" i="22"/>
  <c r="H8" i="22"/>
  <c r="E8" i="22"/>
  <c r="X73" i="20"/>
  <c r="X74" i="20" s="1"/>
  <c r="X75" i="20" s="1"/>
  <c r="X76" i="20" s="1"/>
  <c r="X77" i="20" s="1"/>
  <c r="X78" i="20" s="1"/>
  <c r="X79" i="20" s="1"/>
  <c r="X80" i="20" s="1"/>
  <c r="X81" i="20" s="1"/>
  <c r="X82" i="20" s="1"/>
  <c r="X83" i="20" s="1"/>
  <c r="X84" i="20" s="1"/>
  <c r="X85" i="20" s="1"/>
  <c r="X86" i="20" s="1"/>
  <c r="X87" i="20" s="1"/>
  <c r="X88" i="20" s="1"/>
  <c r="X89" i="20" s="1"/>
  <c r="X90" i="20" s="1"/>
  <c r="X91" i="20" s="1"/>
  <c r="W73" i="20"/>
  <c r="W74" i="20" s="1"/>
  <c r="W75" i="20" s="1"/>
  <c r="W76" i="20" s="1"/>
  <c r="W77" i="20" s="1"/>
  <c r="W78" i="20" s="1"/>
  <c r="W79" i="20" s="1"/>
  <c r="W80" i="20" s="1"/>
  <c r="W81" i="20" s="1"/>
  <c r="W82" i="20" s="1"/>
  <c r="W83" i="20" s="1"/>
  <c r="W84" i="20" s="1"/>
  <c r="W85" i="20" s="1"/>
  <c r="W86" i="20" s="1"/>
  <c r="W87" i="20" s="1"/>
  <c r="W88" i="20" s="1"/>
  <c r="W89" i="20" s="1"/>
  <c r="W90" i="20" s="1"/>
  <c r="W91" i="20" s="1"/>
  <c r="V73" i="20"/>
  <c r="V74" i="20" s="1"/>
  <c r="V75" i="20" s="1"/>
  <c r="V76" i="20" s="1"/>
  <c r="V77" i="20" s="1"/>
  <c r="V78" i="20" s="1"/>
  <c r="V79" i="20" s="1"/>
  <c r="V80" i="20" s="1"/>
  <c r="V81" i="20" s="1"/>
  <c r="V82" i="20" s="1"/>
  <c r="V83" i="20" s="1"/>
  <c r="V84" i="20" s="1"/>
  <c r="V85" i="20" s="1"/>
  <c r="V86" i="20" s="1"/>
  <c r="V87" i="20" s="1"/>
  <c r="V88" i="20" s="1"/>
  <c r="V89" i="20" s="1"/>
  <c r="V90" i="20" s="1"/>
  <c r="V91" i="20" s="1"/>
  <c r="U73" i="20"/>
  <c r="U74" i="20" s="1"/>
  <c r="U75" i="20" s="1"/>
  <c r="U76" i="20" s="1"/>
  <c r="U77" i="20" s="1"/>
  <c r="U78" i="20" s="1"/>
  <c r="U79" i="20" s="1"/>
  <c r="U80" i="20" s="1"/>
  <c r="U81" i="20" s="1"/>
  <c r="U82" i="20" s="1"/>
  <c r="U83" i="20" s="1"/>
  <c r="U84" i="20" s="1"/>
  <c r="U85" i="20" s="1"/>
  <c r="U86" i="20" s="1"/>
  <c r="U87" i="20" s="1"/>
  <c r="U88" i="20" s="1"/>
  <c r="U89" i="20" s="1"/>
  <c r="U90" i="20" s="1"/>
  <c r="U91" i="20" s="1"/>
  <c r="T62" i="20"/>
  <c r="M62" i="20"/>
  <c r="N62" i="20" s="1"/>
  <c r="K62" i="20"/>
  <c r="H62" i="20"/>
  <c r="E62" i="20"/>
  <c r="T61" i="20"/>
  <c r="N61" i="20"/>
  <c r="K61" i="20"/>
  <c r="H61" i="20"/>
  <c r="E61" i="20"/>
  <c r="T60" i="20"/>
  <c r="K60" i="20"/>
  <c r="T59" i="20"/>
  <c r="M59" i="20"/>
  <c r="N59" i="20" s="1"/>
  <c r="K59" i="20"/>
  <c r="H59" i="20"/>
  <c r="T58" i="20"/>
  <c r="N58" i="20"/>
  <c r="K58" i="20"/>
  <c r="H58" i="20"/>
  <c r="E58" i="20"/>
  <c r="T57" i="20"/>
  <c r="N57" i="20"/>
  <c r="K57" i="20"/>
  <c r="H57" i="20"/>
  <c r="E57" i="20"/>
  <c r="T56" i="20"/>
  <c r="N56" i="20"/>
  <c r="K56" i="20"/>
  <c r="H56" i="20"/>
  <c r="E56" i="20"/>
  <c r="T55" i="20"/>
  <c r="N55" i="20"/>
  <c r="K55" i="20"/>
  <c r="H55" i="20"/>
  <c r="E55" i="20"/>
  <c r="T54" i="20"/>
  <c r="N54" i="20"/>
  <c r="K54" i="20"/>
  <c r="H54" i="20"/>
  <c r="E54" i="20"/>
  <c r="T53" i="20"/>
  <c r="N53" i="20"/>
  <c r="K53" i="20"/>
  <c r="H53" i="20"/>
  <c r="E53" i="20"/>
  <c r="T52" i="20"/>
  <c r="N52" i="20"/>
  <c r="K52" i="20"/>
  <c r="H52" i="20"/>
  <c r="E52" i="20"/>
  <c r="T51" i="20"/>
  <c r="N51" i="20"/>
  <c r="K51" i="20"/>
  <c r="H51" i="20"/>
  <c r="E51" i="20"/>
  <c r="T50" i="20"/>
  <c r="N50" i="20"/>
  <c r="K50" i="20"/>
  <c r="H50" i="20"/>
  <c r="E50" i="20"/>
  <c r="T49" i="20"/>
  <c r="N49" i="20"/>
  <c r="K49" i="20"/>
  <c r="H49" i="20"/>
  <c r="E49" i="20"/>
  <c r="T48" i="20"/>
  <c r="N48" i="20"/>
  <c r="K48" i="20"/>
  <c r="H48" i="20"/>
  <c r="E48" i="20"/>
  <c r="T47" i="20"/>
  <c r="N47" i="20"/>
  <c r="K47" i="20"/>
  <c r="H47" i="20"/>
  <c r="E47" i="20"/>
  <c r="T46" i="20"/>
  <c r="N46" i="20"/>
  <c r="K46" i="20"/>
  <c r="H46" i="20"/>
  <c r="E46" i="20"/>
  <c r="T45" i="20"/>
  <c r="N45" i="20"/>
  <c r="K45" i="20"/>
  <c r="H45" i="20"/>
  <c r="E45" i="20"/>
  <c r="T44" i="20"/>
  <c r="N44" i="20"/>
  <c r="K44" i="20"/>
  <c r="H44" i="20"/>
  <c r="E44" i="20"/>
  <c r="T43" i="20"/>
  <c r="N43" i="20"/>
  <c r="K43" i="20"/>
  <c r="H43" i="20"/>
  <c r="E43" i="20"/>
  <c r="T42" i="20"/>
  <c r="N42" i="20"/>
  <c r="K42" i="20"/>
  <c r="H42" i="20"/>
  <c r="E42" i="20"/>
  <c r="T41" i="20"/>
  <c r="N41" i="20"/>
  <c r="K41" i="20"/>
  <c r="H41" i="20"/>
  <c r="E41" i="20"/>
  <c r="T40" i="20"/>
  <c r="N40" i="20"/>
  <c r="K40" i="20"/>
  <c r="H40" i="20"/>
  <c r="E40" i="20"/>
  <c r="T39" i="20"/>
  <c r="N39" i="20"/>
  <c r="K39" i="20"/>
  <c r="H39" i="20"/>
  <c r="E39" i="20"/>
  <c r="T38" i="20"/>
  <c r="N38" i="20"/>
  <c r="K38" i="20"/>
  <c r="H38" i="20"/>
  <c r="E38" i="20"/>
  <c r="T37" i="20"/>
  <c r="N37" i="20"/>
  <c r="K37" i="20"/>
  <c r="H37" i="20"/>
  <c r="E37" i="20"/>
  <c r="T36" i="20"/>
  <c r="N36" i="20"/>
  <c r="K36" i="20"/>
  <c r="H36" i="20"/>
  <c r="E36" i="20"/>
  <c r="T35" i="20"/>
  <c r="N35" i="20"/>
  <c r="K35" i="20"/>
  <c r="H35" i="20"/>
  <c r="E35" i="20"/>
  <c r="T34" i="20"/>
  <c r="N34" i="20"/>
  <c r="K34" i="20"/>
  <c r="H34" i="20"/>
  <c r="E34" i="20"/>
  <c r="T33" i="20"/>
  <c r="N33" i="20"/>
  <c r="K33" i="20"/>
  <c r="H33" i="20"/>
  <c r="E33" i="20"/>
  <c r="T32" i="20"/>
  <c r="N32" i="20"/>
  <c r="K32" i="20"/>
  <c r="H32" i="20"/>
  <c r="E32" i="20"/>
  <c r="T31" i="20"/>
  <c r="N31" i="20"/>
  <c r="K31" i="20"/>
  <c r="H31" i="20"/>
  <c r="E31" i="20"/>
  <c r="T30" i="20"/>
  <c r="N30" i="20"/>
  <c r="K30" i="20"/>
  <c r="H30" i="20"/>
  <c r="E30" i="20"/>
  <c r="T29" i="20"/>
  <c r="N29" i="20"/>
  <c r="K29" i="20"/>
  <c r="H29" i="20"/>
  <c r="E29" i="20"/>
  <c r="T28" i="20"/>
  <c r="N28" i="20"/>
  <c r="K28" i="20"/>
  <c r="H28" i="20"/>
  <c r="E28" i="20"/>
  <c r="T27" i="20"/>
  <c r="N27" i="20"/>
  <c r="K27" i="20"/>
  <c r="H27" i="20"/>
  <c r="E27" i="20"/>
  <c r="T26" i="20"/>
  <c r="N26" i="20"/>
  <c r="K26" i="20"/>
  <c r="H26" i="20"/>
  <c r="E26" i="20"/>
  <c r="T25" i="20"/>
  <c r="N25" i="20"/>
  <c r="K25" i="20"/>
  <c r="H25" i="20"/>
  <c r="E25" i="20"/>
  <c r="T24" i="20"/>
  <c r="N24" i="20"/>
  <c r="K24" i="20"/>
  <c r="H24" i="20"/>
  <c r="E24" i="20"/>
  <c r="T23" i="20"/>
  <c r="N23" i="20"/>
  <c r="K23" i="20"/>
  <c r="H23" i="20"/>
  <c r="E23" i="20"/>
  <c r="T22" i="20"/>
  <c r="N22" i="20"/>
  <c r="K22" i="20"/>
  <c r="H22" i="20"/>
  <c r="E22" i="20"/>
  <c r="T21" i="20"/>
  <c r="N21" i="20"/>
  <c r="K21" i="20"/>
  <c r="H21" i="20"/>
  <c r="E21" i="20"/>
  <c r="T20" i="20"/>
  <c r="N20" i="20"/>
  <c r="K20" i="20"/>
  <c r="H20" i="20"/>
  <c r="E20" i="20"/>
  <c r="T19" i="20"/>
  <c r="N19" i="20"/>
  <c r="K19" i="20"/>
  <c r="H19" i="20"/>
  <c r="E19" i="20"/>
  <c r="T18" i="20"/>
  <c r="N18" i="20"/>
  <c r="K18" i="20"/>
  <c r="H18" i="20"/>
  <c r="E18" i="20"/>
  <c r="T17" i="20"/>
  <c r="N17" i="20"/>
  <c r="K17" i="20"/>
  <c r="H17" i="20"/>
  <c r="E17" i="20"/>
  <c r="T16" i="20"/>
  <c r="N16" i="20"/>
  <c r="K16" i="20"/>
  <c r="H16" i="20"/>
  <c r="E16" i="20"/>
  <c r="T15" i="20"/>
  <c r="N15" i="20"/>
  <c r="K15" i="20"/>
  <c r="E15" i="20"/>
  <c r="T14" i="20"/>
  <c r="N14" i="20"/>
  <c r="K14" i="20"/>
  <c r="E14" i="20"/>
  <c r="T13" i="20"/>
  <c r="N13" i="20"/>
  <c r="K13" i="20"/>
  <c r="E13" i="20"/>
  <c r="T12" i="20"/>
  <c r="N12" i="20"/>
  <c r="K12" i="20"/>
  <c r="E12" i="20"/>
  <c r="T11" i="20"/>
  <c r="N11" i="20"/>
  <c r="K11" i="20"/>
  <c r="E11" i="20"/>
  <c r="T10" i="20"/>
  <c r="N10" i="20"/>
  <c r="K10" i="20"/>
  <c r="E10" i="20"/>
  <c r="T9" i="20"/>
  <c r="N9" i="20"/>
  <c r="K9" i="20"/>
  <c r="E9" i="20"/>
  <c r="T8" i="20"/>
  <c r="N8" i="20"/>
  <c r="K8" i="20"/>
  <c r="E8" i="20"/>
  <c r="P73" i="18"/>
  <c r="P74" i="18"/>
  <c r="P75" i="18" s="1"/>
  <c r="P76" i="18" s="1"/>
  <c r="P77" i="18" s="1"/>
  <c r="P78" i="18" s="1"/>
  <c r="P79" i="18" s="1"/>
  <c r="P80" i="18" s="1"/>
  <c r="P81" i="18" s="1"/>
  <c r="P82" i="18" s="1"/>
  <c r="P83" i="18" s="1"/>
  <c r="P84" i="18" s="1"/>
  <c r="P85" i="18" s="1"/>
  <c r="P86" i="18" s="1"/>
  <c r="P87" i="18" s="1"/>
  <c r="P88" i="18" s="1"/>
  <c r="P89" i="18" s="1"/>
  <c r="P90" i="18" s="1"/>
  <c r="P91" i="18" s="1"/>
  <c r="D45" i="14"/>
  <c r="D46" i="14" s="1"/>
  <c r="D47" i="14" s="1"/>
  <c r="D48" i="14" s="1"/>
  <c r="D49" i="14" s="1"/>
  <c r="D50" i="14" s="1"/>
  <c r="D51" i="14" s="1"/>
  <c r="D52" i="14" s="1"/>
  <c r="D53" i="14" s="1"/>
  <c r="D54" i="14" s="1"/>
  <c r="D55" i="14" s="1"/>
  <c r="D73" i="14"/>
  <c r="D74" i="14" s="1"/>
  <c r="D75" i="14" s="1"/>
  <c r="D76" i="14" s="1"/>
  <c r="D77" i="14" s="1"/>
  <c r="D78" i="14" s="1"/>
  <c r="D79" i="14" s="1"/>
  <c r="D80" i="14" s="1"/>
  <c r="D81" i="14" s="1"/>
  <c r="D82" i="14" s="1"/>
  <c r="D83" i="14" s="1"/>
  <c r="D84" i="14" s="1"/>
  <c r="D85" i="14" s="1"/>
  <c r="D86" i="14" s="1"/>
  <c r="D87" i="14" s="1"/>
  <c r="D88" i="14" s="1"/>
  <c r="D89" i="14" s="1"/>
  <c r="D90" i="14" s="1"/>
  <c r="D91" i="14" s="1"/>
  <c r="AJ85" i="12"/>
  <c r="AJ86" i="12" s="1"/>
  <c r="AJ87" i="12" s="1"/>
  <c r="AJ88" i="12" s="1"/>
  <c r="AJ89" i="12" s="1"/>
  <c r="AJ90" i="12" s="1"/>
  <c r="AJ91" i="12" s="1"/>
  <c r="AJ77" i="12"/>
  <c r="AJ78" i="12" s="1"/>
  <c r="AJ79" i="12" s="1"/>
  <c r="AJ80" i="12" s="1"/>
  <c r="AJ81" i="12" s="1"/>
  <c r="AJ82" i="12" s="1"/>
  <c r="AJ83" i="12" s="1"/>
  <c r="P56" i="20"/>
  <c r="AE75" i="12"/>
  <c r="AE76" i="12" s="1"/>
  <c r="AE77" i="12" s="1"/>
  <c r="AE78" i="12" s="1"/>
  <c r="AE79" i="12" s="1"/>
  <c r="AE80" i="12" s="1"/>
  <c r="AE81" i="12" s="1"/>
  <c r="AE82" i="12" s="1"/>
  <c r="AE83" i="12" s="1"/>
  <c r="AE84" i="12" s="1"/>
  <c r="AE85" i="12" s="1"/>
  <c r="AE86" i="12" s="1"/>
  <c r="AE87" i="12" s="1"/>
  <c r="AE88" i="12" s="1"/>
  <c r="AE89" i="12" s="1"/>
  <c r="AE90" i="12" s="1"/>
  <c r="AE91" i="12" s="1"/>
  <c r="P12" i="20"/>
  <c r="C35" i="7"/>
  <c r="C34" i="7"/>
  <c r="C33" i="7"/>
  <c r="C32" i="7"/>
  <c r="C31" i="7"/>
  <c r="C30" i="7"/>
  <c r="C29" i="7"/>
  <c r="C28" i="7"/>
  <c r="C27" i="7"/>
  <c r="C26" i="7"/>
  <c r="C25" i="7"/>
  <c r="C24" i="7"/>
  <c r="C23" i="7"/>
  <c r="C22" i="7"/>
  <c r="C21" i="7"/>
  <c r="C20" i="7"/>
  <c r="C19" i="7"/>
  <c r="C18" i="7"/>
  <c r="C17" i="7"/>
  <c r="C16" i="7"/>
  <c r="C15" i="7"/>
  <c r="C14" i="7"/>
  <c r="C13" i="7"/>
  <c r="C12" i="7"/>
  <c r="C11" i="7"/>
  <c r="C10" i="7"/>
  <c r="C9" i="7"/>
  <c r="L98" i="5"/>
  <c r="M99" i="5" s="1"/>
  <c r="H98" i="5"/>
  <c r="I99" i="5" s="1"/>
  <c r="F98" i="5"/>
  <c r="G98" i="5" s="1"/>
  <c r="B98" i="5"/>
  <c r="C99" i="5" s="1"/>
  <c r="F96" i="5"/>
  <c r="G96" i="5" s="1"/>
  <c r="B96" i="5"/>
  <c r="C97" i="5" s="1"/>
  <c r="L94" i="5"/>
  <c r="M95" i="5" s="1"/>
  <c r="J94" i="5"/>
  <c r="K95" i="5" s="1"/>
  <c r="H94" i="5"/>
  <c r="I94" i="5"/>
  <c r="B94" i="5"/>
  <c r="C94" i="5" s="1"/>
  <c r="L92" i="5"/>
  <c r="M93" i="5" s="1"/>
  <c r="J92" i="5"/>
  <c r="K92" i="5" s="1"/>
  <c r="H92" i="5"/>
  <c r="I93" i="5" s="1"/>
  <c r="F92" i="5"/>
  <c r="B92" i="5"/>
  <c r="C92" i="5" s="1"/>
  <c r="M91" i="5"/>
  <c r="K91" i="5"/>
  <c r="I91" i="5"/>
  <c r="G91" i="5"/>
  <c r="C91" i="5"/>
  <c r="M90" i="5"/>
  <c r="K90" i="5"/>
  <c r="I90" i="5"/>
  <c r="G90" i="5"/>
  <c r="C90" i="5"/>
  <c r="M89" i="5"/>
  <c r="K89" i="5"/>
  <c r="I89" i="5"/>
  <c r="G89" i="5"/>
  <c r="C89" i="5"/>
  <c r="M88" i="5"/>
  <c r="K88" i="5"/>
  <c r="I88" i="5"/>
  <c r="G88" i="5"/>
  <c r="C88" i="5"/>
  <c r="M87" i="5"/>
  <c r="K87" i="5"/>
  <c r="I87" i="5"/>
  <c r="G87" i="5"/>
  <c r="C87" i="5"/>
  <c r="M86" i="5"/>
  <c r="K86" i="5"/>
  <c r="I86" i="5"/>
  <c r="G86" i="5"/>
  <c r="C86" i="5"/>
  <c r="M85" i="5"/>
  <c r="K85" i="5"/>
  <c r="I85" i="5"/>
  <c r="G85" i="5"/>
  <c r="C85" i="5"/>
  <c r="M84" i="5"/>
  <c r="K84" i="5"/>
  <c r="I84" i="5"/>
  <c r="G84" i="5"/>
  <c r="C84" i="5"/>
  <c r="M83" i="5"/>
  <c r="K83" i="5"/>
  <c r="I83" i="5"/>
  <c r="G83" i="5"/>
  <c r="C83" i="5"/>
  <c r="M82" i="5"/>
  <c r="K82" i="5"/>
  <c r="I82" i="5"/>
  <c r="G82" i="5"/>
  <c r="C82" i="5"/>
  <c r="M81" i="5"/>
  <c r="K81" i="5"/>
  <c r="I81" i="5"/>
  <c r="G81" i="5"/>
  <c r="C81" i="5"/>
  <c r="M80" i="5"/>
  <c r="K80" i="5"/>
  <c r="I80" i="5"/>
  <c r="G80" i="5"/>
  <c r="C80" i="5"/>
  <c r="M79" i="5"/>
  <c r="K79" i="5"/>
  <c r="I79" i="5"/>
  <c r="G79" i="5"/>
  <c r="C79" i="5"/>
  <c r="M78" i="5"/>
  <c r="K78" i="5"/>
  <c r="I78" i="5"/>
  <c r="G78" i="5"/>
  <c r="C78" i="5"/>
  <c r="M77" i="5"/>
  <c r="K77" i="5"/>
  <c r="I77" i="5"/>
  <c r="G77" i="5"/>
  <c r="C77" i="5"/>
  <c r="M76" i="5"/>
  <c r="K76" i="5"/>
  <c r="I76" i="5"/>
  <c r="G76" i="5"/>
  <c r="C76" i="5"/>
  <c r="M75" i="5"/>
  <c r="K75" i="5"/>
  <c r="I75" i="5"/>
  <c r="G75" i="5"/>
  <c r="C75" i="5"/>
  <c r="M74" i="5"/>
  <c r="K74" i="5"/>
  <c r="I74" i="5"/>
  <c r="G74" i="5"/>
  <c r="C74" i="5"/>
  <c r="M73" i="5"/>
  <c r="K73" i="5"/>
  <c r="I73" i="5"/>
  <c r="G73" i="5"/>
  <c r="C73" i="5"/>
  <c r="M72" i="5"/>
  <c r="K72" i="5"/>
  <c r="I72" i="5"/>
  <c r="G72" i="5"/>
  <c r="C72" i="5"/>
  <c r="M71" i="5"/>
  <c r="K71" i="5"/>
  <c r="I71" i="5"/>
  <c r="G71" i="5"/>
  <c r="C71" i="5"/>
  <c r="M70" i="5"/>
  <c r="K70" i="5"/>
  <c r="I70" i="5"/>
  <c r="G70" i="5"/>
  <c r="C70" i="5"/>
  <c r="M69" i="5"/>
  <c r="K69" i="5"/>
  <c r="I69" i="5"/>
  <c r="G69" i="5"/>
  <c r="C69" i="5"/>
  <c r="M68" i="5"/>
  <c r="K68" i="5"/>
  <c r="I68" i="5"/>
  <c r="G68" i="5"/>
  <c r="C68" i="5"/>
  <c r="M67" i="5"/>
  <c r="K67" i="5"/>
  <c r="I67" i="5"/>
  <c r="G67" i="5"/>
  <c r="C67" i="5"/>
  <c r="M66" i="5"/>
  <c r="K66" i="5"/>
  <c r="I66" i="5"/>
  <c r="G66" i="5"/>
  <c r="C66" i="5"/>
  <c r="M65" i="5"/>
  <c r="K65" i="5"/>
  <c r="I65" i="5"/>
  <c r="G65" i="5"/>
  <c r="C65" i="5"/>
  <c r="M64" i="5"/>
  <c r="K64" i="5"/>
  <c r="I64" i="5"/>
  <c r="G64" i="5"/>
  <c r="C64" i="5"/>
  <c r="M63" i="5"/>
  <c r="K63" i="5"/>
  <c r="I63" i="5"/>
  <c r="G63" i="5"/>
  <c r="C63" i="5"/>
  <c r="M62" i="5"/>
  <c r="K62" i="5"/>
  <c r="I62" i="5"/>
  <c r="G62" i="5"/>
  <c r="C62" i="5"/>
  <c r="M61" i="5"/>
  <c r="K61" i="5"/>
  <c r="I61" i="5"/>
  <c r="G61" i="5"/>
  <c r="C61" i="5"/>
  <c r="M60" i="5"/>
  <c r="K60" i="5"/>
  <c r="I60" i="5"/>
  <c r="G60" i="5"/>
  <c r="C60" i="5"/>
  <c r="M59" i="5"/>
  <c r="K59" i="5"/>
  <c r="I59" i="5"/>
  <c r="G59" i="5"/>
  <c r="C59" i="5"/>
  <c r="M58" i="5"/>
  <c r="K58" i="5"/>
  <c r="I58" i="5"/>
  <c r="G58" i="5"/>
  <c r="C58" i="5"/>
  <c r="M57" i="5"/>
  <c r="K57" i="5"/>
  <c r="I57" i="5"/>
  <c r="G57" i="5"/>
  <c r="C57" i="5"/>
  <c r="M56" i="5"/>
  <c r="K56" i="5"/>
  <c r="I56" i="5"/>
  <c r="G56" i="5"/>
  <c r="C56" i="5"/>
  <c r="M55" i="5"/>
  <c r="K55" i="5"/>
  <c r="I55" i="5"/>
  <c r="G55" i="5"/>
  <c r="C55" i="5"/>
  <c r="M54" i="5"/>
  <c r="K54" i="5"/>
  <c r="I54" i="5"/>
  <c r="G54" i="5"/>
  <c r="C54" i="5"/>
  <c r="M53" i="5"/>
  <c r="K53" i="5"/>
  <c r="I53" i="5"/>
  <c r="G53" i="5"/>
  <c r="C53" i="5"/>
  <c r="M52" i="5"/>
  <c r="K52" i="5"/>
  <c r="I52" i="5"/>
  <c r="G52" i="5"/>
  <c r="C52" i="5"/>
  <c r="M51" i="5"/>
  <c r="K51" i="5"/>
  <c r="I51" i="5"/>
  <c r="G51" i="5"/>
  <c r="C51" i="5"/>
  <c r="M50" i="5"/>
  <c r="K50" i="5"/>
  <c r="I50" i="5"/>
  <c r="G50" i="5"/>
  <c r="C50" i="5"/>
  <c r="M49" i="5"/>
  <c r="K49" i="5"/>
  <c r="I49" i="5"/>
  <c r="G49" i="5"/>
  <c r="C49" i="5"/>
  <c r="M48" i="5"/>
  <c r="K48" i="5"/>
  <c r="I48" i="5"/>
  <c r="G48" i="5"/>
  <c r="C48" i="5"/>
  <c r="M47" i="5"/>
  <c r="K47" i="5"/>
  <c r="I47" i="5"/>
  <c r="G47" i="5"/>
  <c r="C47" i="5"/>
  <c r="M46" i="5"/>
  <c r="K46" i="5"/>
  <c r="I46" i="5"/>
  <c r="G46" i="5"/>
  <c r="C46" i="5"/>
  <c r="M45" i="5"/>
  <c r="K45" i="5"/>
  <c r="I45" i="5"/>
  <c r="G45" i="5"/>
  <c r="C45" i="5"/>
  <c r="M44" i="5"/>
  <c r="K44" i="5"/>
  <c r="I44" i="5"/>
  <c r="G44" i="5"/>
  <c r="C44" i="5"/>
  <c r="M43" i="5"/>
  <c r="K43" i="5"/>
  <c r="I43" i="5"/>
  <c r="G43" i="5"/>
  <c r="C43" i="5"/>
  <c r="M42" i="5"/>
  <c r="K42" i="5"/>
  <c r="I42" i="5"/>
  <c r="G42" i="5"/>
  <c r="C42" i="5"/>
  <c r="M41" i="5"/>
  <c r="K41" i="5"/>
  <c r="I41" i="5"/>
  <c r="G41" i="5"/>
  <c r="C41" i="5"/>
  <c r="M40" i="5"/>
  <c r="K40" i="5"/>
  <c r="I40" i="5"/>
  <c r="G40" i="5"/>
  <c r="C40" i="5"/>
  <c r="M39" i="5"/>
  <c r="K39" i="5"/>
  <c r="I39" i="5"/>
  <c r="G39" i="5"/>
  <c r="C39" i="5"/>
  <c r="M38" i="5"/>
  <c r="K38" i="5"/>
  <c r="I38" i="5"/>
  <c r="G38" i="5"/>
  <c r="C38" i="5"/>
  <c r="M37" i="5"/>
  <c r="K37" i="5"/>
  <c r="I37" i="5"/>
  <c r="G37" i="5"/>
  <c r="C37" i="5"/>
  <c r="M36" i="5"/>
  <c r="K36" i="5"/>
  <c r="I36" i="5"/>
  <c r="G36" i="5"/>
  <c r="C36" i="5"/>
  <c r="M35" i="5"/>
  <c r="K35" i="5"/>
  <c r="I35" i="5"/>
  <c r="G35" i="5"/>
  <c r="C35" i="5"/>
  <c r="M34" i="5"/>
  <c r="K34" i="5"/>
  <c r="I34" i="5"/>
  <c r="G34" i="5"/>
  <c r="C34" i="5"/>
  <c r="M33" i="5"/>
  <c r="K33" i="5"/>
  <c r="I33" i="5"/>
  <c r="G33" i="5"/>
  <c r="C33" i="5"/>
  <c r="M32" i="5"/>
  <c r="K32" i="5"/>
  <c r="I32" i="5"/>
  <c r="G32" i="5"/>
  <c r="C32" i="5"/>
  <c r="M31" i="5"/>
  <c r="K31" i="5"/>
  <c r="I31" i="5"/>
  <c r="G31" i="5"/>
  <c r="C31" i="5"/>
  <c r="M30" i="5"/>
  <c r="K30" i="5"/>
  <c r="I30" i="5"/>
  <c r="G30" i="5"/>
  <c r="C30" i="5"/>
  <c r="M29" i="5"/>
  <c r="K29" i="5"/>
  <c r="I29" i="5"/>
  <c r="G29" i="5"/>
  <c r="C29" i="5"/>
  <c r="M28" i="5"/>
  <c r="K28" i="5"/>
  <c r="I28" i="5"/>
  <c r="G28" i="5"/>
  <c r="C28" i="5"/>
  <c r="M27" i="5"/>
  <c r="K27" i="5"/>
  <c r="I27" i="5"/>
  <c r="G27" i="5"/>
  <c r="C27" i="5"/>
  <c r="M26" i="5"/>
  <c r="K26" i="5"/>
  <c r="I26" i="5"/>
  <c r="G26" i="5"/>
  <c r="C26" i="5"/>
  <c r="M25" i="5"/>
  <c r="K25" i="5"/>
  <c r="I25" i="5"/>
  <c r="G25" i="5"/>
  <c r="C25" i="5"/>
  <c r="M24" i="5"/>
  <c r="K24" i="5"/>
  <c r="I24" i="5"/>
  <c r="G24" i="5"/>
  <c r="C24" i="5"/>
  <c r="M23" i="5"/>
  <c r="K23" i="5"/>
  <c r="I23" i="5"/>
  <c r="C23" i="5"/>
  <c r="M22" i="5"/>
  <c r="K22" i="5"/>
  <c r="I22" i="5"/>
  <c r="G22" i="5"/>
  <c r="C22" i="5"/>
  <c r="M21" i="5"/>
  <c r="K21" i="5"/>
  <c r="I21" i="5"/>
  <c r="G21" i="5"/>
  <c r="C21" i="5"/>
  <c r="M20" i="5"/>
  <c r="K20" i="5"/>
  <c r="I20" i="5"/>
  <c r="G20" i="5"/>
  <c r="C20" i="5"/>
  <c r="M19" i="5"/>
  <c r="K19" i="5"/>
  <c r="I19" i="5"/>
  <c r="G19" i="5"/>
  <c r="C19" i="5"/>
  <c r="M18" i="5"/>
  <c r="K18" i="5"/>
  <c r="I18" i="5"/>
  <c r="G18" i="5"/>
  <c r="C18" i="5"/>
  <c r="I17" i="5"/>
  <c r="G17" i="5"/>
  <c r="C17" i="5"/>
  <c r="I16" i="5"/>
  <c r="G16" i="5"/>
  <c r="C16" i="5"/>
  <c r="I15" i="5"/>
  <c r="G15" i="5"/>
  <c r="C15" i="5"/>
  <c r="I14" i="5"/>
  <c r="G14" i="5"/>
  <c r="C14" i="5"/>
  <c r="I13" i="5"/>
  <c r="G13" i="5"/>
  <c r="C13" i="5"/>
  <c r="I12" i="5"/>
  <c r="G12" i="5"/>
  <c r="C12" i="5"/>
  <c r="I11" i="5"/>
  <c r="G11" i="5"/>
  <c r="C11" i="5"/>
  <c r="I10" i="5"/>
  <c r="G10" i="5"/>
  <c r="C10" i="5"/>
  <c r="I9" i="5"/>
  <c r="G9" i="5"/>
  <c r="C9" i="5"/>
  <c r="E115" i="3"/>
  <c r="C115" i="3"/>
  <c r="E114" i="3"/>
  <c r="C114" i="3"/>
  <c r="E113" i="3"/>
  <c r="C113" i="3"/>
  <c r="E112" i="3"/>
  <c r="C112" i="3"/>
  <c r="E111" i="3"/>
  <c r="C111" i="3"/>
  <c r="E110" i="3"/>
  <c r="C110" i="3"/>
  <c r="E109" i="3"/>
  <c r="C109" i="3"/>
  <c r="E108" i="3"/>
  <c r="C108" i="3"/>
  <c r="E107" i="3"/>
  <c r="C107" i="3"/>
  <c r="E105" i="3"/>
  <c r="C105" i="3"/>
  <c r="E104" i="3"/>
  <c r="C104" i="3"/>
  <c r="E103" i="3"/>
  <c r="C103" i="3"/>
  <c r="E102" i="3"/>
  <c r="C102" i="3"/>
  <c r="E101" i="3"/>
  <c r="C101" i="3"/>
  <c r="E100" i="3"/>
  <c r="C100" i="3"/>
  <c r="E99" i="3"/>
  <c r="C99" i="3"/>
  <c r="E98" i="3"/>
  <c r="C98" i="3"/>
  <c r="E97" i="3"/>
  <c r="C97" i="3"/>
  <c r="E96" i="3"/>
  <c r="C96" i="3"/>
  <c r="E95" i="3"/>
  <c r="C95" i="3"/>
  <c r="E94" i="3"/>
  <c r="C94" i="3"/>
  <c r="E93" i="3"/>
  <c r="F93" i="3" s="1"/>
  <c r="C93" i="3"/>
  <c r="E92" i="3"/>
  <c r="F92" i="3" s="1"/>
  <c r="C92" i="3"/>
  <c r="G91" i="3"/>
  <c r="E91" i="3"/>
  <c r="C91" i="3"/>
  <c r="E90" i="3"/>
  <c r="C90" i="3"/>
  <c r="G89" i="3"/>
  <c r="E89" i="3"/>
  <c r="C89" i="3"/>
  <c r="E88" i="3"/>
  <c r="C88" i="3"/>
  <c r="G87" i="3"/>
  <c r="E87" i="3"/>
  <c r="C87" i="3"/>
  <c r="G86" i="3"/>
  <c r="E86" i="3"/>
  <c r="C86" i="3"/>
  <c r="G85" i="3"/>
  <c r="E85" i="3"/>
  <c r="C85" i="3"/>
  <c r="G84" i="3"/>
  <c r="E84" i="3"/>
  <c r="C84" i="3"/>
  <c r="G83" i="3"/>
  <c r="E83" i="3"/>
  <c r="C83" i="3"/>
  <c r="G82" i="3"/>
  <c r="E82" i="3"/>
  <c r="C82" i="3"/>
  <c r="G81" i="3"/>
  <c r="E81" i="3"/>
  <c r="C81" i="3"/>
  <c r="G80" i="3"/>
  <c r="E80" i="3"/>
  <c r="C80" i="3"/>
  <c r="G79" i="3"/>
  <c r="E79" i="3"/>
  <c r="C79" i="3"/>
  <c r="G78" i="3"/>
  <c r="E78" i="3"/>
  <c r="C78" i="3"/>
  <c r="G77" i="3"/>
  <c r="E77" i="3"/>
  <c r="C77" i="3"/>
  <c r="G76" i="3"/>
  <c r="E76" i="3"/>
  <c r="C76" i="3"/>
  <c r="G75" i="3"/>
  <c r="E75" i="3"/>
  <c r="C75" i="3"/>
  <c r="G74" i="3"/>
  <c r="E74" i="3"/>
  <c r="C74" i="3"/>
  <c r="G73" i="3"/>
  <c r="E73" i="3"/>
  <c r="C73" i="3"/>
  <c r="G72" i="3"/>
  <c r="E72" i="3"/>
  <c r="C72" i="3"/>
  <c r="G71" i="3"/>
  <c r="E71" i="3"/>
  <c r="C71" i="3"/>
  <c r="G70" i="3"/>
  <c r="E70" i="3"/>
  <c r="C70" i="3"/>
  <c r="G69" i="3"/>
  <c r="E69" i="3"/>
  <c r="C69" i="3"/>
  <c r="G68" i="3"/>
  <c r="E68" i="3"/>
  <c r="C68" i="3"/>
  <c r="G67" i="3"/>
  <c r="E67" i="3"/>
  <c r="C67" i="3"/>
  <c r="G66" i="3"/>
  <c r="E66" i="3"/>
  <c r="C66" i="3"/>
  <c r="G65" i="3"/>
  <c r="E65" i="3"/>
  <c r="C65" i="3"/>
  <c r="G64" i="3"/>
  <c r="E64" i="3"/>
  <c r="C64" i="3"/>
  <c r="G63" i="3"/>
  <c r="E63" i="3"/>
  <c r="C63" i="3"/>
  <c r="G62" i="3"/>
  <c r="E62" i="3"/>
  <c r="C62" i="3"/>
  <c r="G61" i="3"/>
  <c r="E61" i="3"/>
  <c r="C61" i="3"/>
  <c r="G60" i="3"/>
  <c r="E60" i="3"/>
  <c r="C60" i="3"/>
  <c r="G59" i="3"/>
  <c r="E59" i="3"/>
  <c r="C59" i="3"/>
  <c r="G58" i="3"/>
  <c r="E58" i="3"/>
  <c r="C58" i="3"/>
  <c r="G57" i="3"/>
  <c r="E57" i="3"/>
  <c r="C57" i="3"/>
  <c r="G56" i="3"/>
  <c r="E56" i="3"/>
  <c r="C56" i="3"/>
  <c r="G55" i="3"/>
  <c r="E55" i="3"/>
  <c r="C55" i="3"/>
  <c r="G54" i="3"/>
  <c r="E54" i="3"/>
  <c r="C54" i="3"/>
  <c r="G53" i="3"/>
  <c r="E53" i="3"/>
  <c r="C53" i="3"/>
  <c r="G52" i="3"/>
  <c r="E52" i="3"/>
  <c r="C52" i="3"/>
  <c r="G51" i="3"/>
  <c r="E51" i="3"/>
  <c r="C51" i="3"/>
  <c r="G50" i="3"/>
  <c r="E50" i="3"/>
  <c r="C50" i="3"/>
  <c r="G49" i="3"/>
  <c r="E49" i="3"/>
  <c r="C49" i="3"/>
  <c r="G48" i="3"/>
  <c r="E48" i="3"/>
  <c r="C48" i="3"/>
  <c r="G47" i="3"/>
  <c r="E47" i="3"/>
  <c r="C47" i="3"/>
  <c r="G46" i="3"/>
  <c r="E46" i="3"/>
  <c r="C46" i="3"/>
  <c r="G45" i="3"/>
  <c r="E45" i="3"/>
  <c r="C45" i="3"/>
  <c r="G44" i="3"/>
  <c r="E44" i="3"/>
  <c r="C44" i="3"/>
  <c r="G43" i="3"/>
  <c r="E43" i="3"/>
  <c r="C43" i="3"/>
  <c r="G42" i="3"/>
  <c r="E42" i="3"/>
  <c r="C42" i="3"/>
  <c r="G41" i="3"/>
  <c r="E41" i="3"/>
  <c r="C41" i="3"/>
  <c r="G40" i="3"/>
  <c r="E40" i="3"/>
  <c r="C40" i="3"/>
  <c r="G39" i="3"/>
  <c r="E39" i="3"/>
  <c r="C39" i="3"/>
  <c r="G38" i="3"/>
  <c r="E38" i="3"/>
  <c r="C38" i="3"/>
  <c r="G37" i="3"/>
  <c r="E37" i="3"/>
  <c r="C37" i="3"/>
  <c r="G36" i="3"/>
  <c r="E36" i="3"/>
  <c r="C36" i="3"/>
  <c r="G35" i="3"/>
  <c r="E35" i="3"/>
  <c r="C35" i="3"/>
  <c r="G34" i="3"/>
  <c r="E34" i="3"/>
  <c r="C34" i="3"/>
  <c r="G33" i="3"/>
  <c r="E33" i="3"/>
  <c r="C33" i="3"/>
  <c r="G32" i="3"/>
  <c r="E32" i="3"/>
  <c r="C32" i="3"/>
  <c r="G31" i="3"/>
  <c r="E31" i="3"/>
  <c r="C31" i="3"/>
  <c r="G30" i="3"/>
  <c r="E30" i="3"/>
  <c r="C30" i="3"/>
  <c r="G29" i="3"/>
  <c r="E29" i="3"/>
  <c r="C29" i="3"/>
  <c r="G28" i="3"/>
  <c r="E28" i="3"/>
  <c r="C28" i="3"/>
  <c r="G27" i="3"/>
  <c r="E27" i="3"/>
  <c r="C27" i="3"/>
  <c r="G26" i="3"/>
  <c r="E26" i="3"/>
  <c r="C26" i="3"/>
  <c r="G25" i="3"/>
  <c r="E25" i="3"/>
  <c r="C25" i="3"/>
  <c r="G24" i="3"/>
  <c r="E24" i="3"/>
  <c r="C24" i="3"/>
  <c r="G23" i="3"/>
  <c r="E23" i="3"/>
  <c r="C23" i="3"/>
  <c r="G22" i="3"/>
  <c r="E22" i="3"/>
  <c r="C22" i="3"/>
  <c r="G21" i="3"/>
  <c r="E21" i="3"/>
  <c r="C21" i="3"/>
  <c r="G20" i="3"/>
  <c r="E20" i="3"/>
  <c r="C20" i="3"/>
  <c r="G19" i="3"/>
  <c r="E19" i="3"/>
  <c r="C19" i="3"/>
  <c r="G18" i="3"/>
  <c r="E18" i="3"/>
  <c r="C18" i="3"/>
  <c r="G17" i="3"/>
  <c r="E17" i="3"/>
  <c r="C17" i="3"/>
  <c r="G16" i="3"/>
  <c r="E16" i="3"/>
  <c r="C16" i="3"/>
  <c r="G15" i="3"/>
  <c r="E15" i="3"/>
  <c r="C15" i="3"/>
  <c r="G14" i="3"/>
  <c r="E14" i="3"/>
  <c r="C14" i="3"/>
  <c r="G13" i="3"/>
  <c r="E13" i="3"/>
  <c r="C13" i="3"/>
  <c r="G12" i="3"/>
  <c r="E12" i="3"/>
  <c r="C12" i="3"/>
  <c r="G11" i="3"/>
  <c r="E11" i="3"/>
  <c r="C11" i="3"/>
  <c r="G10" i="3"/>
  <c r="E10" i="3"/>
  <c r="C10" i="3"/>
  <c r="G9" i="3"/>
  <c r="E9" i="3"/>
  <c r="C9" i="3"/>
  <c r="D59" i="48"/>
  <c r="AC25" i="42"/>
  <c r="AC26" i="42" s="1"/>
  <c r="AC27" i="42" s="1"/>
  <c r="AC29" i="42"/>
  <c r="AC30" i="42" s="1"/>
  <c r="AC31" i="42" s="1"/>
  <c r="C23" i="56"/>
  <c r="C24" i="56" s="1"/>
  <c r="C25" i="56" s="1"/>
  <c r="C26" i="56" s="1"/>
  <c r="C28" i="56"/>
  <c r="K15" i="54"/>
  <c r="K16" i="54" s="1"/>
  <c r="K17" i="54" s="1"/>
  <c r="K18" i="54"/>
  <c r="K19" i="54" s="1"/>
  <c r="K20" i="54" s="1"/>
  <c r="K21" i="54" s="1"/>
  <c r="K22" i="54" s="1"/>
  <c r="I19" i="54"/>
  <c r="I20" i="54" s="1"/>
  <c r="I21" i="54" s="1"/>
  <c r="I22" i="54" s="1"/>
  <c r="I23" i="54" s="1"/>
  <c r="I24" i="54" s="1"/>
  <c r="I25" i="54" s="1"/>
  <c r="I26" i="54" s="1"/>
  <c r="I27" i="54" s="1"/>
  <c r="I28" i="54" s="1"/>
  <c r="G21" i="54"/>
  <c r="G22" i="54" s="1"/>
  <c r="G23" i="54" s="1"/>
  <c r="G24" i="54" s="1"/>
  <c r="G25" i="54" s="1"/>
  <c r="G26" i="54" s="1"/>
  <c r="G27" i="54" s="1"/>
  <c r="G28" i="54" s="1"/>
  <c r="E21" i="54"/>
  <c r="E22" i="54" s="1"/>
  <c r="E23" i="54" s="1"/>
  <c r="E24" i="54" s="1"/>
  <c r="E25" i="54" s="1"/>
  <c r="E26" i="54" s="1"/>
  <c r="E27" i="54" s="1"/>
  <c r="E28" i="54" s="1"/>
  <c r="D21" i="54"/>
  <c r="D22" i="54"/>
  <c r="D23" i="54" s="1"/>
  <c r="D24" i="54" s="1"/>
  <c r="D25" i="54" s="1"/>
  <c r="D26" i="54" s="1"/>
  <c r="D27" i="54" s="1"/>
  <c r="D28" i="54" s="1"/>
  <c r="F19" i="54"/>
  <c r="F20" i="54" s="1"/>
  <c r="F21" i="54" s="1"/>
  <c r="F22" i="54" s="1"/>
  <c r="F23" i="54" s="1"/>
  <c r="F24" i="54" s="1"/>
  <c r="F25" i="54" s="1"/>
  <c r="F26" i="54" s="1"/>
  <c r="F27" i="54" s="1"/>
  <c r="F28" i="54" s="1"/>
  <c r="H17" i="54"/>
  <c r="H18" i="54" s="1"/>
  <c r="H19" i="54" s="1"/>
  <c r="H20" i="54" s="1"/>
  <c r="H21" i="54" s="1"/>
  <c r="H22" i="54" s="1"/>
  <c r="H23" i="54" s="1"/>
  <c r="H25" i="54"/>
  <c r="H26" i="54" s="1"/>
  <c r="H27" i="54" s="1"/>
  <c r="H28" i="54" s="1"/>
  <c r="J17" i="54"/>
  <c r="J18" i="54" s="1"/>
  <c r="J19" i="54" s="1"/>
  <c r="J20" i="54" s="1"/>
  <c r="J21" i="54" s="1"/>
  <c r="J22" i="54" s="1"/>
  <c r="J23" i="54" s="1"/>
  <c r="J24" i="54" s="1"/>
  <c r="J25" i="54" s="1"/>
  <c r="J26" i="54" s="1"/>
  <c r="J27" i="54" s="1"/>
  <c r="J28" i="54" s="1"/>
  <c r="M9" i="60"/>
  <c r="M10" i="60" s="1"/>
  <c r="M11" i="60" s="1"/>
  <c r="M12" i="60" s="1"/>
  <c r="M13" i="60" s="1"/>
  <c r="M14" i="60" s="1"/>
  <c r="M15" i="60" s="1"/>
  <c r="M16" i="60" s="1"/>
  <c r="M17" i="60" s="1"/>
  <c r="M18" i="60" s="1"/>
  <c r="M19" i="60" s="1"/>
  <c r="M20" i="60" s="1"/>
  <c r="M21" i="60" s="1"/>
  <c r="M22" i="60" s="1"/>
  <c r="M23" i="60" s="1"/>
  <c r="M24" i="60" s="1"/>
  <c r="M25" i="60" s="1"/>
  <c r="M26" i="60" s="1"/>
  <c r="M27" i="60" s="1"/>
  <c r="M28" i="60" s="1"/>
  <c r="L9" i="60"/>
  <c r="L10" i="60" s="1"/>
  <c r="L11" i="60" s="1"/>
  <c r="L12" i="60" s="1"/>
  <c r="L13" i="60" s="1"/>
  <c r="L14" i="60" s="1"/>
  <c r="L15" i="60" s="1"/>
  <c r="L16" i="60" s="1"/>
  <c r="L17" i="60" s="1"/>
  <c r="L18" i="60" s="1"/>
  <c r="L19" i="60" s="1"/>
  <c r="L20" i="60" s="1"/>
  <c r="L21" i="60" s="1"/>
  <c r="L22" i="60" s="1"/>
  <c r="L23" i="60" s="1"/>
  <c r="L24" i="60" s="1"/>
  <c r="L25" i="60" s="1"/>
  <c r="L26" i="60" s="1"/>
  <c r="L27" i="60" s="1"/>
  <c r="L28" i="60" s="1"/>
  <c r="T9" i="60"/>
  <c r="S9" i="60"/>
  <c r="Q23" i="56"/>
  <c r="R23" i="56"/>
  <c r="Q24" i="56"/>
  <c r="R24" i="56"/>
  <c r="Q25" i="56"/>
  <c r="R25" i="56"/>
  <c r="Q26" i="56"/>
  <c r="R26" i="56"/>
  <c r="Q27" i="56"/>
  <c r="R27" i="56"/>
  <c r="Q28" i="56"/>
  <c r="R28" i="56"/>
  <c r="H25" i="56"/>
  <c r="H26" i="56" s="1"/>
  <c r="H27" i="56" s="1"/>
  <c r="H28" i="56"/>
  <c r="D57" i="52"/>
  <c r="D58" i="52" s="1"/>
  <c r="D59" i="52" s="1"/>
  <c r="E57" i="52"/>
  <c r="E58" i="52" s="1"/>
  <c r="E59" i="52" s="1"/>
  <c r="F57" i="52"/>
  <c r="F58" i="52" s="1"/>
  <c r="F59" i="52" s="1"/>
  <c r="G57" i="52"/>
  <c r="G58" i="52" s="1"/>
  <c r="G59" i="52" s="1"/>
  <c r="I57" i="52"/>
  <c r="I58" i="52" s="1"/>
  <c r="I59" i="52" s="1"/>
  <c r="J57" i="52"/>
  <c r="J58" i="52" s="1"/>
  <c r="J59" i="52" s="1"/>
  <c r="C57" i="52"/>
  <c r="C58" i="52" s="1"/>
  <c r="C59" i="52" s="1"/>
  <c r="C73" i="52"/>
  <c r="C74" i="52" s="1"/>
  <c r="C75" i="52" s="1"/>
  <c r="C76" i="52" s="1"/>
  <c r="C77" i="52" s="1"/>
  <c r="C78" i="52" s="1"/>
  <c r="C79" i="52" s="1"/>
  <c r="C80" i="52" s="1"/>
  <c r="C81" i="52" s="1"/>
  <c r="C82" i="52" s="1"/>
  <c r="C83" i="52" s="1"/>
  <c r="C84" i="52" s="1"/>
  <c r="C85" i="52" s="1"/>
  <c r="C86" i="52" s="1"/>
  <c r="C87" i="52" s="1"/>
  <c r="C88" i="52" s="1"/>
  <c r="C89" i="52" s="1"/>
  <c r="C90" i="52" s="1"/>
  <c r="C91" i="52" s="1"/>
  <c r="J73" i="52"/>
  <c r="J74" i="52" s="1"/>
  <c r="J75" i="52" s="1"/>
  <c r="J76" i="52" s="1"/>
  <c r="J77" i="52" s="1"/>
  <c r="J78" i="52" s="1"/>
  <c r="J79" i="52" s="1"/>
  <c r="J80" i="52" s="1"/>
  <c r="J81" i="52" s="1"/>
  <c r="J82" i="52" s="1"/>
  <c r="J83" i="52" s="1"/>
  <c r="J84" i="52" s="1"/>
  <c r="J85" i="52" s="1"/>
  <c r="J86" i="52" s="1"/>
  <c r="J87" i="52" s="1"/>
  <c r="J88" i="52" s="1"/>
  <c r="J89" i="52" s="1"/>
  <c r="J90" i="52" s="1"/>
  <c r="J91" i="52" s="1"/>
  <c r="F73" i="52"/>
  <c r="F74" i="52" s="1"/>
  <c r="F75" i="52" s="1"/>
  <c r="F76" i="52" s="1"/>
  <c r="F77" i="52" s="1"/>
  <c r="F78" i="52" s="1"/>
  <c r="F79" i="52" s="1"/>
  <c r="F80" i="52" s="1"/>
  <c r="F81" i="52" s="1"/>
  <c r="F82" i="52" s="1"/>
  <c r="F83" i="52" s="1"/>
  <c r="F84" i="52" s="1"/>
  <c r="F85" i="52" s="1"/>
  <c r="F86" i="52" s="1"/>
  <c r="F87" i="52" s="1"/>
  <c r="F88" i="52" s="1"/>
  <c r="F89" i="52" s="1"/>
  <c r="F90" i="52" s="1"/>
  <c r="F91" i="52" s="1"/>
  <c r="D73" i="52"/>
  <c r="D74" i="52" s="1"/>
  <c r="D75" i="52" s="1"/>
  <c r="D76" i="52" s="1"/>
  <c r="D77" i="52" s="1"/>
  <c r="D78" i="52" s="1"/>
  <c r="D79" i="52" s="1"/>
  <c r="D80" i="52" s="1"/>
  <c r="D81" i="52" s="1"/>
  <c r="D82" i="52" s="1"/>
  <c r="D83" i="52" s="1"/>
  <c r="D84" i="52" s="1"/>
  <c r="D85" i="52" s="1"/>
  <c r="D86" i="52" s="1"/>
  <c r="D87" i="52" s="1"/>
  <c r="D88" i="52" s="1"/>
  <c r="D89" i="52" s="1"/>
  <c r="D90" i="52" s="1"/>
  <c r="D91" i="52" s="1"/>
  <c r="D24" i="48"/>
  <c r="D25" i="48"/>
  <c r="D26" i="48"/>
  <c r="D27" i="48"/>
  <c r="D28" i="48"/>
  <c r="D29" i="48"/>
  <c r="D30" i="48"/>
  <c r="D31" i="48"/>
  <c r="D32" i="48"/>
  <c r="D33" i="48"/>
  <c r="D34" i="48"/>
  <c r="D35" i="48"/>
  <c r="D36" i="48"/>
  <c r="D37" i="48"/>
  <c r="D38" i="48"/>
  <c r="D39" i="48"/>
  <c r="D40" i="48"/>
  <c r="D41" i="48"/>
  <c r="D42" i="48"/>
  <c r="D43" i="48"/>
  <c r="D44" i="48"/>
  <c r="D45" i="48"/>
  <c r="D46" i="48"/>
  <c r="D47" i="48"/>
  <c r="D48" i="48"/>
  <c r="D49" i="48"/>
  <c r="D50" i="48"/>
  <c r="D51" i="48"/>
  <c r="D52" i="48"/>
  <c r="D53" i="48"/>
  <c r="D54" i="48"/>
  <c r="D55" i="48"/>
  <c r="D56" i="48"/>
  <c r="D57" i="48"/>
  <c r="D58" i="48"/>
  <c r="AC74" i="44"/>
  <c r="AC75" i="44" s="1"/>
  <c r="AD53" i="42"/>
  <c r="AD54" i="42" s="1"/>
  <c r="AD55" i="42" s="1"/>
  <c r="AD56" i="42" s="1"/>
  <c r="AD57" i="42" s="1"/>
  <c r="AD58" i="42" s="1"/>
  <c r="AD59" i="42" s="1"/>
  <c r="AD49" i="42"/>
  <c r="AD50" i="42" s="1"/>
  <c r="AD51" i="42" s="1"/>
  <c r="AD45" i="42"/>
  <c r="AD46" i="42" s="1"/>
  <c r="AD47" i="42" s="1"/>
  <c r="AD41" i="42"/>
  <c r="AD42" i="42" s="1"/>
  <c r="AD43" i="42" s="1"/>
  <c r="AD37" i="42"/>
  <c r="AD38" i="42" s="1"/>
  <c r="AD39" i="42" s="1"/>
  <c r="AD33" i="42"/>
  <c r="AD34" i="42" s="1"/>
  <c r="AD35" i="42" s="1"/>
  <c r="AC33" i="42"/>
  <c r="AC34" i="42" s="1"/>
  <c r="AC35" i="42" s="1"/>
  <c r="AC36" i="42" s="1"/>
  <c r="AC37" i="42" s="1"/>
  <c r="AC38" i="42" s="1"/>
  <c r="AC39" i="42" s="1"/>
  <c r="AC41" i="42"/>
  <c r="AC42" i="42"/>
  <c r="AC43" i="42" s="1"/>
  <c r="AC44" i="42" s="1"/>
  <c r="AC45" i="42" s="1"/>
  <c r="AC46" i="42" s="1"/>
  <c r="AC47" i="42" s="1"/>
  <c r="AC48" i="42" s="1"/>
  <c r="AC49" i="42" s="1"/>
  <c r="AC50" i="42" s="1"/>
  <c r="AC51" i="42" s="1"/>
  <c r="AC52" i="42" s="1"/>
  <c r="AC53" i="42" s="1"/>
  <c r="AC54" i="42" s="1"/>
  <c r="AC55" i="42" s="1"/>
  <c r="AC56" i="42" s="1"/>
  <c r="AC57" i="42" s="1"/>
  <c r="AC58" i="42" s="1"/>
  <c r="AC59" i="42" s="1"/>
  <c r="P9" i="42"/>
  <c r="P10" i="42" s="1"/>
  <c r="P11" i="42" s="1"/>
  <c r="P12" i="42" s="1"/>
  <c r="P13" i="42" s="1"/>
  <c r="P14" i="42" s="1"/>
  <c r="P15" i="42" s="1"/>
  <c r="P16" i="42" s="1"/>
  <c r="P17" i="42" s="1"/>
  <c r="P18" i="42" s="1"/>
  <c r="P19" i="42" s="1"/>
  <c r="P20" i="42" s="1"/>
  <c r="P21" i="42" s="1"/>
  <c r="P22" i="42" s="1"/>
  <c r="P23" i="42" s="1"/>
  <c r="P24" i="42" s="1"/>
  <c r="P25" i="42" s="1"/>
  <c r="P26" i="42" s="1"/>
  <c r="P27" i="42" s="1"/>
  <c r="P28" i="42" s="1"/>
  <c r="P29" i="42" s="1"/>
  <c r="P30" i="42" s="1"/>
  <c r="P31" i="42" s="1"/>
  <c r="P32" i="42" s="1"/>
  <c r="P33" i="42" s="1"/>
  <c r="P34" i="42" s="1"/>
  <c r="P35" i="42" s="1"/>
  <c r="P36" i="42" s="1"/>
  <c r="P37" i="42" s="1"/>
  <c r="P38" i="42" s="1"/>
  <c r="P39" i="42" s="1"/>
  <c r="P40" i="42" s="1"/>
  <c r="P41" i="42" s="1"/>
  <c r="P42" i="42" s="1"/>
  <c r="P43" i="42" s="1"/>
  <c r="P44" i="42" s="1"/>
  <c r="P45" i="42" s="1"/>
  <c r="P46" i="42" s="1"/>
  <c r="P47" i="42" s="1"/>
  <c r="P48" i="42" s="1"/>
  <c r="P49" i="42" s="1"/>
  <c r="P50" i="42" s="1"/>
  <c r="P51" i="42" s="1"/>
  <c r="P52" i="42" s="1"/>
  <c r="P53" i="42" s="1"/>
  <c r="P54" i="42" s="1"/>
  <c r="P55" i="42" s="1"/>
  <c r="P56" i="42" s="1"/>
  <c r="P57" i="42" s="1"/>
  <c r="P58" i="42" s="1"/>
  <c r="P59" i="42" s="1"/>
  <c r="O9" i="42"/>
  <c r="O10" i="42" s="1"/>
  <c r="O11" i="42" s="1"/>
  <c r="O12" i="42" s="1"/>
  <c r="O13" i="42" s="1"/>
  <c r="O14" i="42" s="1"/>
  <c r="O15" i="42" s="1"/>
  <c r="O16" i="42" s="1"/>
  <c r="O17" i="42" s="1"/>
  <c r="O18" i="42" s="1"/>
  <c r="O19" i="42" s="1"/>
  <c r="O20" i="42" s="1"/>
  <c r="O21" i="42" s="1"/>
  <c r="O22" i="42" s="1"/>
  <c r="O23" i="42" s="1"/>
  <c r="O24" i="42" s="1"/>
  <c r="O25" i="42" s="1"/>
  <c r="O26" i="42" s="1"/>
  <c r="O27" i="42" s="1"/>
  <c r="O28" i="42" s="1"/>
  <c r="O29" i="42" s="1"/>
  <c r="O30" i="42" s="1"/>
  <c r="O31" i="42" s="1"/>
  <c r="O32" i="42" s="1"/>
  <c r="O33" i="42" s="1"/>
  <c r="O34" i="42" s="1"/>
  <c r="O35" i="42" s="1"/>
  <c r="O36" i="42" s="1"/>
  <c r="O37" i="42" s="1"/>
  <c r="O38" i="42" s="1"/>
  <c r="O39" i="42" s="1"/>
  <c r="O40" i="42" s="1"/>
  <c r="O41" i="42" s="1"/>
  <c r="O42" i="42" s="1"/>
  <c r="O43" i="42" s="1"/>
  <c r="O44" i="42" s="1"/>
  <c r="O45" i="42" s="1"/>
  <c r="O46" i="42" s="1"/>
  <c r="O47" i="42" s="1"/>
  <c r="O48" i="42" s="1"/>
  <c r="O49" i="42" s="1"/>
  <c r="O50" i="42" s="1"/>
  <c r="O51" i="42" s="1"/>
  <c r="O52" i="42" s="1"/>
  <c r="O53" i="42" s="1"/>
  <c r="O54" i="42" s="1"/>
  <c r="O55" i="42" s="1"/>
  <c r="O56" i="42" s="1"/>
  <c r="O57" i="42" s="1"/>
  <c r="O58" i="42" s="1"/>
  <c r="O59" i="42" s="1"/>
  <c r="N9" i="42"/>
  <c r="N10" i="42" s="1"/>
  <c r="N11" i="42" s="1"/>
  <c r="N12" i="42" s="1"/>
  <c r="N13" i="42" s="1"/>
  <c r="N14" i="42" s="1"/>
  <c r="N15" i="42" s="1"/>
  <c r="N16" i="42" s="1"/>
  <c r="N17" i="42" s="1"/>
  <c r="N18" i="42" s="1"/>
  <c r="N19" i="42" s="1"/>
  <c r="N20" i="42" s="1"/>
  <c r="N21" i="42" s="1"/>
  <c r="N22" i="42" s="1"/>
  <c r="N23" i="42" s="1"/>
  <c r="N24" i="42" s="1"/>
  <c r="N25" i="42" s="1"/>
  <c r="N26" i="42" s="1"/>
  <c r="N27" i="42" s="1"/>
  <c r="N28" i="42" s="1"/>
  <c r="N29" i="42" s="1"/>
  <c r="N30" i="42" s="1"/>
  <c r="N31" i="42" s="1"/>
  <c r="N32" i="42" s="1"/>
  <c r="N33" i="42" s="1"/>
  <c r="N34" i="42" s="1"/>
  <c r="N35" i="42" s="1"/>
  <c r="N36" i="42" s="1"/>
  <c r="N37" i="42" s="1"/>
  <c r="N38" i="42" s="1"/>
  <c r="N39" i="42" s="1"/>
  <c r="N40" i="42" s="1"/>
  <c r="N41" i="42" s="1"/>
  <c r="N42" i="42" s="1"/>
  <c r="N43" i="42" s="1"/>
  <c r="N44" i="42" s="1"/>
  <c r="N45" i="42" s="1"/>
  <c r="N46" i="42" s="1"/>
  <c r="N47" i="42" s="1"/>
  <c r="N48" i="42" s="1"/>
  <c r="N49" i="42" s="1"/>
  <c r="N50" i="42" s="1"/>
  <c r="N51" i="42" s="1"/>
  <c r="N52" i="42" s="1"/>
  <c r="N53" i="42" s="1"/>
  <c r="N54" i="42" s="1"/>
  <c r="N55" i="42" s="1"/>
  <c r="N56" i="42" s="1"/>
  <c r="N57" i="42" s="1"/>
  <c r="N58" i="42" s="1"/>
  <c r="N59" i="42" s="1"/>
  <c r="AC81" i="42"/>
  <c r="AC82" i="42" s="1"/>
  <c r="AC83" i="42" s="1"/>
  <c r="AC84" i="42" s="1"/>
  <c r="AC85" i="42" s="1"/>
  <c r="AC86" i="42" s="1"/>
  <c r="AC87" i="42" s="1"/>
  <c r="AC88" i="42" s="1"/>
  <c r="AC89" i="42" s="1"/>
  <c r="AC90" i="42" s="1"/>
  <c r="AC91" i="42" s="1"/>
  <c r="K81" i="42"/>
  <c r="K82" i="42" s="1"/>
  <c r="K83" i="42" s="1"/>
  <c r="K84" i="42" s="1"/>
  <c r="K85" i="42" s="1"/>
  <c r="K86" i="42" s="1"/>
  <c r="K87" i="42" s="1"/>
  <c r="K88" i="42" s="1"/>
  <c r="K89" i="42" s="1"/>
  <c r="K90" i="42" s="1"/>
  <c r="K91" i="42" s="1"/>
  <c r="J81" i="42"/>
  <c r="J82" i="42" s="1"/>
  <c r="J83" i="42" s="1"/>
  <c r="J84" i="42" s="1"/>
  <c r="J85" i="42" s="1"/>
  <c r="J86" i="42" s="1"/>
  <c r="J87" i="42" s="1"/>
  <c r="J88" i="42" s="1"/>
  <c r="J89" i="42" s="1"/>
  <c r="J90" i="42" s="1"/>
  <c r="J91" i="42" s="1"/>
  <c r="L81" i="42"/>
  <c r="L82" i="42" s="1"/>
  <c r="L83" i="42" s="1"/>
  <c r="L84" i="42" s="1"/>
  <c r="L85" i="42" s="1"/>
  <c r="L86" i="42" s="1"/>
  <c r="L87" i="42" s="1"/>
  <c r="L88" i="42" s="1"/>
  <c r="L89" i="42" s="1"/>
  <c r="L90" i="42" s="1"/>
  <c r="L91" i="42" s="1"/>
  <c r="M81" i="42"/>
  <c r="M82" i="42"/>
  <c r="M83" i="42"/>
  <c r="M84" i="42"/>
  <c r="M85" i="42" s="1"/>
  <c r="M86" i="42" s="1"/>
  <c r="M87" i="42" s="1"/>
  <c r="M88" i="42" s="1"/>
  <c r="M89" i="42" s="1"/>
  <c r="M90" i="42" s="1"/>
  <c r="M91" i="42" s="1"/>
  <c r="P81" i="42"/>
  <c r="P82" i="42" s="1"/>
  <c r="P83" i="42" s="1"/>
  <c r="P84" i="42" s="1"/>
  <c r="P85" i="42" s="1"/>
  <c r="P86" i="42" s="1"/>
  <c r="P87" i="42" s="1"/>
  <c r="P88" i="42" s="1"/>
  <c r="P89" i="42" s="1"/>
  <c r="P90" i="42" s="1"/>
  <c r="P91" i="42" s="1"/>
  <c r="O81" i="42"/>
  <c r="O82" i="42"/>
  <c r="O83" i="42" s="1"/>
  <c r="O84" i="42" s="1"/>
  <c r="O85" i="42" s="1"/>
  <c r="O86" i="42" s="1"/>
  <c r="O87" i="42" s="1"/>
  <c r="O88" i="42" s="1"/>
  <c r="O89" i="42" s="1"/>
  <c r="O90" i="42" s="1"/>
  <c r="O91" i="42" s="1"/>
  <c r="N81" i="42"/>
  <c r="N82" i="42" s="1"/>
  <c r="N83" i="42" s="1"/>
  <c r="N84" i="42" s="1"/>
  <c r="N85" i="42" s="1"/>
  <c r="N86" i="42" s="1"/>
  <c r="N87" i="42" s="1"/>
  <c r="N88" i="42" s="1"/>
  <c r="N89" i="42" s="1"/>
  <c r="N90" i="42" s="1"/>
  <c r="N91" i="42" s="1"/>
  <c r="F68" i="44"/>
  <c r="F69" i="44" s="1"/>
  <c r="F73" i="44"/>
  <c r="F74" i="44" s="1"/>
  <c r="F75" i="44" s="1"/>
  <c r="F76" i="44" s="1"/>
  <c r="F77" i="44" s="1"/>
  <c r="F78" i="44" s="1"/>
  <c r="F79" i="44" s="1"/>
  <c r="F80" i="44" s="1"/>
  <c r="F81" i="44" s="1"/>
  <c r="F82" i="44" s="1"/>
  <c r="F83" i="44" s="1"/>
  <c r="F84" i="44" s="1"/>
  <c r="F85" i="44" s="1"/>
  <c r="F86" i="44" s="1"/>
  <c r="F87" i="44" s="1"/>
  <c r="F88" i="44" s="1"/>
  <c r="F89" i="44" s="1"/>
  <c r="F90" i="44" s="1"/>
  <c r="F91" i="44" s="1"/>
  <c r="AM13" i="57"/>
  <c r="AM14" i="57"/>
  <c r="AM15" i="57"/>
  <c r="AM16" i="57"/>
  <c r="AM17" i="57"/>
  <c r="AM18" i="57"/>
  <c r="AM19" i="57"/>
  <c r="AM20" i="57"/>
  <c r="AM21" i="57"/>
  <c r="AM12" i="57"/>
  <c r="Q18" i="57"/>
  <c r="Q19" i="57"/>
  <c r="Q17" i="57"/>
  <c r="E59" i="20"/>
  <c r="E70" i="16"/>
  <c r="E71" i="16" s="1"/>
  <c r="E72" i="16" s="1"/>
  <c r="E73" i="16" s="1"/>
  <c r="E74" i="16" s="1"/>
  <c r="E75" i="16" s="1"/>
  <c r="E76" i="16" s="1"/>
  <c r="E77" i="16" s="1"/>
  <c r="E78" i="16" s="1"/>
  <c r="E79" i="16" s="1"/>
  <c r="E80" i="16" s="1"/>
  <c r="E81" i="16" s="1"/>
  <c r="E82" i="16" s="1"/>
  <c r="E83" i="16" s="1"/>
  <c r="E84" i="16" s="1"/>
  <c r="E85" i="16" s="1"/>
  <c r="E86" i="16" s="1"/>
  <c r="E87" i="16" s="1"/>
  <c r="E88" i="16" s="1"/>
  <c r="E89" i="16" s="1"/>
  <c r="E90" i="16" s="1"/>
  <c r="E91" i="16" s="1"/>
  <c r="M66" i="20"/>
  <c r="N66" i="20" s="1"/>
  <c r="M67" i="20"/>
  <c r="M68" i="20" s="1"/>
  <c r="N68" i="20" s="1"/>
  <c r="M73" i="20"/>
  <c r="M74" i="20" s="1"/>
  <c r="M75" i="20" s="1"/>
  <c r="M76" i="20" s="1"/>
  <c r="M77" i="20" s="1"/>
  <c r="M78" i="20" s="1"/>
  <c r="M79" i="20" s="1"/>
  <c r="M80" i="20" s="1"/>
  <c r="M81" i="20" s="1"/>
  <c r="M82" i="20" s="1"/>
  <c r="M83" i="20" s="1"/>
  <c r="M84" i="20" s="1"/>
  <c r="M85" i="20" s="1"/>
  <c r="M86" i="20" s="1"/>
  <c r="M87" i="20" s="1"/>
  <c r="M88" i="20" s="1"/>
  <c r="M89" i="20" s="1"/>
  <c r="M90" i="20" s="1"/>
  <c r="M91" i="20" s="1"/>
  <c r="J73" i="20"/>
  <c r="J74" i="20" s="1"/>
  <c r="J75" i="20" s="1"/>
  <c r="J76" i="20" s="1"/>
  <c r="J77" i="20" s="1"/>
  <c r="J78" i="20" s="1"/>
  <c r="J79" i="20"/>
  <c r="J80" i="20" s="1"/>
  <c r="J81" i="20" s="1"/>
  <c r="J82" i="20" s="1"/>
  <c r="J83" i="20" s="1"/>
  <c r="J84" i="20" s="1"/>
  <c r="J85" i="20" s="1"/>
  <c r="J86" i="20" s="1"/>
  <c r="J87" i="20" s="1"/>
  <c r="J88" i="20" s="1"/>
  <c r="J89" i="20" s="1"/>
  <c r="J90" i="20" s="1"/>
  <c r="J91" i="20" s="1"/>
  <c r="C36" i="7"/>
  <c r="C37" i="7"/>
  <c r="E119" i="3"/>
  <c r="E118" i="3"/>
  <c r="E117" i="3"/>
  <c r="E116" i="3"/>
  <c r="C38" i="7"/>
  <c r="B104" i="5"/>
  <c r="C104" i="5" s="1"/>
  <c r="C116" i="5"/>
  <c r="C114" i="5"/>
  <c r="I105" i="5"/>
  <c r="T64" i="20"/>
  <c r="E59" i="34"/>
  <c r="E60" i="34"/>
  <c r="K32" i="16"/>
  <c r="C39" i="7"/>
  <c r="Q73" i="44"/>
  <c r="Q74" i="44" s="1"/>
  <c r="Q75" i="44" s="1"/>
  <c r="AC75" i="12"/>
  <c r="Q75" i="20" s="1"/>
  <c r="AA75" i="12"/>
  <c r="O75" i="20" s="1"/>
  <c r="K36" i="16"/>
  <c r="O60" i="20"/>
  <c r="C61" i="34"/>
  <c r="K24" i="16"/>
  <c r="E60" i="20"/>
  <c r="C57" i="34"/>
  <c r="G99" i="5"/>
  <c r="M117" i="5"/>
  <c r="G117" i="5"/>
  <c r="K117" i="5" s="1"/>
  <c r="E61" i="22"/>
  <c r="K12" i="16"/>
  <c r="Q60" i="22"/>
  <c r="K13" i="16"/>
  <c r="G25" i="56"/>
  <c r="G26" i="56" s="1"/>
  <c r="I92" i="5"/>
  <c r="P24" i="20"/>
  <c r="H60" i="20"/>
  <c r="O61" i="20"/>
  <c r="P28" i="20"/>
  <c r="P29" i="20"/>
  <c r="K28" i="16"/>
  <c r="C93" i="5"/>
  <c r="P36" i="20"/>
  <c r="M119" i="5"/>
  <c r="M118" i="5"/>
  <c r="AB74" i="44"/>
  <c r="AB75" i="44"/>
  <c r="AB76" i="44" s="1"/>
  <c r="AB77" i="44" s="1"/>
  <c r="AB78" i="44" s="1"/>
  <c r="AB79" i="44" s="1"/>
  <c r="AB80" i="44" s="1"/>
  <c r="AB81" i="44" s="1"/>
  <c r="AB82" i="44" s="1"/>
  <c r="AB83" i="44" s="1"/>
  <c r="AB84" i="44" s="1"/>
  <c r="AB85" i="44" s="1"/>
  <c r="AB86" i="44" s="1"/>
  <c r="AB87" i="44" s="1"/>
  <c r="T60" i="22"/>
  <c r="T65" i="20"/>
  <c r="E60" i="22"/>
  <c r="K68" i="16"/>
  <c r="G100" i="5"/>
  <c r="K100" i="5" s="1"/>
  <c r="J100" i="5" s="1"/>
  <c r="K40" i="16"/>
  <c r="P40" i="20"/>
  <c r="I13" i="6"/>
  <c r="C10" i="4"/>
  <c r="M34" i="6"/>
  <c r="G19" i="4"/>
  <c r="G34" i="6"/>
  <c r="M31" i="6"/>
  <c r="C20" i="6"/>
  <c r="C17" i="6"/>
  <c r="G29" i="6"/>
  <c r="E14" i="4"/>
  <c r="G14" i="6"/>
  <c r="M22" i="6"/>
  <c r="C15" i="6"/>
  <c r="G9" i="6"/>
  <c r="G15" i="6"/>
  <c r="E26" i="4"/>
  <c r="C34" i="6"/>
  <c r="C16" i="6"/>
  <c r="G21" i="6"/>
  <c r="C34" i="4"/>
  <c r="C29" i="4"/>
  <c r="G23" i="6"/>
  <c r="G17" i="4"/>
  <c r="C35" i="4"/>
  <c r="I17" i="6"/>
  <c r="E35" i="4"/>
  <c r="C27" i="6"/>
  <c r="I15" i="6"/>
  <c r="G22" i="4"/>
  <c r="E23" i="4"/>
  <c r="G25" i="6"/>
  <c r="C11" i="8"/>
  <c r="C24" i="6"/>
  <c r="I28" i="6"/>
  <c r="M13" i="6"/>
  <c r="C18" i="4"/>
  <c r="M11" i="6"/>
  <c r="M19" i="6"/>
  <c r="I16" i="6"/>
  <c r="E31" i="4"/>
  <c r="M12" i="6"/>
  <c r="C24" i="4"/>
  <c r="M18" i="6"/>
  <c r="C30" i="4"/>
  <c r="E19" i="4"/>
  <c r="C23" i="4"/>
  <c r="I27" i="6"/>
  <c r="G30" i="6"/>
  <c r="C27" i="4"/>
  <c r="M15" i="6"/>
  <c r="C32" i="4"/>
  <c r="C21" i="4"/>
  <c r="I21" i="6"/>
  <c r="C20" i="4"/>
  <c r="C35" i="6"/>
  <c r="I14" i="6"/>
  <c r="M16" i="6"/>
  <c r="C22" i="6"/>
  <c r="C19" i="6"/>
  <c r="G24" i="6"/>
  <c r="E17" i="4"/>
  <c r="M25" i="6"/>
  <c r="M35" i="6"/>
  <c r="E9" i="4"/>
  <c r="G12" i="4"/>
  <c r="G21" i="4"/>
  <c r="C23" i="6"/>
  <c r="G13" i="6"/>
  <c r="G14" i="4"/>
  <c r="E10" i="4"/>
  <c r="C16" i="4"/>
  <c r="G31" i="6"/>
  <c r="C25" i="4"/>
  <c r="E33" i="4"/>
  <c r="G22" i="6"/>
  <c r="E18" i="4"/>
  <c r="E32" i="4"/>
  <c r="G20" i="6"/>
  <c r="M17" i="6"/>
  <c r="C15" i="4"/>
  <c r="M23" i="6"/>
  <c r="G23" i="4"/>
  <c r="E28" i="4"/>
  <c r="C22" i="4"/>
  <c r="C9" i="4"/>
  <c r="I18" i="6"/>
  <c r="E11" i="4"/>
  <c r="I35" i="6"/>
  <c r="C28" i="6"/>
  <c r="C9" i="8"/>
  <c r="C25" i="6"/>
  <c r="G19" i="6"/>
  <c r="E16" i="4"/>
  <c r="I22" i="6"/>
  <c r="E27" i="4"/>
  <c r="I30" i="6"/>
  <c r="G26" i="6"/>
  <c r="G18" i="6"/>
  <c r="C15" i="8"/>
  <c r="C12" i="4"/>
  <c r="I12" i="6"/>
  <c r="C14" i="4"/>
  <c r="G12" i="6"/>
  <c r="C28" i="4"/>
  <c r="M28" i="6"/>
  <c r="E24" i="4"/>
  <c r="E22" i="4"/>
  <c r="I20" i="6"/>
  <c r="C21" i="6"/>
  <c r="C33" i="4"/>
  <c r="G28" i="6"/>
  <c r="E34" i="4"/>
  <c r="M27" i="6"/>
  <c r="E30" i="4"/>
  <c r="G25" i="4"/>
  <c r="E13" i="4"/>
  <c r="C19" i="4"/>
  <c r="M26" i="6"/>
  <c r="C26" i="6"/>
  <c r="C17" i="4"/>
  <c r="G15" i="4"/>
  <c r="C12" i="8"/>
  <c r="M14" i="6"/>
  <c r="M29" i="6"/>
  <c r="C13" i="8"/>
  <c r="I23" i="6"/>
  <c r="I25" i="6"/>
  <c r="E15" i="4"/>
  <c r="I24" i="6"/>
  <c r="C31" i="6"/>
  <c r="E12" i="4"/>
  <c r="G20" i="4"/>
  <c r="G27" i="6"/>
  <c r="G10" i="6"/>
  <c r="C11" i="4"/>
  <c r="E25" i="4"/>
  <c r="I34" i="6"/>
  <c r="M21" i="6"/>
  <c r="C26" i="4"/>
  <c r="I19" i="6"/>
  <c r="C13" i="4"/>
  <c r="G16" i="6"/>
  <c r="E20" i="4"/>
  <c r="G18" i="4"/>
  <c r="G35" i="6"/>
  <c r="G11" i="6"/>
  <c r="D62" i="22"/>
  <c r="E62" i="22" s="1"/>
  <c r="D63" i="22"/>
  <c r="D64" i="22" s="1"/>
  <c r="H63" i="20"/>
  <c r="E65" i="20"/>
  <c r="M20" i="6"/>
  <c r="C29" i="6"/>
  <c r="E29" i="4"/>
  <c r="F29" i="4" s="1"/>
  <c r="G17" i="6"/>
  <c r="C10" i="8"/>
  <c r="I29" i="6"/>
  <c r="C30" i="6"/>
  <c r="C14" i="6"/>
  <c r="M30" i="6"/>
  <c r="I31" i="6"/>
  <c r="C31" i="4"/>
  <c r="G24" i="4"/>
  <c r="K63" i="20"/>
  <c r="C14" i="8"/>
  <c r="M24" i="6"/>
  <c r="I26" i="6"/>
  <c r="E21" i="4"/>
  <c r="C18" i="6"/>
  <c r="G13" i="4"/>
  <c r="G11" i="4"/>
  <c r="G10" i="4"/>
  <c r="E63" i="20"/>
  <c r="G9" i="4"/>
  <c r="G27" i="4"/>
  <c r="G16" i="4"/>
  <c r="G26" i="4"/>
  <c r="T66" i="20"/>
  <c r="N65" i="20"/>
  <c r="G70" i="16"/>
  <c r="G71" i="16" s="1"/>
  <c r="H65" i="20"/>
  <c r="H66" i="20"/>
  <c r="K65" i="20"/>
  <c r="E67" i="20"/>
  <c r="H64" i="20"/>
  <c r="K64" i="20"/>
  <c r="E66" i="20"/>
  <c r="E64" i="20"/>
  <c r="U23" i="56"/>
  <c r="T23" i="56"/>
  <c r="T24" i="56" s="1"/>
  <c r="S23" i="56"/>
  <c r="V23" i="56" s="1"/>
  <c r="S25" i="56"/>
  <c r="S26" i="56"/>
  <c r="S27" i="56"/>
  <c r="S28" i="56" s="1"/>
  <c r="S24" i="56"/>
  <c r="V24" i="56" s="1"/>
  <c r="T67" i="20"/>
  <c r="E69" i="20"/>
  <c r="K67" i="20"/>
  <c r="H67" i="20"/>
  <c r="G73" i="16"/>
  <c r="G74" i="16" s="1"/>
  <c r="G75" i="16" s="1"/>
  <c r="G76" i="16" s="1"/>
  <c r="G77" i="16" s="1"/>
  <c r="G78" i="16" s="1"/>
  <c r="G79" i="16" s="1"/>
  <c r="G80" i="16" s="1"/>
  <c r="G81" i="16" s="1"/>
  <c r="G82" i="16" s="1"/>
  <c r="G83" i="16" s="1"/>
  <c r="G84" i="16" s="1"/>
  <c r="G85" i="16" s="1"/>
  <c r="G86" i="16" s="1"/>
  <c r="G87" i="16" s="1"/>
  <c r="E68" i="20"/>
  <c r="K66" i="20"/>
  <c r="V25" i="56"/>
  <c r="V26" i="56"/>
  <c r="V27" i="56" s="1"/>
  <c r="V28" i="56" s="1"/>
  <c r="R63" i="20"/>
  <c r="K69" i="20"/>
  <c r="H69" i="20"/>
  <c r="K68" i="20"/>
  <c r="H68" i="20"/>
  <c r="C70" i="16"/>
  <c r="AD75" i="12"/>
  <c r="R75" i="20" s="1"/>
  <c r="AB75" i="12"/>
  <c r="P75" i="20" s="1"/>
  <c r="K75" i="16" s="1"/>
  <c r="M113" i="5"/>
  <c r="I119" i="5"/>
  <c r="G114" i="5"/>
  <c r="K114" i="5" s="1"/>
  <c r="AI81" i="42"/>
  <c r="AI82" i="42" s="1"/>
  <c r="AI83" i="42" s="1"/>
  <c r="AI84" i="42" s="1"/>
  <c r="AI85" i="42" s="1"/>
  <c r="AI86" i="42" s="1"/>
  <c r="AI87" i="42" s="1"/>
  <c r="AI88" i="42" s="1"/>
  <c r="AI89" i="42" s="1"/>
  <c r="AI90" i="42" s="1"/>
  <c r="AI91" i="42" s="1"/>
  <c r="K70" i="16"/>
  <c r="C117" i="5"/>
  <c r="P13" i="20"/>
  <c r="C115" i="5"/>
  <c r="G111" i="5"/>
  <c r="K111" i="5" s="1"/>
  <c r="I116" i="5"/>
  <c r="M114" i="5"/>
  <c r="I108" i="5"/>
  <c r="I109" i="5"/>
  <c r="I98" i="5"/>
  <c r="G108" i="5"/>
  <c r="K108" i="5" s="1"/>
  <c r="G109" i="5"/>
  <c r="K109" i="5" s="1"/>
  <c r="G119" i="5"/>
  <c r="K119" i="5"/>
  <c r="G118" i="5"/>
  <c r="K118" i="5" s="1"/>
  <c r="K94" i="5"/>
  <c r="C101" i="5"/>
  <c r="C100" i="5"/>
  <c r="I114" i="5"/>
  <c r="I115" i="5"/>
  <c r="E36" i="4"/>
  <c r="C36" i="4"/>
  <c r="D74" i="46"/>
  <c r="D75" i="46" s="1"/>
  <c r="D76" i="46" s="1"/>
  <c r="D77" i="46" s="1"/>
  <c r="D78" i="46" s="1"/>
  <c r="D79" i="46" s="1"/>
  <c r="D80" i="46" s="1"/>
  <c r="D81" i="46" s="1"/>
  <c r="D82" i="46" s="1"/>
  <c r="D83" i="46" s="1"/>
  <c r="D84" i="46" s="1"/>
  <c r="D85" i="46" s="1"/>
  <c r="D86" i="46" s="1"/>
  <c r="D87" i="46" s="1"/>
  <c r="D88" i="46" s="1"/>
  <c r="D89" i="46" s="1"/>
  <c r="D90" i="46" s="1"/>
  <c r="D91" i="46" s="1"/>
  <c r="K14" i="16"/>
  <c r="K71" i="16"/>
  <c r="S69" i="44"/>
  <c r="S70" i="44" s="1"/>
  <c r="C36" i="6"/>
  <c r="K72" i="16"/>
  <c r="P73" i="20"/>
  <c r="K73" i="16" s="1"/>
  <c r="C73" i="22"/>
  <c r="AG73" i="22"/>
  <c r="K74" i="16"/>
  <c r="S73" i="22"/>
  <c r="Z73" i="22"/>
  <c r="P73" i="22"/>
  <c r="P74" i="22" s="1"/>
  <c r="P75" i="22" s="1"/>
  <c r="P76" i="22" s="1"/>
  <c r="P77" i="22" s="1"/>
  <c r="P78" i="22" s="1"/>
  <c r="P79" i="22" s="1"/>
  <c r="P80" i="22" s="1"/>
  <c r="P81" i="22" s="1"/>
  <c r="P82" i="22" s="1"/>
  <c r="P83" i="22" s="1"/>
  <c r="P84" i="22" s="1"/>
  <c r="P85" i="22" s="1"/>
  <c r="P86" i="22" s="1"/>
  <c r="P87" i="22" s="1"/>
  <c r="P88" i="22" s="1"/>
  <c r="P89" i="22" s="1"/>
  <c r="P90" i="22" s="1"/>
  <c r="P91" i="22" s="1"/>
  <c r="S73" i="20"/>
  <c r="T73" i="20" s="1"/>
  <c r="U73" i="22"/>
  <c r="AB73" i="22"/>
  <c r="AA73" i="22"/>
  <c r="F73" i="22"/>
  <c r="C73" i="14"/>
  <c r="C73" i="18" s="1"/>
  <c r="O73" i="22"/>
  <c r="V73" i="22"/>
  <c r="M73" i="22"/>
  <c r="M74" i="22" s="1"/>
  <c r="M75" i="22" s="1"/>
  <c r="M76" i="22" s="1"/>
  <c r="M77" i="22" s="1"/>
  <c r="M78" i="22" s="1"/>
  <c r="M79" i="22" s="1"/>
  <c r="M80" i="22" s="1"/>
  <c r="M81" i="22" s="1"/>
  <c r="M82" i="22" s="1"/>
  <c r="M83" i="22" s="1"/>
  <c r="M84" i="22" s="1"/>
  <c r="M85" i="22" s="1"/>
  <c r="M86" i="22" s="1"/>
  <c r="M87" i="22" s="1"/>
  <c r="M88" i="22" s="1"/>
  <c r="M89" i="22" s="1"/>
  <c r="M90" i="22" s="1"/>
  <c r="M91" i="22" s="1"/>
  <c r="L73" i="22"/>
  <c r="J73" i="22"/>
  <c r="J74" i="22" s="1"/>
  <c r="J75" i="22" s="1"/>
  <c r="J76" i="22" s="1"/>
  <c r="J77" i="22" s="1"/>
  <c r="J78" i="22" s="1"/>
  <c r="J79" i="22" s="1"/>
  <c r="J80" i="22" s="1"/>
  <c r="J81" i="22" s="1"/>
  <c r="J82" i="22" s="1"/>
  <c r="J83" i="22" s="1"/>
  <c r="J84" i="22" s="1"/>
  <c r="J85" i="22" s="1"/>
  <c r="J86" i="22" s="1"/>
  <c r="J87" i="22" s="1"/>
  <c r="J88" i="22" s="1"/>
  <c r="J89" i="22" s="1"/>
  <c r="J90" i="22" s="1"/>
  <c r="J91" i="22" s="1"/>
  <c r="I73" i="22"/>
  <c r="K73" i="22" s="1"/>
  <c r="G73" i="22"/>
  <c r="G121" i="5"/>
  <c r="K121" i="5" s="1"/>
  <c r="G120" i="5"/>
  <c r="K120" i="5" s="1"/>
  <c r="G123" i="5"/>
  <c r="K123" i="5" s="1"/>
  <c r="G36" i="6"/>
  <c r="G122" i="5"/>
  <c r="K122" i="5" s="1"/>
  <c r="I121" i="5"/>
  <c r="I120" i="5"/>
  <c r="I123" i="5"/>
  <c r="I122" i="5"/>
  <c r="I36" i="6"/>
  <c r="M121" i="5"/>
  <c r="M120" i="5"/>
  <c r="M123" i="5"/>
  <c r="M36" i="6"/>
  <c r="M122" i="5"/>
  <c r="K23" i="57"/>
  <c r="M32" i="6"/>
  <c r="M33" i="6"/>
  <c r="C32" i="6"/>
  <c r="C33" i="6"/>
  <c r="I32" i="6"/>
  <c r="I33" i="6"/>
  <c r="G33" i="6"/>
  <c r="G32" i="6"/>
  <c r="I95" i="5"/>
  <c r="G92" i="3"/>
  <c r="F74" i="46"/>
  <c r="F75" i="46" s="1"/>
  <c r="AG74" i="22"/>
  <c r="M74" i="46"/>
  <c r="M75" i="46"/>
  <c r="AA73" i="44"/>
  <c r="AA74" i="44" s="1"/>
  <c r="AA75" i="44" s="1"/>
  <c r="C74" i="44"/>
  <c r="C75" i="44" s="1"/>
  <c r="C76" i="44" s="1"/>
  <c r="C77" i="44" s="1"/>
  <c r="C78" i="44" s="1"/>
  <c r="C79" i="44" s="1"/>
  <c r="C80" i="44" s="1"/>
  <c r="C81" i="44" s="1"/>
  <c r="C82" i="44" s="1"/>
  <c r="C83" i="44" s="1"/>
  <c r="E74" i="44"/>
  <c r="E75" i="44"/>
  <c r="E76" i="44" s="1"/>
  <c r="E77" i="44" s="1"/>
  <c r="E78" i="44" s="1"/>
  <c r="E79" i="44" s="1"/>
  <c r="E80" i="44" s="1"/>
  <c r="E81" i="44" s="1"/>
  <c r="E82" i="44" s="1"/>
  <c r="E83" i="44" s="1"/>
  <c r="AH74" i="44"/>
  <c r="AH75" i="44" s="1"/>
  <c r="AI74" i="44"/>
  <c r="AI75" i="44" s="1"/>
  <c r="K74" i="44"/>
  <c r="K75" i="44"/>
  <c r="K76" i="44" s="1"/>
  <c r="K77" i="44" s="1"/>
  <c r="K78" i="44" s="1"/>
  <c r="K79" i="44" s="1"/>
  <c r="K80" i="44" s="1"/>
  <c r="K81" i="44" s="1"/>
  <c r="K82" i="44" s="1"/>
  <c r="K83" i="44" s="1"/>
  <c r="G74" i="44"/>
  <c r="G75" i="44" s="1"/>
  <c r="G76" i="44" s="1"/>
  <c r="G77" i="44" s="1"/>
  <c r="G78" i="44" s="1"/>
  <c r="G79" i="44" s="1"/>
  <c r="G80" i="44" s="1"/>
  <c r="G81" i="44" s="1"/>
  <c r="G82" i="44" s="1"/>
  <c r="G83" i="44" s="1"/>
  <c r="Z73" i="44"/>
  <c r="Z74" i="44" s="1"/>
  <c r="Z75" i="44" s="1"/>
  <c r="U74" i="44"/>
  <c r="U75" i="44" s="1"/>
  <c r="AG74" i="44"/>
  <c r="AG75" i="44" s="1"/>
  <c r="R73" i="22"/>
  <c r="D73" i="22"/>
  <c r="M107" i="5"/>
  <c r="C118" i="5"/>
  <c r="C37" i="6"/>
  <c r="C120" i="5"/>
  <c r="D73" i="48"/>
  <c r="D74" i="48" s="1"/>
  <c r="D75" i="48" s="1"/>
  <c r="E73" i="48"/>
  <c r="E74" i="48" s="1"/>
  <c r="E75" i="48" s="1"/>
  <c r="C73" i="48"/>
  <c r="C74" i="48" s="1"/>
  <c r="C75" i="48" s="1"/>
  <c r="C43" i="7"/>
  <c r="T74" i="44"/>
  <c r="T75" i="44"/>
  <c r="AE74" i="44"/>
  <c r="AE75" i="44" s="1"/>
  <c r="AG77" i="22" s="1"/>
  <c r="AG75" i="22"/>
  <c r="S74" i="44"/>
  <c r="S75" i="44"/>
  <c r="C44" i="7"/>
  <c r="C16" i="8"/>
  <c r="S73" i="24"/>
  <c r="J73" i="24"/>
  <c r="J74" i="24" s="1"/>
  <c r="J75" i="24" s="1"/>
  <c r="J76" i="24" s="1"/>
  <c r="J77" i="24" s="1"/>
  <c r="J78" i="24" s="1"/>
  <c r="J79" i="24" s="1"/>
  <c r="J80" i="24" s="1"/>
  <c r="J81" i="24" s="1"/>
  <c r="J82" i="24" s="1"/>
  <c r="J83" i="24" s="1"/>
  <c r="J84" i="24" s="1"/>
  <c r="J85" i="24" s="1"/>
  <c r="J86" i="24" s="1"/>
  <c r="J87" i="24" s="1"/>
  <c r="J88" i="24" s="1"/>
  <c r="J89" i="24" s="1"/>
  <c r="J90" i="24" s="1"/>
  <c r="J91" i="24" s="1"/>
  <c r="I73" i="24"/>
  <c r="G73" i="24"/>
  <c r="G74" i="24" s="1"/>
  <c r="G75" i="24" s="1"/>
  <c r="G76" i="24" s="1"/>
  <c r="G77" i="24" s="1"/>
  <c r="G78" i="24" s="1"/>
  <c r="G79" i="24" s="1"/>
  <c r="G80" i="24" s="1"/>
  <c r="G81" i="24" s="1"/>
  <c r="G82" i="24" s="1"/>
  <c r="G83" i="24" s="1"/>
  <c r="G84" i="24" s="1"/>
  <c r="G85" i="24" s="1"/>
  <c r="G86" i="24" s="1"/>
  <c r="G87" i="24" s="1"/>
  <c r="G88" i="24" s="1"/>
  <c r="G89" i="24" s="1"/>
  <c r="G90" i="24" s="1"/>
  <c r="G91" i="24" s="1"/>
  <c r="M73" i="24"/>
  <c r="M74" i="24" s="1"/>
  <c r="M75" i="24" s="1"/>
  <c r="M76" i="24" s="1"/>
  <c r="M77" i="24" s="1"/>
  <c r="M78" i="24" s="1"/>
  <c r="M79" i="24" s="1"/>
  <c r="M80" i="24" s="1"/>
  <c r="M81" i="24" s="1"/>
  <c r="M82" i="24" s="1"/>
  <c r="M83" i="24" s="1"/>
  <c r="M84" i="24" s="1"/>
  <c r="M85" i="24" s="1"/>
  <c r="M86" i="24" s="1"/>
  <c r="M87" i="24" s="1"/>
  <c r="M88" i="24" s="1"/>
  <c r="M89" i="24" s="1"/>
  <c r="M90" i="24" s="1"/>
  <c r="M91" i="24" s="1"/>
  <c r="D73" i="24"/>
  <c r="P73" i="24"/>
  <c r="P74" i="24" s="1"/>
  <c r="P75" i="24" s="1"/>
  <c r="P76" i="24" s="1"/>
  <c r="P77" i="24" s="1"/>
  <c r="P78" i="24" s="1"/>
  <c r="P79" i="24" s="1"/>
  <c r="P80" i="24" s="1"/>
  <c r="P81" i="24" s="1"/>
  <c r="P82" i="24" s="1"/>
  <c r="P83" i="24" s="1"/>
  <c r="P84" i="24" s="1"/>
  <c r="P85" i="24" s="1"/>
  <c r="P86" i="24" s="1"/>
  <c r="P87" i="24" s="1"/>
  <c r="P88" i="24" s="1"/>
  <c r="P89" i="24" s="1"/>
  <c r="P90" i="24" s="1"/>
  <c r="P91" i="24" s="1"/>
  <c r="I72" i="36"/>
  <c r="F72" i="36"/>
  <c r="L72" i="36"/>
  <c r="C72" i="36"/>
  <c r="M72" i="36"/>
  <c r="N72" i="36" s="1"/>
  <c r="D72" i="36"/>
  <c r="G72" i="36" s="1"/>
  <c r="J72" i="36"/>
  <c r="E72" i="36"/>
  <c r="H72" i="36" s="1"/>
  <c r="K72" i="36"/>
  <c r="C73" i="28"/>
  <c r="O73" i="24"/>
  <c r="C73" i="24"/>
  <c r="L73" i="24"/>
  <c r="F73" i="24"/>
  <c r="R73" i="24"/>
  <c r="D73" i="30"/>
  <c r="C73" i="30" s="1"/>
  <c r="D73" i="18"/>
  <c r="D74" i="18" s="1"/>
  <c r="D75" i="18" s="1"/>
  <c r="D76" i="18" s="1"/>
  <c r="D77" i="18" s="1"/>
  <c r="D78" i="18" s="1"/>
  <c r="D79" i="18" s="1"/>
  <c r="D80" i="18" s="1"/>
  <c r="D81" i="18" s="1"/>
  <c r="D82" i="18" s="1"/>
  <c r="D83" i="18" s="1"/>
  <c r="D84" i="18" s="1"/>
  <c r="D85" i="18" s="1"/>
  <c r="D86" i="18" s="1"/>
  <c r="D87" i="18" s="1"/>
  <c r="D88" i="18" s="1"/>
  <c r="D89" i="18" s="1"/>
  <c r="D90" i="18" s="1"/>
  <c r="D91" i="18" s="1"/>
  <c r="F73" i="18"/>
  <c r="G73" i="18" s="1"/>
  <c r="F74" i="18"/>
  <c r="F75" i="18"/>
  <c r="F76" i="18" s="1"/>
  <c r="F77" i="18" s="1"/>
  <c r="F78" i="18" s="1"/>
  <c r="F79" i="18" s="1"/>
  <c r="F80" i="18" s="1"/>
  <c r="F81" i="18" s="1"/>
  <c r="F82" i="18" s="1"/>
  <c r="F83" i="18" s="1"/>
  <c r="F84" i="18" s="1"/>
  <c r="F85" i="18" s="1"/>
  <c r="F86" i="18" s="1"/>
  <c r="F87" i="18" s="1"/>
  <c r="F88" i="18" s="1"/>
  <c r="F89" i="18" s="1"/>
  <c r="F90" i="18" s="1"/>
  <c r="F91" i="18" s="1"/>
  <c r="H73" i="18"/>
  <c r="H74" i="18" s="1"/>
  <c r="H75" i="18" s="1"/>
  <c r="H76" i="18" s="1"/>
  <c r="H77" i="18" s="1"/>
  <c r="H78" i="18" s="1"/>
  <c r="H79" i="18" s="1"/>
  <c r="H80" i="18" s="1"/>
  <c r="H81" i="18" s="1"/>
  <c r="H82" i="18" s="1"/>
  <c r="H83" i="18" s="1"/>
  <c r="H84" i="18" s="1"/>
  <c r="H85" i="18" s="1"/>
  <c r="H86" i="18" s="1"/>
  <c r="H87" i="18" s="1"/>
  <c r="H88" i="18" s="1"/>
  <c r="H89" i="18" s="1"/>
  <c r="H90" i="18" s="1"/>
  <c r="H91" i="18" s="1"/>
  <c r="I102" i="5"/>
  <c r="M94" i="5"/>
  <c r="E105" i="5"/>
  <c r="E104" i="5"/>
  <c r="E45" i="12"/>
  <c r="C95" i="5"/>
  <c r="U24" i="56"/>
  <c r="X24" i="56" s="1"/>
  <c r="X23" i="56"/>
  <c r="G29" i="4"/>
  <c r="W23" i="56"/>
  <c r="C98" i="5"/>
  <c r="G52" i="12"/>
  <c r="I51" i="12"/>
  <c r="E65" i="5"/>
  <c r="E88" i="5"/>
  <c r="E89" i="5"/>
  <c r="E66" i="5"/>
  <c r="E67" i="5"/>
  <c r="G56" i="12"/>
  <c r="I56" i="12" s="1"/>
  <c r="I55" i="12"/>
  <c r="E55" i="12"/>
  <c r="E22" i="5"/>
  <c r="E47" i="5"/>
  <c r="N62" i="12"/>
  <c r="L62" i="12" s="1"/>
  <c r="G61" i="12"/>
  <c r="G62" i="12" s="1"/>
  <c r="E29" i="5"/>
  <c r="E28" i="5"/>
  <c r="E53" i="12"/>
  <c r="E33" i="5"/>
  <c r="E32" i="5"/>
  <c r="E82" i="5"/>
  <c r="E86" i="5"/>
  <c r="E87" i="5"/>
  <c r="E57" i="12"/>
  <c r="G58" i="12"/>
  <c r="I58" i="12" s="1"/>
  <c r="C45" i="7"/>
  <c r="I77" i="46"/>
  <c r="I78" i="46" s="1"/>
  <c r="I79" i="46" s="1"/>
  <c r="M37" i="6"/>
  <c r="I37" i="6"/>
  <c r="G37" i="6"/>
  <c r="E37" i="4"/>
  <c r="C37" i="4"/>
  <c r="D79" i="20"/>
  <c r="D80" i="20" s="1"/>
  <c r="D81" i="20" s="1"/>
  <c r="D82" i="20" s="1"/>
  <c r="D83" i="20" s="1"/>
  <c r="D84" i="20" s="1"/>
  <c r="D85" i="20" s="1"/>
  <c r="D86" i="20" s="1"/>
  <c r="D87" i="20" s="1"/>
  <c r="D88" i="20" s="1"/>
  <c r="D89" i="20" s="1"/>
  <c r="D90" i="20" s="1"/>
  <c r="D91" i="20" s="1"/>
  <c r="U25" i="56"/>
  <c r="U26" i="56" s="1"/>
  <c r="U27" i="56" s="1"/>
  <c r="U28" i="56" s="1"/>
  <c r="H77" i="46"/>
  <c r="H78" i="46" s="1"/>
  <c r="H79" i="46" s="1"/>
  <c r="G77" i="46"/>
  <c r="G78" i="46" s="1"/>
  <c r="G79" i="46" s="1"/>
  <c r="AD81" i="42"/>
  <c r="AD82" i="42" s="1"/>
  <c r="AD83" i="42" s="1"/>
  <c r="I81" i="42"/>
  <c r="I82" i="42" s="1"/>
  <c r="I83" i="42" s="1"/>
  <c r="D81" i="42"/>
  <c r="D82" i="42" s="1"/>
  <c r="D83" i="42" s="1"/>
  <c r="E81" i="42"/>
  <c r="E82" i="42"/>
  <c r="E83" i="42" s="1"/>
  <c r="C81" i="42"/>
  <c r="C82" i="42" s="1"/>
  <c r="C83" i="42" s="1"/>
  <c r="F81" i="42"/>
  <c r="F82" i="42" s="1"/>
  <c r="F83" i="42" s="1"/>
  <c r="H81" i="42"/>
  <c r="H82" i="42" s="1"/>
  <c r="H83" i="42" s="1"/>
  <c r="C46" i="7"/>
  <c r="M108" i="5" l="1"/>
  <c r="M109" i="5"/>
  <c r="E98" i="5"/>
  <c r="E99" i="5"/>
  <c r="E77" i="5"/>
  <c r="E76" i="5"/>
  <c r="M111" i="5"/>
  <c r="M110" i="5"/>
  <c r="E81" i="5"/>
  <c r="E80" i="5"/>
  <c r="E100" i="5"/>
  <c r="E101" i="5"/>
  <c r="AB46" i="12"/>
  <c r="AB47" i="12" s="1"/>
  <c r="P45" i="20"/>
  <c r="I52" i="12"/>
  <c r="E52" i="12"/>
  <c r="I97" i="5"/>
  <c r="I96" i="5"/>
  <c r="C63" i="26"/>
  <c r="D62" i="26"/>
  <c r="S74" i="20"/>
  <c r="T74" i="20" s="1"/>
  <c r="E63" i="5"/>
  <c r="E62" i="5"/>
  <c r="AB17" i="12"/>
  <c r="K16" i="16"/>
  <c r="P16" i="20"/>
  <c r="AB53" i="12"/>
  <c r="AB54" i="12" s="1"/>
  <c r="P52" i="20"/>
  <c r="K52" i="16"/>
  <c r="Q73" i="24"/>
  <c r="G27" i="56"/>
  <c r="F26" i="56"/>
  <c r="AB30" i="12"/>
  <c r="K29" i="16"/>
  <c r="I49" i="12"/>
  <c r="G50" i="12"/>
  <c r="G106" i="5"/>
  <c r="K106" i="5" s="1"/>
  <c r="G107" i="5"/>
  <c r="K107" i="5" s="1"/>
  <c r="G46" i="12"/>
  <c r="P62" i="12"/>
  <c r="K25" i="16"/>
  <c r="AB26" i="12"/>
  <c r="P25" i="20"/>
  <c r="M101" i="5"/>
  <c r="M104" i="5"/>
  <c r="E92" i="5"/>
  <c r="E93" i="5"/>
  <c r="C106" i="5"/>
  <c r="C107" i="5"/>
  <c r="I62" i="12"/>
  <c r="E74" i="5"/>
  <c r="E57" i="5"/>
  <c r="E56" i="5"/>
  <c r="Z70" i="12"/>
  <c r="Y71" i="12"/>
  <c r="K44" i="16"/>
  <c r="P44" i="20"/>
  <c r="AB38" i="12"/>
  <c r="K37" i="16"/>
  <c r="P37" i="20"/>
  <c r="I72" i="12"/>
  <c r="E62" i="12"/>
  <c r="Q73" i="22"/>
  <c r="X74" i="44"/>
  <c r="E73" i="5"/>
  <c r="P72" i="12"/>
  <c r="G28" i="56"/>
  <c r="F27" i="56"/>
  <c r="X25" i="56"/>
  <c r="X26" i="56" s="1"/>
  <c r="X27" i="56" s="1"/>
  <c r="X28" i="56" s="1"/>
  <c r="F25" i="56"/>
  <c r="K23" i="54"/>
  <c r="K24" i="54" s="1"/>
  <c r="K25" i="54" s="1"/>
  <c r="K26" i="54" s="1"/>
  <c r="K27" i="54" s="1"/>
  <c r="K28" i="54" s="1"/>
  <c r="H73" i="24"/>
  <c r="D65" i="22"/>
  <c r="E64" i="22"/>
  <c r="H60" i="22"/>
  <c r="E63" i="22"/>
  <c r="I73" i="18"/>
  <c r="E73" i="18"/>
  <c r="M69" i="20"/>
  <c r="N69" i="20" s="1"/>
  <c r="M60" i="20"/>
  <c r="N60" i="20" s="1"/>
  <c r="N67" i="20"/>
  <c r="J73" i="18"/>
  <c r="AA63" i="12"/>
  <c r="O62" i="20"/>
  <c r="AB58" i="12"/>
  <c r="P57" i="20"/>
  <c r="K57" i="16"/>
  <c r="AI11" i="12"/>
  <c r="T10" i="10"/>
  <c r="AB42" i="12"/>
  <c r="K41" i="16"/>
  <c r="P41" i="20"/>
  <c r="K33" i="16"/>
  <c r="P33" i="20"/>
  <c r="AB34" i="12"/>
  <c r="L61" i="12"/>
  <c r="T9" i="10"/>
  <c r="Q60" i="20"/>
  <c r="P32" i="20"/>
  <c r="R61" i="20"/>
  <c r="K56" i="16"/>
  <c r="E61" i="34"/>
  <c r="AC62" i="12"/>
  <c r="AB21" i="12"/>
  <c r="L60" i="12"/>
  <c r="K26" i="16"/>
  <c r="R60" i="20"/>
  <c r="E61" i="12"/>
  <c r="E59" i="12"/>
  <c r="P47" i="20"/>
  <c r="K46" i="16"/>
  <c r="G60" i="12"/>
  <c r="K53" i="16"/>
  <c r="K48" i="16"/>
  <c r="AB60" i="12"/>
  <c r="I61" i="12"/>
  <c r="P46" i="20"/>
  <c r="R62" i="20"/>
  <c r="K45" i="16"/>
  <c r="L59" i="12"/>
  <c r="P53" i="20"/>
  <c r="E85" i="5"/>
  <c r="G95" i="5"/>
  <c r="K98" i="5"/>
  <c r="G103" i="5"/>
  <c r="K103" i="5" s="1"/>
  <c r="J103" i="5" s="1"/>
  <c r="E35" i="5"/>
  <c r="E40" i="5"/>
  <c r="C96" i="5"/>
  <c r="E25" i="5"/>
  <c r="C111" i="5"/>
  <c r="E91" i="5"/>
  <c r="I107" i="5"/>
  <c r="E94" i="5"/>
  <c r="E51" i="5"/>
  <c r="M103" i="5"/>
  <c r="E36" i="5"/>
  <c r="I101" i="5"/>
  <c r="E103" i="5"/>
  <c r="E39" i="5"/>
  <c r="E69" i="5"/>
  <c r="K93" i="5"/>
  <c r="G97" i="5"/>
  <c r="G104" i="5"/>
  <c r="K104" i="5" s="1"/>
  <c r="C105" i="5"/>
  <c r="E52" i="5"/>
  <c r="F30" i="4"/>
  <c r="F94" i="3"/>
  <c r="G93" i="3"/>
  <c r="S74" i="22"/>
  <c r="S75" i="22" s="1"/>
  <c r="T73" i="22"/>
  <c r="W24" i="56"/>
  <c r="T25" i="56"/>
  <c r="E58" i="12"/>
  <c r="D74" i="22"/>
  <c r="D75" i="22" s="1"/>
  <c r="E73" i="22"/>
  <c r="G74" i="22"/>
  <c r="G75" i="22" s="1"/>
  <c r="H73" i="22"/>
  <c r="E54" i="12"/>
  <c r="I54" i="12"/>
  <c r="F28" i="56"/>
  <c r="S75" i="20"/>
  <c r="T73" i="24"/>
  <c r="S74" i="24"/>
  <c r="S75" i="24" s="1"/>
  <c r="G93" i="5"/>
  <c r="G92" i="5"/>
  <c r="M92" i="5"/>
  <c r="E79" i="5"/>
  <c r="E78" i="5"/>
  <c r="E43" i="5"/>
  <c r="E42" i="5"/>
  <c r="E31" i="5"/>
  <c r="E30" i="5"/>
  <c r="Y66" i="12"/>
  <c r="Z65" i="12"/>
  <c r="E47" i="12"/>
  <c r="E49" i="12"/>
  <c r="I111" i="5"/>
  <c r="I112" i="5"/>
  <c r="G113" i="5"/>
  <c r="K113" i="5" s="1"/>
  <c r="C47" i="7"/>
  <c r="W20" i="13"/>
  <c r="D9" i="49"/>
  <c r="C20" i="27"/>
  <c r="AI9" i="45"/>
  <c r="P10" i="25"/>
  <c r="H11" i="43"/>
  <c r="U9" i="43"/>
  <c r="F24" i="45"/>
  <c r="L16" i="45"/>
  <c r="N10" i="25"/>
  <c r="Q24" i="21"/>
  <c r="E20" i="39"/>
  <c r="T15" i="13"/>
  <c r="W9" i="45"/>
  <c r="G15" i="37"/>
  <c r="H18" i="37"/>
  <c r="AA15" i="60"/>
  <c r="E16" i="33"/>
  <c r="U58" i="22"/>
  <c r="P21" i="43"/>
  <c r="AL21" i="45"/>
  <c r="Z18" i="13"/>
  <c r="AE14" i="13"/>
  <c r="G17" i="35"/>
  <c r="T24" i="11"/>
  <c r="F19" i="37"/>
  <c r="AC25" i="43"/>
  <c r="Q12" i="45"/>
  <c r="V22" i="43"/>
  <c r="E19" i="27"/>
  <c r="F25" i="35"/>
  <c r="AD16" i="13"/>
  <c r="AG22" i="45"/>
  <c r="E9" i="33"/>
  <c r="Y28" i="21"/>
  <c r="AF12" i="45"/>
  <c r="E20" i="45"/>
  <c r="D27" i="47"/>
  <c r="AW27" i="43"/>
  <c r="L8" i="47"/>
  <c r="F15" i="47"/>
  <c r="D19" i="33"/>
  <c r="G12" i="43"/>
  <c r="R11" i="13"/>
  <c r="I18" i="37"/>
  <c r="F15" i="19"/>
  <c r="R74" i="22"/>
  <c r="AA27" i="43"/>
  <c r="E26" i="53"/>
  <c r="N13" i="37"/>
  <c r="AB22" i="45"/>
  <c r="R25" i="43"/>
  <c r="D26" i="27"/>
  <c r="D27" i="27"/>
  <c r="C11" i="45"/>
  <c r="J11" i="6"/>
  <c r="R25" i="45"/>
  <c r="O20" i="19"/>
  <c r="D25" i="6"/>
  <c r="AH18" i="45"/>
  <c r="C22" i="31"/>
  <c r="D15" i="35"/>
  <c r="AJ8" i="45"/>
  <c r="AE19" i="13"/>
  <c r="I22" i="19"/>
  <c r="J14" i="45"/>
  <c r="AD28" i="45"/>
  <c r="H20" i="13"/>
  <c r="C84" i="44"/>
  <c r="M20" i="19"/>
  <c r="F17" i="25"/>
  <c r="P14" i="43"/>
  <c r="AJ26" i="45"/>
  <c r="K23" i="25"/>
  <c r="AB27" i="43"/>
  <c r="O26" i="43"/>
  <c r="J23" i="19"/>
  <c r="E22" i="33"/>
  <c r="N17" i="25"/>
  <c r="E24" i="35"/>
  <c r="C73" i="32"/>
  <c r="R13" i="13"/>
  <c r="I63" i="36"/>
  <c r="N23" i="19"/>
  <c r="F10" i="43"/>
  <c r="M20" i="47"/>
  <c r="O15" i="43"/>
  <c r="T17" i="45"/>
  <c r="I19" i="25"/>
  <c r="J15" i="19"/>
  <c r="H24" i="17"/>
  <c r="G23" i="43"/>
  <c r="I9" i="19"/>
  <c r="H17" i="35"/>
  <c r="AJ28" i="13"/>
  <c r="W10" i="43"/>
  <c r="AJ17" i="45"/>
  <c r="X22" i="45"/>
  <c r="I22" i="25"/>
  <c r="M73" i="36"/>
  <c r="S12" i="45"/>
  <c r="Q13" i="43"/>
  <c r="L11" i="25"/>
  <c r="C9" i="37"/>
  <c r="C8" i="47"/>
  <c r="AL14" i="45"/>
  <c r="H17" i="45"/>
  <c r="AZ27" i="43"/>
  <c r="F25" i="11"/>
  <c r="G16" i="43"/>
  <c r="C13" i="31"/>
  <c r="X11" i="43"/>
  <c r="T17" i="25"/>
  <c r="I11" i="35"/>
  <c r="F74" i="22"/>
  <c r="N14" i="19"/>
  <c r="T24" i="43"/>
  <c r="D12" i="31"/>
  <c r="Y25" i="60"/>
  <c r="AE28" i="23"/>
  <c r="Z13" i="25"/>
  <c r="L12" i="19"/>
  <c r="G13" i="19"/>
  <c r="E24" i="17"/>
  <c r="E21" i="45"/>
  <c r="L10" i="45"/>
  <c r="Z17" i="25"/>
  <c r="G14" i="37"/>
  <c r="F8" i="13"/>
  <c r="AG8" i="13"/>
  <c r="R15" i="45"/>
  <c r="D19" i="31"/>
  <c r="J27" i="43"/>
  <c r="V27" i="43"/>
  <c r="J28" i="43"/>
  <c r="H21" i="25"/>
  <c r="F26" i="43"/>
  <c r="AC14" i="43"/>
  <c r="C16" i="29"/>
  <c r="E16" i="43"/>
  <c r="C17" i="35"/>
  <c r="O27" i="13"/>
  <c r="D17" i="31"/>
  <c r="O11" i="37"/>
  <c r="AA62" i="22"/>
  <c r="V24" i="45"/>
  <c r="M21" i="47"/>
  <c r="AA19" i="13"/>
  <c r="G28" i="25"/>
  <c r="U23" i="25"/>
  <c r="E21" i="47"/>
  <c r="D8" i="35"/>
  <c r="H11" i="13"/>
  <c r="D20" i="29"/>
  <c r="N19" i="47"/>
  <c r="C28" i="27" a="1"/>
  <c r="E16" i="27"/>
  <c r="Y26" i="25"/>
  <c r="C20" i="33"/>
  <c r="T11" i="45"/>
  <c r="C17" i="27"/>
  <c r="AG23" i="13"/>
  <c r="O20" i="47"/>
  <c r="Y76" i="44"/>
  <c r="E28" i="53"/>
  <c r="K24" i="19"/>
  <c r="AL18" i="45"/>
  <c r="D20" i="47"/>
  <c r="AL12" i="45"/>
  <c r="I84" i="42"/>
  <c r="S68" i="20"/>
  <c r="P11" i="13"/>
  <c r="D76" i="48"/>
  <c r="I10" i="13"/>
  <c r="AI16" i="45"/>
  <c r="Y11" i="45"/>
  <c r="M14" i="43"/>
  <c r="F13" i="35"/>
  <c r="P28" i="19"/>
  <c r="Y21" i="13"/>
  <c r="AB17" i="43"/>
  <c r="AJ13" i="13"/>
  <c r="G21" i="43"/>
  <c r="U28" i="25"/>
  <c r="U18" i="25"/>
  <c r="Y12" i="45"/>
  <c r="K12" i="43"/>
  <c r="AC17" i="43"/>
  <c r="Y9" i="45"/>
  <c r="D28" i="47"/>
  <c r="D8" i="43"/>
  <c r="Z17" i="43"/>
  <c r="M25" i="23"/>
  <c r="AE12" i="13"/>
  <c r="H11" i="35"/>
  <c r="Y19" i="43"/>
  <c r="N13" i="19"/>
  <c r="V15" i="25"/>
  <c r="E22" i="43"/>
  <c r="L8" i="37"/>
  <c r="L22" i="19"/>
  <c r="D13" i="19"/>
  <c r="G26" i="45"/>
  <c r="V9" i="43"/>
  <c r="Z20" i="13"/>
  <c r="K19" i="25"/>
  <c r="S17" i="25"/>
  <c r="I11" i="45"/>
  <c r="L17" i="13"/>
  <c r="U18" i="45"/>
  <c r="W28" i="25"/>
  <c r="J19" i="6"/>
  <c r="E13" i="13"/>
  <c r="E10" i="45"/>
  <c r="J24" i="47"/>
  <c r="V27" i="45"/>
  <c r="AD21" i="43"/>
  <c r="D18" i="35"/>
  <c r="X23" i="43"/>
  <c r="E9" i="43"/>
  <c r="AB21" i="45"/>
  <c r="S17" i="45"/>
  <c r="AD16" i="45"/>
  <c r="F24" i="19"/>
  <c r="M10" i="19"/>
  <c r="E26" i="35"/>
  <c r="AD11" i="45"/>
  <c r="N28" i="11"/>
  <c r="S14" i="43"/>
  <c r="J11" i="45"/>
  <c r="H10" i="33"/>
  <c r="F10" i="19"/>
  <c r="S64" i="12"/>
  <c r="AC76" i="12"/>
  <c r="AA14" i="21"/>
  <c r="K17" i="43"/>
  <c r="F24" i="53"/>
  <c r="C25" i="39"/>
  <c r="C12" i="43"/>
  <c r="J16" i="43"/>
  <c r="J16" i="19"/>
  <c r="K15" i="45"/>
  <c r="D19" i="39"/>
  <c r="M16" i="25"/>
  <c r="K28" i="19"/>
  <c r="C9" i="47"/>
  <c r="F11" i="47"/>
  <c r="E8" i="49"/>
  <c r="AB15" i="60"/>
  <c r="P12" i="13"/>
  <c r="C11" i="29"/>
  <c r="W17" i="13"/>
  <c r="E26" i="43"/>
  <c r="P13" i="13"/>
  <c r="V14" i="25"/>
  <c r="I15" i="13"/>
  <c r="D22" i="35"/>
  <c r="M12" i="37"/>
  <c r="C18" i="31"/>
  <c r="G11" i="33"/>
  <c r="J25" i="11"/>
  <c r="I16" i="45"/>
  <c r="F20" i="43"/>
  <c r="C20" i="19"/>
  <c r="W11" i="25"/>
  <c r="K14" i="13"/>
  <c r="K17" i="37"/>
  <c r="O13" i="47"/>
  <c r="V16" i="45"/>
  <c r="Y24" i="60"/>
  <c r="V27" i="25"/>
  <c r="I20" i="45"/>
  <c r="AD11" i="13"/>
  <c r="H16" i="43"/>
  <c r="F10" i="45"/>
  <c r="H25" i="19"/>
  <c r="AG19" i="13"/>
  <c r="E10" i="37"/>
  <c r="F28" i="11"/>
  <c r="G19" i="33"/>
  <c r="AC12" i="45"/>
  <c r="H10" i="19"/>
  <c r="I25" i="17"/>
  <c r="F27" i="35"/>
  <c r="I73" i="36"/>
  <c r="K16" i="43"/>
  <c r="E18" i="35"/>
  <c r="H80" i="46"/>
  <c r="AJ19" i="13"/>
  <c r="C25" i="53"/>
  <c r="O10" i="47"/>
  <c r="W28" i="21"/>
  <c r="O8" i="47"/>
  <c r="AD18" i="43"/>
  <c r="G9" i="43"/>
  <c r="R23" i="43"/>
  <c r="C63" i="36"/>
  <c r="Q9" i="13"/>
  <c r="Y27" i="25"/>
  <c r="F26" i="19"/>
  <c r="AE10" i="45"/>
  <c r="M23" i="45"/>
  <c r="D8" i="19"/>
  <c r="AK9" i="45"/>
  <c r="D10" i="37"/>
  <c r="AH23" i="13"/>
  <c r="K18" i="37"/>
  <c r="M18" i="47"/>
  <c r="X18" i="13"/>
  <c r="Y18" i="45"/>
  <c r="C20" i="25"/>
  <c r="C15" i="33"/>
  <c r="D22" i="29"/>
  <c r="N17" i="47"/>
  <c r="T26" i="11"/>
  <c r="S11" i="45"/>
  <c r="D17" i="13"/>
  <c r="K19" i="45"/>
  <c r="F11" i="33"/>
  <c r="N15" i="25"/>
  <c r="AE68" i="44"/>
  <c r="AH19" i="45"/>
  <c r="H12" i="25"/>
  <c r="D84" i="42"/>
  <c r="R13" i="45"/>
  <c r="P25" i="43"/>
  <c r="L16" i="37"/>
  <c r="F21" i="25"/>
  <c r="AF27" i="13"/>
  <c r="AC16" i="43"/>
  <c r="C21" i="29"/>
  <c r="AH22" i="13"/>
  <c r="O26" i="37"/>
  <c r="AC8" i="45"/>
  <c r="K24" i="17"/>
  <c r="D9" i="27"/>
  <c r="D16" i="37"/>
  <c r="M10" i="13"/>
  <c r="P28" i="45"/>
  <c r="F27" i="39"/>
  <c r="F10" i="33"/>
  <c r="N23" i="25"/>
  <c r="J16" i="13"/>
  <c r="D26" i="15"/>
  <c r="M15" i="45"/>
  <c r="F18" i="43"/>
  <c r="AK17" i="45"/>
  <c r="L14" i="43"/>
  <c r="AE80" i="42"/>
  <c r="V25" i="43"/>
  <c r="H21" i="33"/>
  <c r="F73" i="20"/>
  <c r="AC11" i="43"/>
  <c r="Y22" i="43"/>
  <c r="Y20" i="25"/>
  <c r="AD22" i="45"/>
  <c r="L18" i="13"/>
  <c r="AI26" i="43"/>
  <c r="W8" i="45"/>
  <c r="M19" i="19"/>
  <c r="F8" i="25"/>
  <c r="N20" i="13"/>
  <c r="Z18" i="60"/>
  <c r="C28" i="35"/>
  <c r="E19" i="25"/>
  <c r="Q22" i="43"/>
  <c r="Q14" i="13"/>
  <c r="AJ16" i="45"/>
  <c r="I20" i="35"/>
  <c r="E21" i="33"/>
  <c r="Z25" i="60"/>
  <c r="I24" i="45"/>
  <c r="N27" i="47"/>
  <c r="K12" i="47"/>
  <c r="AG22" i="13"/>
  <c r="AE27" i="13"/>
  <c r="Q24" i="43"/>
  <c r="W14" i="25"/>
  <c r="C16" i="35"/>
  <c r="X9" i="25"/>
  <c r="AI76" i="44"/>
  <c r="AX27" i="43"/>
  <c r="Q17" i="43"/>
  <c r="F28" i="39"/>
  <c r="M16" i="37"/>
  <c r="J28" i="21"/>
  <c r="S12" i="43"/>
  <c r="Z25" i="43"/>
  <c r="R21" i="43"/>
  <c r="AF20" i="45"/>
  <c r="D17" i="35"/>
  <c r="T28" i="13"/>
  <c r="D18" i="19"/>
  <c r="I9" i="35"/>
  <c r="W22" i="43"/>
  <c r="E10" i="25"/>
  <c r="AG26" i="13"/>
  <c r="D14" i="19"/>
  <c r="X26" i="23"/>
  <c r="AK25" i="45"/>
  <c r="AA20" i="21"/>
  <c r="T14" i="43"/>
  <c r="O9" i="43"/>
  <c r="W19" i="13"/>
  <c r="AF24" i="23"/>
  <c r="D23" i="25"/>
  <c r="W24" i="21"/>
  <c r="N21" i="43"/>
  <c r="I16" i="35"/>
  <c r="V8" i="13"/>
  <c r="N18" i="37"/>
  <c r="Z15" i="25"/>
  <c r="C9" i="35"/>
  <c r="Z16" i="45"/>
  <c r="X17" i="45"/>
  <c r="G26" i="39"/>
  <c r="S15" i="25"/>
  <c r="X13" i="13"/>
  <c r="R18" i="25"/>
  <c r="AA12" i="43"/>
  <c r="Y11" i="13"/>
  <c r="J63" i="12"/>
  <c r="AC13" i="43"/>
  <c r="AA72" i="12"/>
  <c r="E24" i="49"/>
  <c r="V10" i="13"/>
  <c r="Z26" i="25"/>
  <c r="AD19" i="45"/>
  <c r="O23" i="19"/>
  <c r="D19" i="29"/>
  <c r="D15" i="19"/>
  <c r="AG76" i="44"/>
  <c r="C24" i="39"/>
  <c r="W11" i="13"/>
  <c r="R9" i="43"/>
  <c r="S10" i="13"/>
  <c r="AA11" i="21"/>
  <c r="M12" i="25"/>
  <c r="E27" i="51"/>
  <c r="E10" i="33"/>
  <c r="D16" i="25"/>
  <c r="AL16" i="45"/>
  <c r="N17" i="37"/>
  <c r="J14" i="43"/>
  <c r="D17" i="29"/>
  <c r="N21" i="25"/>
  <c r="G18" i="43"/>
  <c r="AI25" i="13"/>
  <c r="W17" i="25"/>
  <c r="R11" i="43"/>
  <c r="I24" i="43"/>
  <c r="M27" i="25"/>
  <c r="O88" i="46"/>
  <c r="L13" i="13"/>
  <c r="K8" i="45"/>
  <c r="AJ21" i="13"/>
  <c r="Q16" i="43"/>
  <c r="E68" i="46"/>
  <c r="T18" i="25"/>
  <c r="X23" i="25"/>
  <c r="AG13" i="13"/>
  <c r="C26" i="43"/>
  <c r="G13" i="37"/>
  <c r="D24" i="19"/>
  <c r="J57" i="36"/>
  <c r="U28" i="13"/>
  <c r="F8" i="19"/>
  <c r="AG25" i="13"/>
  <c r="D21" i="33"/>
  <c r="G23" i="25"/>
  <c r="J15" i="43"/>
  <c r="O15" i="25"/>
  <c r="AB12" i="43"/>
  <c r="U11" i="13"/>
  <c r="F8" i="33"/>
  <c r="D20" i="6"/>
  <c r="S17" i="13"/>
  <c r="J23" i="17"/>
  <c r="Q10" i="25"/>
  <c r="D11" i="29"/>
  <c r="N19" i="13"/>
  <c r="N9" i="13"/>
  <c r="L23" i="19"/>
  <c r="C76" i="42"/>
  <c r="C15" i="29"/>
  <c r="V24" i="43"/>
  <c r="E14" i="19"/>
  <c r="AB10" i="45"/>
  <c r="AB26" i="45"/>
  <c r="G22" i="33"/>
  <c r="E16" i="37"/>
  <c r="Y25" i="21"/>
  <c r="Y24" i="23"/>
  <c r="D24" i="39"/>
  <c r="AF28" i="13"/>
  <c r="H19" i="37"/>
  <c r="Q9" i="45"/>
  <c r="E25" i="47"/>
  <c r="C18" i="43"/>
  <c r="C28" i="53"/>
  <c r="G9" i="37"/>
  <c r="O10" i="43"/>
  <c r="O13" i="43"/>
  <c r="AB23" i="13"/>
  <c r="H19" i="13"/>
  <c r="H18" i="19"/>
  <c r="I10" i="37"/>
  <c r="S18" i="13"/>
  <c r="D26" i="35"/>
  <c r="V13" i="25"/>
  <c r="AH26" i="43"/>
  <c r="AA8" i="45"/>
  <c r="AH17" i="13"/>
  <c r="H14" i="43"/>
  <c r="F18" i="47"/>
  <c r="E16" i="19"/>
  <c r="L9" i="13"/>
  <c r="I21" i="25"/>
  <c r="F12" i="33"/>
  <c r="R20" i="25"/>
  <c r="M11" i="43"/>
  <c r="T24" i="45"/>
  <c r="AL15" i="45"/>
  <c r="U14" i="45"/>
  <c r="G11" i="19"/>
  <c r="J9" i="25"/>
  <c r="H27" i="19"/>
  <c r="Z14" i="25"/>
  <c r="K8" i="25"/>
  <c r="H10" i="13"/>
  <c r="V24" i="21"/>
  <c r="N16" i="47"/>
  <c r="U25" i="43"/>
  <c r="M9" i="45"/>
  <c r="I26" i="53"/>
  <c r="G27" i="39"/>
  <c r="D9" i="35"/>
  <c r="G21" i="35"/>
  <c r="W16" i="13"/>
  <c r="G19" i="19"/>
  <c r="D27" i="41"/>
  <c r="AD21" i="13"/>
  <c r="R8" i="25"/>
  <c r="S18" i="43"/>
  <c r="Z26" i="43"/>
  <c r="H15" i="33"/>
  <c r="D23" i="39"/>
  <c r="P21" i="25"/>
  <c r="G13" i="33"/>
  <c r="V24" i="25"/>
  <c r="F10" i="37"/>
  <c r="I16" i="43"/>
  <c r="O11" i="43"/>
  <c r="G14" i="35"/>
  <c r="T10" i="13"/>
  <c r="U17" i="43"/>
  <c r="H28" i="17"/>
  <c r="G9" i="19"/>
  <c r="AC24" i="45"/>
  <c r="H10" i="43"/>
  <c r="AD8" i="45"/>
  <c r="I14" i="45"/>
  <c r="Q8" i="45"/>
  <c r="H22" i="43"/>
  <c r="AF22" i="13"/>
  <c r="F68" i="46"/>
  <c r="X15" i="45"/>
  <c r="AG9" i="13"/>
  <c r="H18" i="43"/>
  <c r="L63" i="36"/>
  <c r="O20" i="43"/>
  <c r="D30" i="6"/>
  <c r="Z16" i="13"/>
  <c r="Z8" i="25"/>
  <c r="O10" i="13"/>
  <c r="AB23" i="45"/>
  <c r="C60" i="40"/>
  <c r="M14" i="13"/>
  <c r="I17" i="37"/>
  <c r="D15" i="47"/>
  <c r="J21" i="45"/>
  <c r="Z8" i="13"/>
  <c r="J14" i="6"/>
  <c r="K13" i="43"/>
  <c r="D32" i="6"/>
  <c r="R8" i="43"/>
  <c r="F23" i="25"/>
  <c r="AD10" i="13"/>
  <c r="AE23" i="13"/>
  <c r="P25" i="19"/>
  <c r="O22" i="37"/>
  <c r="D26" i="6"/>
  <c r="L8" i="13"/>
  <c r="M22" i="45"/>
  <c r="E19" i="39"/>
  <c r="F73" i="36"/>
  <c r="F11" i="25"/>
  <c r="I80" i="46"/>
  <c r="D28" i="39"/>
  <c r="AG18" i="45"/>
  <c r="R16" i="43"/>
  <c r="L8" i="45"/>
  <c r="N14" i="25"/>
  <c r="Q10" i="13"/>
  <c r="N13" i="43"/>
  <c r="J21" i="25"/>
  <c r="D15" i="27"/>
  <c r="AD72" i="12"/>
  <c r="T16" i="45"/>
  <c r="S25" i="11"/>
  <c r="P20" i="13"/>
  <c r="G9" i="25"/>
  <c r="E20" i="25"/>
  <c r="F24" i="43"/>
  <c r="C26" i="53"/>
  <c r="AA20" i="45"/>
  <c r="X20" i="25"/>
  <c r="E8" i="33"/>
  <c r="C84" i="46"/>
  <c r="O17" i="37"/>
  <c r="M22" i="47"/>
  <c r="D11" i="45"/>
  <c r="D26" i="11"/>
  <c r="AE20" i="45"/>
  <c r="E15" i="37"/>
  <c r="G19" i="25"/>
  <c r="K11" i="19"/>
  <c r="L23" i="43"/>
  <c r="AD76" i="42"/>
  <c r="AC24" i="43"/>
  <c r="W24" i="45"/>
  <c r="J19" i="25"/>
  <c r="O13" i="37"/>
  <c r="C12" i="13"/>
  <c r="M19" i="45"/>
  <c r="AK27" i="45"/>
  <c r="AJ19" i="45"/>
  <c r="W24" i="13"/>
  <c r="C76" i="48"/>
  <c r="Z12" i="13"/>
  <c r="R26" i="45"/>
  <c r="AI13" i="45"/>
  <c r="D20" i="31"/>
  <c r="S26" i="43"/>
  <c r="G21" i="45"/>
  <c r="O18" i="45"/>
  <c r="T12" i="25"/>
  <c r="E18" i="43"/>
  <c r="U17" i="25"/>
  <c r="L80" i="46"/>
  <c r="M8" i="37"/>
  <c r="H12" i="33"/>
  <c r="D14" i="43"/>
  <c r="M16" i="47"/>
  <c r="K21" i="19"/>
  <c r="L17" i="19"/>
  <c r="J26" i="53"/>
  <c r="P26" i="19"/>
  <c r="L15" i="25"/>
  <c r="D10" i="31"/>
  <c r="J11" i="19"/>
  <c r="H19" i="33"/>
  <c r="I8" i="43"/>
  <c r="D15" i="25"/>
  <c r="F27" i="53"/>
  <c r="H20" i="45"/>
  <c r="T20" i="45"/>
  <c r="AF19" i="13"/>
  <c r="Q11" i="45"/>
  <c r="AH18" i="13"/>
  <c r="I13" i="43"/>
  <c r="AJ21" i="45"/>
  <c r="D14" i="31"/>
  <c r="H26" i="19"/>
  <c r="AA8" i="43"/>
  <c r="F10" i="47"/>
  <c r="C16" i="37"/>
  <c r="D24" i="27"/>
  <c r="K19" i="37"/>
  <c r="J10" i="13"/>
  <c r="N12" i="25"/>
  <c r="I15" i="43"/>
  <c r="Q72" i="12"/>
  <c r="E8" i="43"/>
  <c r="AC22" i="43"/>
  <c r="AH8" i="13"/>
  <c r="AK18" i="45"/>
  <c r="AC26" i="60"/>
  <c r="AG24" i="13"/>
  <c r="K17" i="47"/>
  <c r="AD19" i="43"/>
  <c r="C8" i="43"/>
  <c r="U19" i="45"/>
  <c r="X28" i="25"/>
  <c r="O16" i="13"/>
  <c r="P12" i="25"/>
  <c r="D8" i="27"/>
  <c r="AG28" i="13"/>
  <c r="N18" i="43"/>
  <c r="Z22" i="25"/>
  <c r="I9" i="37"/>
  <c r="AE14" i="45"/>
  <c r="H22" i="33"/>
  <c r="T16" i="25"/>
  <c r="M12" i="43"/>
  <c r="P15" i="13"/>
  <c r="AD15" i="45"/>
  <c r="D14" i="37"/>
  <c r="AA76" i="12"/>
  <c r="AW26" i="43"/>
  <c r="K20" i="45"/>
  <c r="AM22" i="45"/>
  <c r="D18" i="41"/>
  <c r="F15" i="43"/>
  <c r="E15" i="35"/>
  <c r="R16" i="25"/>
  <c r="AI26" i="13"/>
  <c r="C9" i="33"/>
  <c r="D17" i="37"/>
  <c r="L14" i="37"/>
  <c r="S13" i="25"/>
  <c r="E19" i="19"/>
  <c r="S8" i="13"/>
  <c r="AB24" i="43"/>
  <c r="H21" i="43"/>
  <c r="G15" i="45"/>
  <c r="D22" i="19"/>
  <c r="AM25" i="45"/>
  <c r="I13" i="37"/>
  <c r="C18" i="35"/>
  <c r="AH76" i="44"/>
  <c r="C11" i="47"/>
  <c r="D15" i="13"/>
  <c r="D15" i="29"/>
  <c r="K8" i="47"/>
  <c r="E27" i="39"/>
  <c r="Q18" i="25"/>
  <c r="D26" i="19"/>
  <c r="P26" i="23"/>
  <c r="C21" i="47"/>
  <c r="E11" i="25"/>
  <c r="G11" i="13"/>
  <c r="M20" i="13"/>
  <c r="M57" i="36"/>
  <c r="M26" i="23"/>
  <c r="N11" i="19"/>
  <c r="AD24" i="43"/>
  <c r="D28" i="51"/>
  <c r="V20" i="45"/>
  <c r="G24" i="21"/>
  <c r="G19" i="37"/>
  <c r="K11" i="45"/>
  <c r="E76" i="42"/>
  <c r="N9" i="19"/>
  <c r="Z26" i="60"/>
  <c r="J17" i="13"/>
  <c r="R20" i="13"/>
  <c r="J20" i="25"/>
  <c r="L20" i="43"/>
  <c r="D21" i="43"/>
  <c r="O21" i="47"/>
  <c r="AA13" i="43"/>
  <c r="T15" i="45"/>
  <c r="N16" i="13"/>
  <c r="D16" i="43"/>
  <c r="E21" i="43"/>
  <c r="AC19" i="13"/>
  <c r="J12" i="43"/>
  <c r="S16" i="43"/>
  <c r="E23" i="19"/>
  <c r="D14" i="25"/>
  <c r="C26" i="27" a="1"/>
  <c r="AA21" i="45"/>
  <c r="C26" i="39"/>
  <c r="Z24" i="45"/>
  <c r="T17" i="13"/>
  <c r="Y25" i="23"/>
  <c r="I24" i="47"/>
  <c r="J28" i="11"/>
  <c r="G16" i="25"/>
  <c r="AI8" i="45"/>
  <c r="AA22" i="21"/>
  <c r="O20" i="37"/>
  <c r="U24" i="43"/>
  <c r="U18" i="13"/>
  <c r="AA21" i="21"/>
  <c r="V9" i="25"/>
  <c r="Q10" i="45"/>
  <c r="AE22" i="13"/>
  <c r="AY28" i="43"/>
  <c r="O16" i="25"/>
  <c r="AB8" i="45"/>
  <c r="S21" i="13"/>
  <c r="H8" i="25"/>
  <c r="E11" i="13"/>
  <c r="S24" i="43"/>
  <c r="Z27" i="21"/>
  <c r="F8" i="35"/>
  <c r="C16" i="25"/>
  <c r="C16" i="47"/>
  <c r="P18" i="13"/>
  <c r="J18" i="43"/>
  <c r="U10" i="25"/>
  <c r="AI28" i="43"/>
  <c r="J9" i="45"/>
  <c r="G15" i="19"/>
  <c r="C15" i="31"/>
  <c r="L10" i="25"/>
  <c r="M10" i="47"/>
  <c r="S14" i="13"/>
  <c r="K19" i="19"/>
  <c r="H9" i="33"/>
  <c r="G28" i="53"/>
  <c r="T13" i="45"/>
  <c r="C21" i="31"/>
  <c r="K18" i="47"/>
  <c r="D19" i="27"/>
  <c r="I12" i="37"/>
  <c r="W27" i="43"/>
  <c r="F8" i="47"/>
  <c r="C10" i="13"/>
  <c r="G18" i="39"/>
  <c r="W27" i="25"/>
  <c r="Q22" i="25"/>
  <c r="AA18" i="43"/>
  <c r="C23" i="19"/>
  <c r="D27" i="35"/>
  <c r="G19" i="13"/>
  <c r="J13" i="37"/>
  <c r="E10" i="47"/>
  <c r="F62" i="22"/>
  <c r="Z28" i="43"/>
  <c r="G14" i="33"/>
  <c r="Z11" i="25"/>
  <c r="R22" i="13"/>
  <c r="K11" i="43"/>
  <c r="E9" i="49"/>
  <c r="H22" i="19"/>
  <c r="P9" i="13"/>
  <c r="D13" i="35"/>
  <c r="AC27" i="23"/>
  <c r="X17" i="25"/>
  <c r="H28" i="19"/>
  <c r="V15" i="45"/>
  <c r="AG17" i="13"/>
  <c r="G21" i="25"/>
  <c r="S21" i="43"/>
  <c r="AM21" i="45"/>
  <c r="D28" i="45"/>
  <c r="P17" i="19"/>
  <c r="R21" i="45"/>
  <c r="C12" i="19"/>
  <c r="I21" i="19"/>
  <c r="E15" i="27"/>
  <c r="W18" i="43"/>
  <c r="V10" i="45"/>
  <c r="H18" i="45"/>
  <c r="P18" i="43"/>
  <c r="V17" i="45"/>
  <c r="S13" i="43"/>
  <c r="W22" i="45"/>
  <c r="I74" i="22"/>
  <c r="AD18" i="45"/>
  <c r="AH22" i="45"/>
  <c r="E21" i="39"/>
  <c r="C22" i="39"/>
  <c r="V26" i="25"/>
  <c r="F9" i="35"/>
  <c r="O9" i="47"/>
  <c r="X11" i="25"/>
  <c r="J27" i="11"/>
  <c r="Y27" i="23"/>
  <c r="G68" i="44"/>
  <c r="AC10" i="13"/>
  <c r="X27" i="25"/>
  <c r="M20" i="25"/>
  <c r="Q19" i="43"/>
  <c r="D16" i="19"/>
  <c r="N20" i="43"/>
  <c r="O24" i="45"/>
  <c r="Z68" i="44"/>
  <c r="U25" i="25"/>
  <c r="Y15" i="25"/>
  <c r="AH14" i="13"/>
  <c r="R62" i="22"/>
  <c r="V15" i="43"/>
  <c r="T9" i="45"/>
  <c r="G25" i="17"/>
  <c r="AD25" i="45"/>
  <c r="D13" i="6"/>
  <c r="P11" i="43"/>
  <c r="C22" i="43"/>
  <c r="S15" i="43"/>
  <c r="F9" i="37"/>
  <c r="S22" i="25"/>
  <c r="V9" i="13"/>
  <c r="C21" i="45"/>
  <c r="AG21" i="13"/>
  <c r="G18" i="19"/>
  <c r="L15" i="19"/>
  <c r="F17" i="45"/>
  <c r="F18" i="39"/>
  <c r="F17" i="47"/>
  <c r="U19" i="13"/>
  <c r="J24" i="21"/>
  <c r="AB24" i="21"/>
  <c r="AF11" i="45"/>
  <c r="D26" i="25"/>
  <c r="N10" i="19"/>
  <c r="Y21" i="25"/>
  <c r="G27" i="43"/>
  <c r="U9" i="45"/>
  <c r="AH17" i="45"/>
  <c r="V21" i="25"/>
  <c r="K17" i="13"/>
  <c r="X17" i="13"/>
  <c r="Z76" i="44"/>
  <c r="F26" i="35"/>
  <c r="F22" i="43"/>
  <c r="H11" i="33"/>
  <c r="W25" i="43"/>
  <c r="Z22" i="43"/>
  <c r="AH12" i="13"/>
  <c r="Z28" i="60"/>
  <c r="O22" i="19"/>
  <c r="L26" i="45"/>
  <c r="AL9" i="45"/>
  <c r="J73" i="36"/>
  <c r="H15" i="35"/>
  <c r="AC12" i="43"/>
  <c r="I16" i="13"/>
  <c r="X26" i="21"/>
  <c r="E24" i="43"/>
  <c r="G23" i="39"/>
  <c r="O22" i="25"/>
  <c r="E57" i="36"/>
  <c r="C19" i="35"/>
  <c r="I25" i="35"/>
  <c r="H16" i="25"/>
  <c r="M26" i="43"/>
  <c r="E10" i="19"/>
  <c r="AI11" i="45"/>
  <c r="F19" i="19"/>
  <c r="F15" i="33"/>
  <c r="I27" i="35"/>
  <c r="E9" i="13"/>
  <c r="R10" i="43"/>
  <c r="R22" i="45"/>
  <c r="Y28" i="60"/>
  <c r="C11" i="37"/>
  <c r="S9" i="25"/>
  <c r="M8" i="13"/>
  <c r="I25" i="45"/>
  <c r="D14" i="45"/>
  <c r="E26" i="51"/>
  <c r="D28" i="53"/>
  <c r="D23" i="29"/>
  <c r="D63" i="36"/>
  <c r="D73" i="32"/>
  <c r="V14" i="43"/>
  <c r="C8" i="27"/>
  <c r="L73" i="10"/>
  <c r="G15" i="43"/>
  <c r="X16" i="43"/>
  <c r="E27" i="17"/>
  <c r="Z8" i="43"/>
  <c r="AG68" i="44"/>
  <c r="E11" i="43"/>
  <c r="G25" i="21"/>
  <c r="AI20" i="45"/>
  <c r="V19" i="25"/>
  <c r="D11" i="25"/>
  <c r="P22" i="25"/>
  <c r="E9" i="45"/>
  <c r="Y23" i="25"/>
  <c r="D20" i="13"/>
  <c r="AD13" i="13"/>
  <c r="G9" i="13"/>
  <c r="O10" i="19"/>
  <c r="O25" i="43"/>
  <c r="O12" i="43"/>
  <c r="G24" i="47"/>
  <c r="L73" i="20"/>
  <c r="AD16" i="43"/>
  <c r="D21" i="31"/>
  <c r="R12" i="45"/>
  <c r="W19" i="43"/>
  <c r="J20" i="19"/>
  <c r="AE13" i="45"/>
  <c r="R15" i="13"/>
  <c r="Q17" i="25"/>
  <c r="O11" i="19"/>
  <c r="AH28" i="13"/>
  <c r="AF12" i="13"/>
  <c r="P25" i="23"/>
  <c r="X26" i="25"/>
  <c r="G13" i="35"/>
  <c r="AK21" i="45"/>
  <c r="N19" i="19"/>
  <c r="S16" i="13"/>
  <c r="E25" i="35"/>
  <c r="AD19" i="13"/>
  <c r="C26" i="35"/>
  <c r="O12" i="13"/>
  <c r="W17" i="45"/>
  <c r="AC20" i="13"/>
  <c r="Z20" i="60"/>
  <c r="T18" i="13"/>
  <c r="L11" i="43"/>
  <c r="H26" i="43"/>
  <c r="R16" i="45"/>
  <c r="O27" i="47"/>
  <c r="G18" i="37"/>
  <c r="AC16" i="45"/>
  <c r="N10" i="37"/>
  <c r="AT26" i="43"/>
  <c r="V26" i="13"/>
  <c r="N28" i="43"/>
  <c r="F17" i="33"/>
  <c r="AE25" i="13"/>
  <c r="J25" i="6"/>
  <c r="E25" i="39"/>
  <c r="AD9" i="43"/>
  <c r="M8" i="25"/>
  <c r="F19" i="39"/>
  <c r="U22" i="25"/>
  <c r="N10" i="13"/>
  <c r="F76" i="42"/>
  <c r="Y15" i="13"/>
  <c r="I28" i="53"/>
  <c r="Q16" i="25"/>
  <c r="I8" i="13"/>
  <c r="F19" i="43"/>
  <c r="AE13" i="13"/>
  <c r="C17" i="29"/>
  <c r="O23" i="25"/>
  <c r="S8" i="25"/>
  <c r="AM28" i="45"/>
  <c r="J14" i="19"/>
  <c r="S20" i="25"/>
  <c r="U10" i="43"/>
  <c r="O18" i="19"/>
  <c r="J20" i="45"/>
  <c r="I10" i="45"/>
  <c r="C68" i="44"/>
  <c r="H24" i="47"/>
  <c r="X15" i="43"/>
  <c r="J27" i="53"/>
  <c r="AG21" i="45"/>
  <c r="Q8" i="13"/>
  <c r="C9" i="25"/>
  <c r="D15" i="33"/>
  <c r="R19" i="45"/>
  <c r="D18" i="43"/>
  <c r="W26" i="23"/>
  <c r="D29" i="6"/>
  <c r="X28" i="21"/>
  <c r="D57" i="36"/>
  <c r="AJ12" i="13"/>
  <c r="S8" i="45"/>
  <c r="I25" i="53"/>
  <c r="O21" i="37"/>
  <c r="D22" i="25"/>
  <c r="C9" i="45"/>
  <c r="AE26" i="23"/>
  <c r="D21" i="19"/>
  <c r="U25" i="21"/>
  <c r="S20" i="13"/>
  <c r="K9" i="19"/>
  <c r="E27" i="53"/>
  <c r="H12" i="35"/>
  <c r="J20" i="43"/>
  <c r="D27" i="11"/>
  <c r="I10" i="35"/>
  <c r="Z18" i="45"/>
  <c r="Q76" i="44"/>
  <c r="AK14" i="45"/>
  <c r="F8" i="45"/>
  <c r="N25" i="43"/>
  <c r="F16" i="47"/>
  <c r="V8" i="43"/>
  <c r="E14" i="13"/>
  <c r="M18" i="45"/>
  <c r="I19" i="35"/>
  <c r="T10" i="45"/>
  <c r="F11" i="37"/>
  <c r="O21" i="19"/>
  <c r="AH21" i="45"/>
  <c r="F16" i="19"/>
  <c r="X11" i="13"/>
  <c r="Y21" i="43"/>
  <c r="I23" i="25"/>
  <c r="E19" i="47"/>
  <c r="AE27" i="23"/>
  <c r="N27" i="43"/>
  <c r="AB17" i="45"/>
  <c r="K13" i="37"/>
  <c r="H25" i="11"/>
  <c r="E15" i="47"/>
  <c r="F14" i="47"/>
  <c r="D10" i="13"/>
  <c r="AG8" i="45"/>
  <c r="B10" i="6"/>
  <c r="S18" i="45"/>
  <c r="O18" i="43"/>
  <c r="M18" i="19"/>
  <c r="F57" i="36"/>
  <c r="E22" i="25"/>
  <c r="N14" i="43"/>
  <c r="I12" i="19"/>
  <c r="M17" i="45"/>
  <c r="AE20" i="13"/>
  <c r="I13" i="13"/>
  <c r="Z12" i="43"/>
  <c r="M24" i="21"/>
  <c r="C19" i="31"/>
  <c r="C10" i="37"/>
  <c r="AH20" i="13"/>
  <c r="G8" i="33"/>
  <c r="C13" i="19"/>
  <c r="F27" i="45"/>
  <c r="D27" i="51"/>
  <c r="T15" i="43"/>
  <c r="U28" i="21"/>
  <c r="V13" i="43"/>
  <c r="M24" i="43"/>
  <c r="E63" i="36"/>
  <c r="F22" i="25"/>
  <c r="N15" i="43"/>
  <c r="D10" i="47"/>
  <c r="O17" i="45"/>
  <c r="U16" i="45"/>
  <c r="D12" i="13"/>
  <c r="T11" i="13"/>
  <c r="M17" i="13"/>
  <c r="AC28" i="23"/>
  <c r="C28" i="39"/>
  <c r="Z10" i="25"/>
  <c r="P8" i="43"/>
  <c r="T16" i="43"/>
  <c r="V19" i="45"/>
  <c r="AJ15" i="45"/>
  <c r="T9" i="13"/>
  <c r="D28" i="11"/>
  <c r="O8" i="37"/>
  <c r="T13" i="43"/>
  <c r="O15" i="13"/>
  <c r="C8" i="45"/>
  <c r="N24" i="11"/>
  <c r="M9" i="37"/>
  <c r="E15" i="13"/>
  <c r="AD23" i="43"/>
  <c r="C13" i="29"/>
  <c r="K20" i="43"/>
  <c r="D16" i="27"/>
  <c r="AA26" i="21"/>
  <c r="AH11" i="45"/>
  <c r="C18" i="47"/>
  <c r="Y12" i="25"/>
  <c r="E16" i="45"/>
  <c r="P18" i="19"/>
  <c r="G19" i="45"/>
  <c r="AE76" i="44"/>
  <c r="I22" i="35"/>
  <c r="H17" i="37"/>
  <c r="C9" i="31"/>
  <c r="Z13" i="45"/>
  <c r="S10" i="43"/>
  <c r="O22" i="43"/>
  <c r="AF21" i="45"/>
  <c r="N25" i="47"/>
  <c r="I15" i="37"/>
  <c r="I20" i="19"/>
  <c r="Y8" i="25"/>
  <c r="N12" i="37"/>
  <c r="AM24" i="45"/>
  <c r="L21" i="45"/>
  <c r="E25" i="53"/>
  <c r="D28" i="41"/>
  <c r="V8" i="45"/>
  <c r="N19" i="37"/>
  <c r="D18" i="27"/>
  <c r="G20" i="39"/>
  <c r="F21" i="45"/>
  <c r="W13" i="13"/>
  <c r="S22" i="43"/>
  <c r="F9" i="43"/>
  <c r="S21" i="25"/>
  <c r="W14" i="43"/>
  <c r="G25" i="45"/>
  <c r="D28" i="6"/>
  <c r="O23" i="37"/>
  <c r="I19" i="43"/>
  <c r="AX26" i="43"/>
  <c r="H25" i="17"/>
  <c r="I24" i="53"/>
  <c r="H15" i="13"/>
  <c r="P9" i="25"/>
  <c r="Y26" i="60"/>
  <c r="L25" i="47"/>
  <c r="AZ28" i="43"/>
  <c r="S11" i="43"/>
  <c r="N11" i="13"/>
  <c r="M12" i="45"/>
  <c r="F13" i="19"/>
  <c r="K8" i="43"/>
  <c r="AJ11" i="45"/>
  <c r="O19" i="45"/>
  <c r="E12" i="47"/>
  <c r="K18" i="25"/>
  <c r="J10" i="43"/>
  <c r="D8" i="45"/>
  <c r="AF26" i="45"/>
  <c r="K15" i="43"/>
  <c r="J14" i="13"/>
  <c r="F13" i="13"/>
  <c r="T13" i="13"/>
  <c r="M63" i="12"/>
  <c r="Z19" i="60"/>
  <c r="Y19" i="25"/>
  <c r="AH28" i="43"/>
  <c r="H26" i="13"/>
  <c r="F20" i="33"/>
  <c r="C12" i="29"/>
  <c r="Z17" i="13"/>
  <c r="Y13" i="43"/>
  <c r="I25" i="47"/>
  <c r="F27" i="11"/>
  <c r="X27" i="23"/>
  <c r="R11" i="45"/>
  <c r="H9" i="13"/>
  <c r="J10" i="6"/>
  <c r="D20" i="45"/>
  <c r="J20" i="6"/>
  <c r="E10" i="27"/>
  <c r="AD22" i="13"/>
  <c r="K12" i="25"/>
  <c r="Z28" i="25"/>
  <c r="F63" i="36"/>
  <c r="C21" i="33"/>
  <c r="U76" i="44"/>
  <c r="V25" i="45"/>
  <c r="AA9" i="43"/>
  <c r="G19" i="43"/>
  <c r="C8" i="25"/>
  <c r="F26" i="53"/>
  <c r="G25" i="25"/>
  <c r="V25" i="13"/>
  <c r="V26" i="45"/>
  <c r="N11" i="37"/>
  <c r="O12" i="19"/>
  <c r="N25" i="11"/>
  <c r="AJ9" i="45"/>
  <c r="O21" i="25"/>
  <c r="O11" i="47"/>
  <c r="F15" i="45"/>
  <c r="I20" i="25"/>
  <c r="E22" i="45"/>
  <c r="P20" i="25"/>
  <c r="D21" i="35"/>
  <c r="D12" i="25"/>
  <c r="AG24" i="45"/>
  <c r="O14" i="19"/>
  <c r="F19" i="13"/>
  <c r="AD24" i="23"/>
  <c r="D9" i="31"/>
  <c r="C74" i="14"/>
  <c r="V28" i="45"/>
  <c r="J29" i="6"/>
  <c r="C19" i="25"/>
  <c r="U24" i="45"/>
  <c r="M11" i="13"/>
  <c r="K63" i="12"/>
  <c r="Y26" i="21"/>
  <c r="F17" i="43"/>
  <c r="D8" i="47"/>
  <c r="F18" i="25"/>
  <c r="D24" i="15"/>
  <c r="U26" i="13"/>
  <c r="H8" i="13"/>
  <c r="AF27" i="45"/>
  <c r="I28" i="45"/>
  <c r="J8" i="25"/>
  <c r="AJ13" i="45"/>
  <c r="S15" i="45"/>
  <c r="Y23" i="43"/>
  <c r="I12" i="43"/>
  <c r="AM27" i="45"/>
  <c r="Z13" i="13"/>
  <c r="O17" i="43"/>
  <c r="W20" i="25"/>
  <c r="E26" i="47"/>
  <c r="D23" i="27"/>
  <c r="Y27" i="43"/>
  <c r="H15" i="25"/>
  <c r="C73" i="36"/>
  <c r="U8" i="45"/>
  <c r="O14" i="43"/>
  <c r="AF25" i="45"/>
  <c r="E19" i="35"/>
  <c r="X18" i="43"/>
  <c r="AC10" i="43"/>
  <c r="M16" i="43"/>
  <c r="D13" i="47"/>
  <c r="U26" i="25"/>
  <c r="AH15" i="45"/>
  <c r="H15" i="37"/>
  <c r="J25" i="47"/>
  <c r="G18" i="35"/>
  <c r="AF24" i="13"/>
  <c r="K20" i="19"/>
  <c r="C18" i="45"/>
  <c r="G10" i="37"/>
  <c r="AC17" i="45"/>
  <c r="S8" i="43"/>
  <c r="T25" i="43"/>
  <c r="AF13" i="45"/>
  <c r="F17" i="37"/>
  <c r="S27" i="11"/>
  <c r="AF25" i="23"/>
  <c r="AF16" i="45"/>
  <c r="F20" i="35"/>
  <c r="Q15" i="25"/>
  <c r="U12" i="13"/>
  <c r="AC21" i="43"/>
  <c r="C10" i="19"/>
  <c r="AA22" i="43"/>
  <c r="C11" i="31"/>
  <c r="C13" i="37"/>
  <c r="C26" i="41"/>
  <c r="AF16" i="13"/>
  <c r="AC9" i="13"/>
  <c r="O13" i="45"/>
  <c r="R74" i="24"/>
  <c r="M8" i="45"/>
  <c r="H19" i="19"/>
  <c r="H24" i="13"/>
  <c r="H20" i="33"/>
  <c r="L57" i="36"/>
  <c r="AC16" i="13"/>
  <c r="V26" i="21"/>
  <c r="H23" i="13"/>
  <c r="X10" i="43"/>
  <c r="AB10" i="43"/>
  <c r="W25" i="21"/>
  <c r="C27" i="41"/>
  <c r="AB15" i="43"/>
  <c r="H10" i="35"/>
  <c r="H24" i="43"/>
  <c r="D20" i="33"/>
  <c r="O23" i="13"/>
  <c r="Z24" i="60"/>
  <c r="R9" i="45"/>
  <c r="M24" i="23"/>
  <c r="AC22" i="45"/>
  <c r="G24" i="43"/>
  <c r="D25" i="51"/>
  <c r="AF26" i="13"/>
  <c r="AL20" i="45"/>
  <c r="AC18" i="13"/>
  <c r="X9" i="45"/>
  <c r="F19" i="33"/>
  <c r="H25" i="13"/>
  <c r="J19" i="43"/>
  <c r="AA9" i="45"/>
  <c r="D25" i="11"/>
  <c r="AC19" i="45"/>
  <c r="M11" i="47"/>
  <c r="E13" i="47"/>
  <c r="F84" i="42"/>
  <c r="AC26" i="23"/>
  <c r="O18" i="37"/>
  <c r="F23" i="19"/>
  <c r="K18" i="43"/>
  <c r="T21" i="43"/>
  <c r="AA12" i="45"/>
  <c r="Y13" i="25"/>
  <c r="C14" i="19"/>
  <c r="D24" i="49"/>
  <c r="M17" i="43"/>
  <c r="D19" i="25"/>
  <c r="K19" i="13"/>
  <c r="H76" i="42"/>
  <c r="O24" i="47"/>
  <c r="F15" i="37"/>
  <c r="M15" i="19"/>
  <c r="H18" i="33"/>
  <c r="K9" i="25"/>
  <c r="D25" i="25"/>
  <c r="C19" i="41"/>
  <c r="D22" i="45"/>
  <c r="G27" i="53"/>
  <c r="H10" i="45"/>
  <c r="S76" i="44"/>
  <c r="AE8" i="13"/>
  <c r="O18" i="13"/>
  <c r="AA22" i="13"/>
  <c r="C19" i="27"/>
  <c r="H21" i="45"/>
  <c r="D8" i="29"/>
  <c r="X16" i="25"/>
  <c r="E19" i="45"/>
  <c r="D17" i="43"/>
  <c r="D19" i="6"/>
  <c r="F11" i="35"/>
  <c r="S17" i="43"/>
  <c r="V23" i="25"/>
  <c r="I20" i="43"/>
  <c r="M13" i="25"/>
  <c r="I21" i="43"/>
  <c r="Z9" i="43"/>
  <c r="V11" i="13"/>
  <c r="G17" i="33"/>
  <c r="K16" i="45"/>
  <c r="Y26" i="23"/>
  <c r="N23" i="43"/>
  <c r="L22" i="43"/>
  <c r="Y8" i="45"/>
  <c r="F16" i="37"/>
  <c r="Y22" i="45"/>
  <c r="G11" i="35"/>
  <c r="L9" i="43"/>
  <c r="G13" i="13"/>
  <c r="Q17" i="13"/>
  <c r="L13" i="19"/>
  <c r="F9" i="47"/>
  <c r="C18" i="29"/>
  <c r="P26" i="45"/>
  <c r="C74" i="22"/>
  <c r="N13" i="47"/>
  <c r="T16" i="13"/>
  <c r="AF8" i="13"/>
  <c r="V16" i="13"/>
  <c r="J18" i="25"/>
  <c r="O9" i="13"/>
  <c r="C25" i="35"/>
  <c r="H25" i="53"/>
  <c r="AA23" i="43"/>
  <c r="AL13" i="45"/>
  <c r="K22" i="43"/>
  <c r="L15" i="37"/>
  <c r="O16" i="43"/>
  <c r="J16" i="6"/>
  <c r="G18" i="45"/>
  <c r="M14" i="37"/>
  <c r="D12" i="6"/>
  <c r="AB88" i="44"/>
  <c r="AI15" i="45"/>
  <c r="AB21" i="43"/>
  <c r="O28" i="37"/>
  <c r="R18" i="45"/>
  <c r="AC18" i="45"/>
  <c r="F24" i="39"/>
  <c r="C9" i="49"/>
  <c r="K15" i="13"/>
  <c r="J12" i="37"/>
  <c r="F20" i="39"/>
  <c r="G27" i="17"/>
  <c r="AE21" i="13"/>
  <c r="C15" i="35"/>
  <c r="D17" i="19"/>
  <c r="C10" i="29"/>
  <c r="X28" i="43"/>
  <c r="H15" i="19"/>
  <c r="D25" i="41"/>
  <c r="V10" i="43"/>
  <c r="W25" i="23"/>
  <c r="AA20" i="13"/>
  <c r="O8" i="25"/>
  <c r="O20" i="25"/>
  <c r="K8" i="37"/>
  <c r="E14" i="25"/>
  <c r="N14" i="13"/>
  <c r="N14" i="37"/>
  <c r="C24" i="47"/>
  <c r="L12" i="45"/>
  <c r="G10" i="35"/>
  <c r="T26" i="13"/>
  <c r="Z9" i="45"/>
  <c r="AC23" i="45"/>
  <c r="X18" i="25"/>
  <c r="H18" i="35"/>
  <c r="E21" i="25"/>
  <c r="AE24" i="45"/>
  <c r="M23" i="19"/>
  <c r="N28" i="47"/>
  <c r="AD8" i="43"/>
  <c r="C20" i="35"/>
  <c r="Z20" i="25"/>
  <c r="V18" i="13"/>
  <c r="D73" i="36"/>
  <c r="AH16" i="13"/>
  <c r="K15" i="19"/>
  <c r="Y17" i="45"/>
  <c r="E10" i="35"/>
  <c r="E14" i="47"/>
  <c r="AC8" i="43"/>
  <c r="Z19" i="43"/>
  <c r="E12" i="25"/>
  <c r="AC24" i="23"/>
  <c r="AA19" i="43"/>
  <c r="K23" i="17"/>
  <c r="K14" i="19"/>
  <c r="C26" i="45"/>
  <c r="F16" i="33"/>
  <c r="D19" i="45"/>
  <c r="J10" i="25"/>
  <c r="K15" i="47"/>
  <c r="AC9" i="45"/>
  <c r="G14" i="25"/>
  <c r="G17" i="43"/>
  <c r="E8" i="47"/>
  <c r="G9" i="33"/>
  <c r="K10" i="45"/>
  <c r="Z17" i="60"/>
  <c r="M9" i="19"/>
  <c r="X21" i="13"/>
  <c r="L11" i="13"/>
  <c r="H19" i="35"/>
  <c r="Z22" i="45"/>
  <c r="U11" i="43"/>
  <c r="P14" i="25"/>
  <c r="I20" i="13"/>
  <c r="M24" i="25"/>
  <c r="C27" i="27" a="1"/>
  <c r="J28" i="45"/>
  <c r="O9" i="45"/>
  <c r="U19" i="43"/>
  <c r="Z27" i="25"/>
  <c r="O13" i="19"/>
  <c r="W18" i="25"/>
  <c r="E8" i="13"/>
  <c r="C14" i="27"/>
  <c r="E18" i="47"/>
  <c r="U12" i="43"/>
  <c r="C21" i="39"/>
  <c r="R11" i="25"/>
  <c r="D18" i="29"/>
  <c r="AB15" i="45"/>
  <c r="Q11" i="13"/>
  <c r="E12" i="43"/>
  <c r="Y18" i="43"/>
  <c r="AG11" i="13"/>
  <c r="F13" i="43"/>
  <c r="W28" i="13"/>
  <c r="W16" i="45"/>
  <c r="AG9" i="45"/>
  <c r="G11" i="45"/>
  <c r="J26" i="43"/>
  <c r="AE17" i="13"/>
  <c r="D9" i="13"/>
  <c r="D24" i="45"/>
  <c r="E12" i="13"/>
  <c r="P9" i="19"/>
  <c r="V19" i="13"/>
  <c r="U13" i="13"/>
  <c r="F26" i="11"/>
  <c r="F20" i="45"/>
  <c r="P11" i="19"/>
  <c r="O15" i="45"/>
  <c r="AJ18" i="13"/>
  <c r="M15" i="13"/>
  <c r="R13" i="25"/>
  <c r="U11" i="25"/>
  <c r="Y20" i="13"/>
  <c r="AF18" i="45"/>
  <c r="H17" i="33"/>
  <c r="C26" i="47"/>
  <c r="S19" i="25"/>
  <c r="E84" i="44"/>
  <c r="M17" i="47"/>
  <c r="E12" i="19"/>
  <c r="C11" i="25"/>
  <c r="C9" i="27"/>
  <c r="I11" i="13"/>
  <c r="F25" i="53"/>
  <c r="Z11" i="13"/>
  <c r="L21" i="43"/>
  <c r="M16" i="45"/>
  <c r="O17" i="19"/>
  <c r="R17" i="13"/>
  <c r="D21" i="47"/>
  <c r="S19" i="13"/>
  <c r="W15" i="43"/>
  <c r="W17" i="43"/>
  <c r="K11" i="37"/>
  <c r="AF24" i="45"/>
  <c r="G10" i="45"/>
  <c r="L23" i="17"/>
  <c r="E18" i="25"/>
  <c r="AA25" i="21"/>
  <c r="D20" i="35"/>
  <c r="J26" i="11"/>
  <c r="F13" i="33"/>
  <c r="D17" i="33"/>
  <c r="Q12" i="25"/>
  <c r="H9" i="37"/>
  <c r="R15" i="43"/>
  <c r="L23" i="25"/>
  <c r="D16" i="35"/>
  <c r="C13" i="47"/>
  <c r="F14" i="37"/>
  <c r="X20" i="45"/>
  <c r="F14" i="13"/>
  <c r="E15" i="43"/>
  <c r="W13" i="25"/>
  <c r="Z13" i="43"/>
  <c r="N15" i="47"/>
  <c r="O74" i="22"/>
  <c r="T23" i="25"/>
  <c r="V26" i="43"/>
  <c r="P17" i="25"/>
  <c r="H84" i="42"/>
  <c r="I18" i="19"/>
  <c r="I14" i="25"/>
  <c r="AI21" i="45"/>
  <c r="M19" i="37"/>
  <c r="D25" i="39"/>
  <c r="W21" i="25"/>
  <c r="H27" i="17"/>
  <c r="G24" i="45"/>
  <c r="AB27" i="21"/>
  <c r="M13" i="45"/>
  <c r="D12" i="33"/>
  <c r="Y15" i="45"/>
  <c r="P16" i="43"/>
  <c r="D24" i="11"/>
  <c r="AA12" i="13"/>
  <c r="AH68" i="44"/>
  <c r="Z15" i="43"/>
  <c r="C16" i="19"/>
  <c r="Q9" i="43"/>
  <c r="AU26" i="43"/>
  <c r="AA14" i="43"/>
  <c r="Z9" i="25"/>
  <c r="E73" i="36"/>
  <c r="N16" i="25"/>
  <c r="Y24" i="43"/>
  <c r="F23" i="35"/>
  <c r="C8" i="33"/>
  <c r="F22" i="47"/>
  <c r="R26" i="43"/>
  <c r="P24" i="21"/>
  <c r="AD20" i="43"/>
  <c r="E76" i="48"/>
  <c r="AF18" i="13"/>
  <c r="K22" i="47"/>
  <c r="AC10" i="45"/>
  <c r="I24" i="17"/>
  <c r="E14" i="45"/>
  <c r="Q16" i="13"/>
  <c r="C13" i="43"/>
  <c r="J26" i="6"/>
  <c r="N11" i="47"/>
  <c r="J13" i="43"/>
  <c r="U12" i="25"/>
  <c r="X19" i="43"/>
  <c r="M15" i="37"/>
  <c r="AF28" i="23"/>
  <c r="X16" i="13"/>
  <c r="AA9" i="21"/>
  <c r="J25" i="43"/>
  <c r="H19" i="25"/>
  <c r="AC27" i="43"/>
  <c r="U16" i="13"/>
  <c r="M28" i="25"/>
  <c r="H10" i="25"/>
  <c r="AA74" i="22"/>
  <c r="AB28" i="43"/>
  <c r="AD15" i="43"/>
  <c r="C15" i="47"/>
  <c r="AG10" i="13"/>
  <c r="L25" i="43"/>
  <c r="Q15" i="13"/>
  <c r="D17" i="45"/>
  <c r="E15" i="33"/>
  <c r="G17" i="37"/>
  <c r="N9" i="37"/>
  <c r="E10" i="49"/>
  <c r="AI28" i="13"/>
  <c r="G22" i="43"/>
  <c r="V21" i="13"/>
  <c r="J22" i="6"/>
  <c r="M11" i="25"/>
  <c r="I21" i="45"/>
  <c r="J24" i="23"/>
  <c r="I8" i="25"/>
  <c r="R17" i="25"/>
  <c r="AG11" i="45"/>
  <c r="F16" i="13"/>
  <c r="R8" i="45"/>
  <c r="T8" i="43"/>
  <c r="S27" i="43"/>
  <c r="K16" i="37"/>
  <c r="H26" i="53"/>
  <c r="AC18" i="43"/>
  <c r="X14" i="25"/>
  <c r="Z21" i="13"/>
  <c r="S16" i="45"/>
  <c r="E17" i="37"/>
  <c r="X24" i="43"/>
  <c r="G21" i="33"/>
  <c r="F25" i="39"/>
  <c r="AG80" i="42"/>
  <c r="C15" i="45"/>
  <c r="R14" i="13"/>
  <c r="E17" i="45"/>
  <c r="H14" i="33"/>
  <c r="W21" i="43"/>
  <c r="T12" i="13"/>
  <c r="Y18" i="25"/>
  <c r="G24" i="17"/>
  <c r="C10" i="43"/>
  <c r="I19" i="19"/>
  <c r="K22" i="19"/>
  <c r="M24" i="45"/>
  <c r="C23" i="33"/>
  <c r="AJ16" i="13"/>
  <c r="R12" i="25"/>
  <c r="Y25" i="25"/>
  <c r="D13" i="45"/>
  <c r="D12" i="29"/>
  <c r="V11" i="43"/>
  <c r="V22" i="13"/>
  <c r="J28" i="23"/>
  <c r="K16" i="25"/>
  <c r="T12" i="45"/>
  <c r="D20" i="41"/>
  <c r="J23" i="6"/>
  <c r="O25" i="13"/>
  <c r="D9" i="29"/>
  <c r="O19" i="19"/>
  <c r="E23" i="17"/>
  <c r="K13" i="25"/>
  <c r="F15" i="35"/>
  <c r="F17" i="13"/>
  <c r="AL17" i="45"/>
  <c r="N21" i="47"/>
  <c r="I15" i="45"/>
  <c r="AF14" i="13"/>
  <c r="H9" i="45"/>
  <c r="O16" i="47"/>
  <c r="D22" i="47"/>
  <c r="L11" i="19"/>
  <c r="AB74" i="22"/>
  <c r="AK20" i="45"/>
  <c r="E11" i="37"/>
  <c r="O16" i="37"/>
  <c r="L9" i="25"/>
  <c r="AA12" i="21"/>
  <c r="F10" i="25"/>
  <c r="R27" i="13"/>
  <c r="P15" i="43"/>
  <c r="L14" i="13"/>
  <c r="O11" i="13"/>
  <c r="I57" i="36"/>
  <c r="AE16" i="45"/>
  <c r="O19" i="13"/>
  <c r="M9" i="25"/>
  <c r="F12" i="25"/>
  <c r="AC20" i="43"/>
  <c r="AY26" i="43"/>
  <c r="C17" i="19"/>
  <c r="AE28" i="13"/>
  <c r="Q21" i="13"/>
  <c r="G28" i="43"/>
  <c r="D8" i="37"/>
  <c r="C16" i="27"/>
  <c r="J10" i="19"/>
  <c r="X9" i="43"/>
  <c r="H27" i="11"/>
  <c r="M12" i="13"/>
  <c r="D74" i="28"/>
  <c r="AJ27" i="13"/>
  <c r="T19" i="43"/>
  <c r="D9" i="37"/>
  <c r="AA19" i="21"/>
  <c r="AS27" i="43"/>
  <c r="C16" i="43"/>
  <c r="K23" i="43"/>
  <c r="V20" i="13"/>
  <c r="D20" i="19"/>
  <c r="G11" i="37"/>
  <c r="V28" i="13"/>
  <c r="X27" i="43"/>
  <c r="H13" i="43"/>
  <c r="M25" i="43"/>
  <c r="S16" i="25"/>
  <c r="N26" i="11"/>
  <c r="D11" i="19"/>
  <c r="AA10" i="13"/>
  <c r="AU28" i="43"/>
  <c r="AD14" i="13"/>
  <c r="J15" i="45"/>
  <c r="G20" i="25"/>
  <c r="D18" i="37"/>
  <c r="Q19" i="25"/>
  <c r="M23" i="25"/>
  <c r="P24" i="25"/>
  <c r="O20" i="45"/>
  <c r="O18" i="47"/>
  <c r="AH24" i="13"/>
  <c r="AI68" i="44"/>
  <c r="C25" i="27" a="1"/>
  <c r="T8" i="13"/>
  <c r="F14" i="33"/>
  <c r="H14" i="45"/>
  <c r="K24" i="43"/>
  <c r="D12" i="45"/>
  <c r="F18" i="13"/>
  <c r="R10" i="13"/>
  <c r="G27" i="25"/>
  <c r="Q14" i="45"/>
  <c r="P24" i="43"/>
  <c r="C21" i="43"/>
  <c r="H8" i="35"/>
  <c r="H23" i="25"/>
  <c r="Q25" i="43"/>
  <c r="I23" i="43"/>
  <c r="U10" i="13"/>
  <c r="AB25" i="43"/>
  <c r="AD21" i="45"/>
  <c r="AC9" i="43"/>
  <c r="C24" i="49"/>
  <c r="I14" i="35"/>
  <c r="P16" i="25"/>
  <c r="H14" i="19"/>
  <c r="D24" i="43"/>
  <c r="E15" i="25"/>
  <c r="H8" i="33"/>
  <c r="F10" i="13"/>
  <c r="C14" i="33"/>
  <c r="I12" i="35"/>
  <c r="I16" i="25"/>
  <c r="G15" i="33"/>
  <c r="AH12" i="45"/>
  <c r="M26" i="45"/>
  <c r="AJ24" i="45"/>
  <c r="I10" i="25"/>
  <c r="D11" i="49"/>
  <c r="X8" i="13"/>
  <c r="D20" i="27"/>
  <c r="C23" i="39"/>
  <c r="F22" i="45"/>
  <c r="D13" i="29"/>
  <c r="N18" i="13"/>
  <c r="H8" i="45"/>
  <c r="Q23" i="25"/>
  <c r="D10" i="19"/>
  <c r="AD20" i="45"/>
  <c r="U20" i="45"/>
  <c r="L20" i="45"/>
  <c r="D17" i="6"/>
  <c r="G12" i="45"/>
  <c r="G10" i="25"/>
  <c r="N12" i="47"/>
  <c r="S11" i="13"/>
  <c r="N8" i="47"/>
  <c r="AA16" i="21"/>
  <c r="W11" i="43"/>
  <c r="G22" i="39"/>
  <c r="O11" i="45"/>
  <c r="L12" i="25"/>
  <c r="AD22" i="43"/>
  <c r="D19" i="41"/>
  <c r="AL22" i="45"/>
  <c r="H21" i="19"/>
  <c r="Q26" i="43"/>
  <c r="S14" i="45"/>
  <c r="F17" i="35"/>
  <c r="G14" i="45"/>
  <c r="J15" i="6"/>
  <c r="C13" i="35"/>
  <c r="F17" i="19"/>
  <c r="AG15" i="45"/>
  <c r="T27" i="11"/>
  <c r="M8" i="43"/>
  <c r="L14" i="45"/>
  <c r="O14" i="25"/>
  <c r="M15" i="43"/>
  <c r="F12" i="35"/>
  <c r="G19" i="35"/>
  <c r="I8" i="19"/>
  <c r="N12" i="13"/>
  <c r="W10" i="13"/>
  <c r="R9" i="25"/>
  <c r="Q22" i="45"/>
  <c r="C20" i="43"/>
  <c r="J80" i="46"/>
  <c r="E9" i="19"/>
  <c r="AS26" i="43"/>
  <c r="Z20" i="43"/>
  <c r="O14" i="37"/>
  <c r="X72" i="12"/>
  <c r="L10" i="13"/>
  <c r="C10" i="27"/>
  <c r="S12" i="25"/>
  <c r="G14" i="13"/>
  <c r="N24" i="47"/>
  <c r="H17" i="19"/>
  <c r="J10" i="45"/>
  <c r="L11" i="37"/>
  <c r="N15" i="13"/>
  <c r="AK28" i="45"/>
  <c r="X13" i="45"/>
  <c r="D27" i="6"/>
  <c r="AL10" i="45"/>
  <c r="Y24" i="25"/>
  <c r="AH13" i="45"/>
  <c r="G27" i="21"/>
  <c r="K9" i="43"/>
  <c r="M9" i="43"/>
  <c r="X8" i="43"/>
  <c r="AD13" i="45"/>
  <c r="K24" i="45"/>
  <c r="W20" i="45"/>
  <c r="J23" i="43"/>
  <c r="I22" i="43"/>
  <c r="AC11" i="13"/>
  <c r="D18" i="13"/>
  <c r="E11" i="33"/>
  <c r="R25" i="13"/>
  <c r="O14" i="45"/>
  <c r="F18" i="35"/>
  <c r="E15" i="45"/>
  <c r="M19" i="47"/>
  <c r="R27" i="45"/>
  <c r="F9" i="45"/>
  <c r="D10" i="25"/>
  <c r="E13" i="27"/>
  <c r="Q20" i="45"/>
  <c r="U8" i="13"/>
  <c r="AK10" i="45"/>
  <c r="T20" i="13"/>
  <c r="O13" i="13"/>
  <c r="M10" i="45"/>
  <c r="U23" i="13"/>
  <c r="J24" i="43"/>
  <c r="AC8" i="13"/>
  <c r="F28" i="45"/>
  <c r="J28" i="25"/>
  <c r="R12" i="13"/>
  <c r="O22" i="45"/>
  <c r="O24" i="13"/>
  <c r="F21" i="43"/>
  <c r="N16" i="19"/>
  <c r="G8" i="19"/>
  <c r="P10" i="19"/>
  <c r="L24" i="45"/>
  <c r="X13" i="25"/>
  <c r="G20" i="35"/>
  <c r="AB22" i="13"/>
  <c r="AJ25" i="45"/>
  <c r="Q68" i="44"/>
  <c r="AE11" i="13"/>
  <c r="I14" i="43"/>
  <c r="Y16" i="25"/>
  <c r="J17" i="19"/>
  <c r="C12" i="35"/>
  <c r="W10" i="45"/>
  <c r="K26" i="19"/>
  <c r="X14" i="43"/>
  <c r="D74" i="30"/>
  <c r="AJ22" i="13"/>
  <c r="D11" i="13"/>
  <c r="O12" i="25"/>
  <c r="X25" i="21"/>
  <c r="M28" i="21"/>
  <c r="V22" i="25"/>
  <c r="E11" i="35"/>
  <c r="W28" i="23"/>
  <c r="AC23" i="13"/>
  <c r="C8" i="13"/>
  <c r="C10" i="35"/>
  <c r="Z16" i="60"/>
  <c r="V18" i="45"/>
  <c r="Z18" i="43"/>
  <c r="D22" i="31"/>
  <c r="D13" i="13"/>
  <c r="F21" i="35"/>
  <c r="D25" i="35"/>
  <c r="AG24" i="23"/>
  <c r="U10" i="45"/>
  <c r="Y14" i="25"/>
  <c r="J25" i="45"/>
  <c r="AA68" i="44"/>
  <c r="C14" i="47"/>
  <c r="Y27" i="21"/>
  <c r="O16" i="19"/>
  <c r="E17" i="35"/>
  <c r="W24" i="43"/>
  <c r="F22" i="19"/>
  <c r="Z19" i="25"/>
  <c r="O26" i="13"/>
  <c r="Q13" i="25"/>
  <c r="L16" i="43"/>
  <c r="D18" i="45"/>
  <c r="C12" i="31"/>
  <c r="AH10" i="45"/>
  <c r="AE16" i="13"/>
  <c r="K23" i="19"/>
  <c r="V11" i="25"/>
  <c r="L25" i="17"/>
  <c r="K20" i="13"/>
  <c r="H16" i="45"/>
  <c r="AF15" i="45"/>
  <c r="N18" i="25"/>
  <c r="D10" i="49"/>
  <c r="L9" i="45"/>
  <c r="P27" i="23"/>
  <c r="AA23" i="13"/>
  <c r="AD14" i="43"/>
  <c r="Y24" i="21"/>
  <c r="U21" i="43"/>
  <c r="S23" i="43"/>
  <c r="N8" i="19"/>
  <c r="D9" i="47"/>
  <c r="U20" i="25"/>
  <c r="H23" i="17"/>
  <c r="N8" i="13"/>
  <c r="C57" i="36"/>
  <c r="M19" i="13"/>
  <c r="AD26" i="23"/>
  <c r="K13" i="47"/>
  <c r="W25" i="13"/>
  <c r="AC23" i="43"/>
  <c r="J27" i="6"/>
  <c r="K22" i="25"/>
  <c r="E11" i="47"/>
  <c r="I10" i="19"/>
  <c r="X22" i="43"/>
  <c r="P14" i="13"/>
  <c r="AE8" i="45"/>
  <c r="E23" i="33"/>
  <c r="U27" i="43"/>
  <c r="K21" i="47"/>
  <c r="M18" i="25"/>
  <c r="X25" i="43"/>
  <c r="H28" i="11"/>
  <c r="AL25" i="45"/>
  <c r="AK12" i="45"/>
  <c r="C19" i="39"/>
  <c r="E18" i="45"/>
  <c r="G26" i="53"/>
  <c r="F20" i="13"/>
  <c r="F13" i="25"/>
  <c r="I28" i="35"/>
  <c r="AJ15" i="13"/>
  <c r="Y11" i="25"/>
  <c r="AG20" i="45"/>
  <c r="C10" i="49"/>
  <c r="F21" i="47"/>
  <c r="Z16" i="25"/>
  <c r="P10" i="43"/>
  <c r="O21" i="45"/>
  <c r="J18" i="13"/>
  <c r="AD17" i="45"/>
  <c r="AB11" i="45"/>
  <c r="Z19" i="45"/>
  <c r="F12" i="43"/>
  <c r="N9" i="43"/>
  <c r="D26" i="53"/>
  <c r="AA24" i="45"/>
  <c r="F20" i="25"/>
  <c r="N15" i="19"/>
  <c r="AA11" i="45"/>
  <c r="D20" i="25"/>
  <c r="Q28" i="43"/>
  <c r="P25" i="45"/>
  <c r="E12" i="37"/>
  <c r="H11" i="19"/>
  <c r="N8" i="37"/>
  <c r="Y8" i="13"/>
  <c r="E20" i="47"/>
  <c r="J19" i="45"/>
  <c r="AA14" i="13"/>
  <c r="AB20" i="45"/>
  <c r="O12" i="45"/>
  <c r="I23" i="19"/>
  <c r="K17" i="25"/>
  <c r="D17" i="27"/>
  <c r="L19" i="43"/>
  <c r="P22" i="19"/>
  <c r="AB26" i="21"/>
  <c r="J21" i="19"/>
  <c r="Q20" i="43"/>
  <c r="C23" i="43"/>
  <c r="AX28" i="43"/>
  <c r="T19" i="25"/>
  <c r="D10" i="33"/>
  <c r="E24" i="53"/>
  <c r="L18" i="25"/>
  <c r="I73" i="20"/>
  <c r="W21" i="13"/>
  <c r="D22" i="39"/>
  <c r="AD20" i="13"/>
  <c r="C12" i="45"/>
  <c r="I14" i="19"/>
  <c r="J21" i="43"/>
  <c r="T23" i="43"/>
  <c r="H9" i="43"/>
  <c r="AJ11" i="13"/>
  <c r="E13" i="43"/>
  <c r="G24" i="39"/>
  <c r="I27" i="53"/>
  <c r="Q9" i="25"/>
  <c r="AE12" i="45"/>
  <c r="E23" i="25"/>
  <c r="Y28" i="43"/>
  <c r="K68" i="44"/>
  <c r="W23" i="43"/>
  <c r="D20" i="39"/>
  <c r="U23" i="43"/>
  <c r="X11" i="45"/>
  <c r="Y20" i="43"/>
  <c r="E11" i="49"/>
  <c r="P25" i="25"/>
  <c r="D11" i="43"/>
  <c r="X13" i="43"/>
  <c r="L15" i="43"/>
  <c r="L9" i="19"/>
  <c r="Q11" i="25"/>
  <c r="G11" i="25"/>
  <c r="X22" i="13"/>
  <c r="M9" i="47"/>
  <c r="V18" i="43"/>
  <c r="K27" i="19"/>
  <c r="E20" i="43"/>
  <c r="Y24" i="45"/>
  <c r="C9" i="19"/>
  <c r="D28" i="15"/>
  <c r="AF21" i="13"/>
  <c r="R28" i="43"/>
  <c r="X27" i="21"/>
  <c r="AB18" i="45"/>
  <c r="E16" i="13"/>
  <c r="T25" i="11"/>
  <c r="L24" i="47"/>
  <c r="F22" i="39"/>
  <c r="E24" i="47"/>
  <c r="AE9" i="13"/>
  <c r="I17" i="19"/>
  <c r="D63" i="12"/>
  <c r="AL8" i="45"/>
  <c r="AB8" i="13"/>
  <c r="K10" i="37"/>
  <c r="S15" i="13"/>
  <c r="T14" i="25"/>
  <c r="X16" i="45"/>
  <c r="F28" i="19"/>
  <c r="AT28" i="43"/>
  <c r="F23" i="43"/>
  <c r="F26" i="39"/>
  <c r="D15" i="31"/>
  <c r="AL19" i="45"/>
  <c r="H9" i="35"/>
  <c r="M27" i="21"/>
  <c r="D10" i="45"/>
  <c r="M13" i="19"/>
  <c r="E22" i="47"/>
  <c r="O10" i="25"/>
  <c r="AH13" i="13"/>
  <c r="E13" i="45"/>
  <c r="R28" i="45"/>
  <c r="R10" i="45"/>
  <c r="Z9" i="13"/>
  <c r="O27" i="37"/>
  <c r="M13" i="37"/>
  <c r="F74" i="24"/>
  <c r="AJ26" i="43"/>
  <c r="L14" i="19"/>
  <c r="D9" i="19"/>
  <c r="C12" i="27"/>
  <c r="E21" i="27"/>
  <c r="AG15" i="13"/>
  <c r="M11" i="19"/>
  <c r="I10" i="43"/>
  <c r="L17" i="43"/>
  <c r="J16" i="25"/>
  <c r="D25" i="53"/>
  <c r="V27" i="13"/>
  <c r="AA10" i="43"/>
  <c r="H14" i="37"/>
  <c r="K26" i="43"/>
  <c r="I22" i="45"/>
  <c r="L16" i="25"/>
  <c r="C9" i="13"/>
  <c r="G17" i="19"/>
  <c r="H28" i="13"/>
  <c r="AF26" i="23"/>
  <c r="E68" i="44"/>
  <c r="K21" i="45"/>
  <c r="E22" i="27"/>
  <c r="E23" i="35"/>
  <c r="K16" i="19"/>
  <c r="C17" i="33"/>
  <c r="Q18" i="43"/>
  <c r="X14" i="13"/>
  <c r="H8" i="43"/>
  <c r="X24" i="23"/>
  <c r="G12" i="33"/>
  <c r="I18" i="45"/>
  <c r="S19" i="45"/>
  <c r="M8" i="47"/>
  <c r="AE21" i="45"/>
  <c r="C24" i="35"/>
  <c r="L18" i="37"/>
  <c r="V12" i="43"/>
  <c r="K14" i="37"/>
  <c r="D22" i="43"/>
  <c r="E20" i="35"/>
  <c r="AC15" i="45"/>
  <c r="G12" i="37"/>
  <c r="H27" i="45"/>
  <c r="P19" i="13"/>
  <c r="E84" i="46"/>
  <c r="P28" i="23"/>
  <c r="AJ28" i="45"/>
  <c r="AK24" i="45"/>
  <c r="V15" i="13"/>
  <c r="P18" i="25"/>
  <c r="P27" i="25"/>
  <c r="M11" i="45"/>
  <c r="U9" i="13"/>
  <c r="S24" i="45"/>
  <c r="J8" i="19"/>
  <c r="D18" i="47"/>
  <c r="E18" i="33"/>
  <c r="R22" i="43"/>
  <c r="J8" i="45"/>
  <c r="P13" i="25"/>
  <c r="C16" i="31"/>
  <c r="U27" i="21"/>
  <c r="G13" i="43"/>
  <c r="C12" i="47"/>
  <c r="Y17" i="43"/>
  <c r="Q15" i="43"/>
  <c r="AC15" i="13"/>
  <c r="AJ22" i="45"/>
  <c r="I26" i="35"/>
  <c r="J17" i="37"/>
  <c r="C19" i="19"/>
  <c r="W13" i="45"/>
  <c r="J17" i="43"/>
  <c r="AH21" i="13"/>
  <c r="Y12" i="43"/>
  <c r="M21" i="19"/>
  <c r="T76" i="44"/>
  <c r="P20" i="19"/>
  <c r="U16" i="25"/>
  <c r="J9" i="43"/>
  <c r="M16" i="13"/>
  <c r="C11" i="35"/>
  <c r="AB16" i="45"/>
  <c r="H16" i="19"/>
  <c r="J26" i="25"/>
  <c r="AA13" i="21"/>
  <c r="AD18" i="13"/>
  <c r="C17" i="31"/>
  <c r="P24" i="19"/>
  <c r="W22" i="13"/>
  <c r="Z27" i="60"/>
  <c r="E18" i="27"/>
  <c r="AL26" i="45"/>
  <c r="AB13" i="43"/>
  <c r="F28" i="35"/>
  <c r="I17" i="45"/>
  <c r="C21" i="25"/>
  <c r="C22" i="33"/>
  <c r="AB19" i="43"/>
  <c r="H15" i="45"/>
  <c r="I27" i="45"/>
  <c r="AH16" i="45"/>
  <c r="E12" i="27"/>
  <c r="H11" i="45"/>
  <c r="L13" i="37"/>
  <c r="AC19" i="43"/>
  <c r="Y27" i="60"/>
  <c r="K10" i="25"/>
  <c r="F16" i="45"/>
  <c r="F16" i="43"/>
  <c r="S20" i="43"/>
  <c r="H13" i="13"/>
  <c r="AG12" i="13"/>
  <c r="K13" i="13"/>
  <c r="L20" i="25"/>
  <c r="J12" i="45"/>
  <c r="M26" i="25"/>
  <c r="AH25" i="13"/>
  <c r="AA24" i="21"/>
  <c r="AF9" i="13"/>
  <c r="Z24" i="21"/>
  <c r="R15" i="25"/>
  <c r="P24" i="23"/>
  <c r="P8" i="19"/>
  <c r="R12" i="43"/>
  <c r="L28" i="17"/>
  <c r="D28" i="35"/>
  <c r="D11" i="31"/>
  <c r="M26" i="21"/>
  <c r="C19" i="13"/>
  <c r="P28" i="25"/>
  <c r="V28" i="21"/>
  <c r="R9" i="13"/>
  <c r="G10" i="43"/>
  <c r="U25" i="13"/>
  <c r="F16" i="35"/>
  <c r="G18" i="33"/>
  <c r="K84" i="44"/>
  <c r="S10" i="45"/>
  <c r="Q21" i="43"/>
  <c r="I17" i="35"/>
  <c r="D76" i="42"/>
  <c r="X14" i="45"/>
  <c r="G8" i="45"/>
  <c r="Q20" i="25"/>
  <c r="G14" i="43"/>
  <c r="H12" i="43"/>
  <c r="Z12" i="25"/>
  <c r="Z62" i="22"/>
  <c r="AC14" i="13"/>
  <c r="L18" i="45"/>
  <c r="C8" i="37"/>
  <c r="Z24" i="43"/>
  <c r="O22" i="47"/>
  <c r="K11" i="25"/>
  <c r="U20" i="13"/>
  <c r="D16" i="29"/>
  <c r="AF13" i="13"/>
  <c r="Z12" i="45"/>
  <c r="J24" i="17"/>
  <c r="O19" i="43"/>
  <c r="D19" i="35"/>
  <c r="M19" i="25"/>
  <c r="M28" i="45"/>
  <c r="E12" i="33"/>
  <c r="F12" i="45"/>
  <c r="Q12" i="13"/>
  <c r="R27" i="43"/>
  <c r="S26" i="11"/>
  <c r="P23" i="25"/>
  <c r="L11" i="45"/>
  <c r="E14" i="37"/>
  <c r="D18" i="31"/>
  <c r="J26" i="23"/>
  <c r="M25" i="45"/>
  <c r="J9" i="13"/>
  <c r="AF28" i="45"/>
  <c r="AC76" i="44"/>
  <c r="I9" i="25"/>
  <c r="E20" i="19"/>
  <c r="AJ8" i="13"/>
  <c r="C24" i="27" a="1"/>
  <c r="L10" i="47"/>
  <c r="U8" i="43"/>
  <c r="AH27" i="43"/>
  <c r="D11" i="35"/>
  <c r="U27" i="13"/>
  <c r="W11" i="45"/>
  <c r="H27" i="53"/>
  <c r="D16" i="47"/>
  <c r="H22" i="25"/>
  <c r="C14" i="25"/>
  <c r="AW28" i="43"/>
  <c r="AK19" i="45"/>
  <c r="D15" i="37"/>
  <c r="Q19" i="13"/>
  <c r="C22" i="47"/>
  <c r="C14" i="43"/>
  <c r="R16" i="13"/>
  <c r="H25" i="45"/>
  <c r="L19" i="19"/>
  <c r="D12" i="27"/>
  <c r="W26" i="21"/>
  <c r="X21" i="25"/>
  <c r="V14" i="13"/>
  <c r="Q18" i="45"/>
  <c r="O9" i="25"/>
  <c r="H13" i="45"/>
  <c r="AD9" i="45"/>
  <c r="D27" i="15"/>
  <c r="AS28" i="43"/>
  <c r="K18" i="19"/>
  <c r="G22" i="25"/>
  <c r="V28" i="25"/>
  <c r="D11" i="37"/>
  <c r="H12" i="37"/>
  <c r="E17" i="27"/>
  <c r="Z15" i="13"/>
  <c r="N20" i="25"/>
  <c r="N19" i="25"/>
  <c r="I23" i="45"/>
  <c r="P20" i="43"/>
  <c r="K28" i="43"/>
  <c r="C22" i="45"/>
  <c r="AH9" i="45"/>
  <c r="I12" i="13"/>
  <c r="H25" i="47"/>
  <c r="E24" i="51"/>
  <c r="U13" i="43"/>
  <c r="T8" i="45"/>
  <c r="S25" i="43"/>
  <c r="Q20" i="13"/>
  <c r="J25" i="25"/>
  <c r="N24" i="43"/>
  <c r="L17" i="45"/>
  <c r="X12" i="45"/>
  <c r="D13" i="33"/>
  <c r="I26" i="43"/>
  <c r="L74" i="24"/>
  <c r="M18" i="13"/>
  <c r="AV27" i="43"/>
  <c r="I24" i="35"/>
  <c r="H21" i="35"/>
  <c r="D25" i="19"/>
  <c r="D11" i="27"/>
  <c r="F15" i="25"/>
  <c r="R24" i="43"/>
  <c r="T18" i="43"/>
  <c r="E26" i="17"/>
  <c r="J24" i="53"/>
  <c r="F24" i="35"/>
  <c r="I15" i="35"/>
  <c r="C20" i="47"/>
  <c r="U12" i="45"/>
  <c r="J16" i="45"/>
  <c r="Y28" i="25"/>
  <c r="F15" i="13"/>
  <c r="AG12" i="45"/>
  <c r="C23" i="29"/>
  <c r="X12" i="13"/>
  <c r="W10" i="25"/>
  <c r="P8" i="13"/>
  <c r="J24" i="11"/>
  <c r="K21" i="25"/>
  <c r="W9" i="25"/>
  <c r="P27" i="19"/>
  <c r="L8" i="25"/>
  <c r="O11" i="25"/>
  <c r="G8" i="43"/>
  <c r="AI14" i="45"/>
  <c r="S12" i="13"/>
  <c r="F12" i="47"/>
  <c r="AL11" i="45"/>
  <c r="AK26" i="45"/>
  <c r="F14" i="19"/>
  <c r="D8" i="13"/>
  <c r="O63" i="12"/>
  <c r="V13" i="13"/>
  <c r="C21" i="19"/>
  <c r="D28" i="27"/>
  <c r="AF17" i="45"/>
  <c r="AA17" i="43"/>
  <c r="P24" i="45"/>
  <c r="E13" i="33"/>
  <c r="T10" i="43"/>
  <c r="AD27" i="45"/>
  <c r="M76" i="46"/>
  <c r="M22" i="19"/>
  <c r="AG13" i="45"/>
  <c r="O76" i="44"/>
  <c r="M9" i="13"/>
  <c r="Z20" i="45"/>
  <c r="N9" i="47"/>
  <c r="AC13" i="13"/>
  <c r="AD15" i="13"/>
  <c r="H26" i="45"/>
  <c r="AJ14" i="45"/>
  <c r="G21" i="19"/>
  <c r="J11" i="37"/>
  <c r="AH19" i="13"/>
  <c r="C18" i="13"/>
  <c r="W19" i="25"/>
  <c r="J22" i="43"/>
  <c r="E25" i="17"/>
  <c r="C20" i="13"/>
  <c r="I8" i="35"/>
  <c r="X12" i="43"/>
  <c r="E18" i="39"/>
  <c r="G17" i="25"/>
  <c r="Y20" i="45"/>
  <c r="J22" i="25"/>
  <c r="AD14" i="45"/>
  <c r="AA17" i="21"/>
  <c r="U24" i="25"/>
  <c r="D27" i="39"/>
  <c r="D26" i="41"/>
  <c r="K13" i="45"/>
  <c r="G19" i="39"/>
  <c r="Y28" i="23"/>
  <c r="D26" i="39"/>
  <c r="AG27" i="13"/>
  <c r="H13" i="37"/>
  <c r="M14" i="47"/>
  <c r="V10" i="25"/>
  <c r="AJ17" i="13"/>
  <c r="F22" i="33"/>
  <c r="D12" i="35"/>
  <c r="E28" i="51"/>
  <c r="E17" i="43"/>
  <c r="D19" i="37"/>
  <c r="I23" i="17"/>
  <c r="C19" i="33"/>
  <c r="AI18" i="45"/>
  <c r="AA9" i="13"/>
  <c r="V28" i="43"/>
  <c r="G28" i="21"/>
  <c r="D16" i="6"/>
  <c r="U16" i="43"/>
  <c r="AE26" i="13"/>
  <c r="C17" i="13"/>
  <c r="X10" i="45"/>
  <c r="J14" i="25"/>
  <c r="AB12" i="45"/>
  <c r="N17" i="43"/>
  <c r="C16" i="45"/>
  <c r="W12" i="25"/>
  <c r="F14" i="35"/>
  <c r="AJ28" i="43"/>
  <c r="E21" i="19"/>
  <c r="H24" i="53"/>
  <c r="U9" i="25"/>
  <c r="AD26" i="45"/>
  <c r="M24" i="47"/>
  <c r="AF10" i="13"/>
  <c r="AE18" i="13"/>
  <c r="AJ12" i="45"/>
  <c r="N13" i="13"/>
  <c r="AI17" i="45"/>
  <c r="Z18" i="25"/>
  <c r="R17" i="45"/>
  <c r="W15" i="13"/>
  <c r="H23" i="43"/>
  <c r="W24" i="25"/>
  <c r="Q21" i="25"/>
  <c r="F9" i="19"/>
  <c r="J18" i="6"/>
  <c r="L21" i="25"/>
  <c r="N10" i="47"/>
  <c r="V12" i="13"/>
  <c r="S19" i="43"/>
  <c r="M12" i="47"/>
  <c r="V24" i="13"/>
  <c r="W12" i="45"/>
  <c r="P26" i="43"/>
  <c r="AD11" i="43"/>
  <c r="D31" i="6"/>
  <c r="U14" i="13"/>
  <c r="I8" i="37"/>
  <c r="AL28" i="45"/>
  <c r="M14" i="45"/>
  <c r="J9" i="37"/>
  <c r="J17" i="6"/>
  <c r="AB22" i="43"/>
  <c r="G22" i="45"/>
  <c r="C19" i="47"/>
  <c r="L24" i="43"/>
  <c r="F13" i="45"/>
  <c r="C24" i="53"/>
  <c r="H13" i="33"/>
  <c r="U21" i="13"/>
  <c r="F14" i="45"/>
  <c r="H23" i="19"/>
  <c r="G26" i="43"/>
  <c r="Y9" i="25"/>
  <c r="F18" i="33"/>
  <c r="Q10" i="43"/>
  <c r="J21" i="6"/>
  <c r="N17" i="13"/>
  <c r="W20" i="43"/>
  <c r="J26" i="21"/>
  <c r="G23" i="33"/>
  <c r="G14" i="19"/>
  <c r="K15" i="37"/>
  <c r="C13" i="27"/>
  <c r="C8" i="35"/>
  <c r="D13" i="25"/>
  <c r="U17" i="13"/>
  <c r="AA13" i="13"/>
  <c r="N12" i="43"/>
  <c r="K24" i="47"/>
  <c r="T14" i="13"/>
  <c r="M15" i="25"/>
  <c r="X8" i="25"/>
  <c r="D68" i="46"/>
  <c r="J15" i="13"/>
  <c r="N19" i="43"/>
  <c r="E17" i="25"/>
  <c r="S20" i="45"/>
  <c r="O25" i="47"/>
  <c r="C18" i="39"/>
  <c r="W26" i="43"/>
  <c r="W27" i="21"/>
  <c r="H26" i="11"/>
  <c r="J24" i="25"/>
  <c r="C15" i="25"/>
  <c r="C14" i="35"/>
  <c r="O21" i="43"/>
  <c r="P16" i="13"/>
  <c r="X9" i="13"/>
  <c r="M18" i="43"/>
  <c r="F25" i="45"/>
  <c r="AJ24" i="13"/>
  <c r="L73" i="36"/>
  <c r="K8" i="13"/>
  <c r="AF80" i="42"/>
  <c r="AJ10" i="13"/>
  <c r="G12" i="25"/>
  <c r="J23" i="45"/>
  <c r="Q12" i="43"/>
  <c r="I13" i="19"/>
  <c r="T14" i="45"/>
  <c r="H11" i="25"/>
  <c r="C27" i="39"/>
  <c r="C23" i="31"/>
  <c r="J27" i="23"/>
  <c r="M63" i="36"/>
  <c r="V19" i="43"/>
  <c r="V21" i="43"/>
  <c r="U24" i="13"/>
  <c r="J13" i="6"/>
  <c r="AC15" i="43"/>
  <c r="K10" i="19"/>
  <c r="U15" i="43"/>
  <c r="Z25" i="25"/>
  <c r="I26" i="17"/>
  <c r="Y17" i="25"/>
  <c r="S28" i="11"/>
  <c r="AE22" i="45"/>
  <c r="AA18" i="13"/>
  <c r="AJ10" i="45"/>
  <c r="D10" i="27"/>
  <c r="D8" i="25"/>
  <c r="AF10" i="45"/>
  <c r="J25" i="21"/>
  <c r="L16" i="19"/>
  <c r="C17" i="25"/>
  <c r="U14" i="25"/>
  <c r="C15" i="13"/>
  <c r="H18" i="13"/>
  <c r="AG17" i="45"/>
  <c r="K14" i="25"/>
  <c r="I13" i="25"/>
  <c r="AJ27" i="43"/>
  <c r="R22" i="25"/>
  <c r="F24" i="47"/>
  <c r="AG14" i="13"/>
  <c r="D26" i="21"/>
  <c r="F11" i="43"/>
  <c r="Z19" i="13"/>
  <c r="AE10" i="13"/>
  <c r="W9" i="13"/>
  <c r="E19" i="37"/>
  <c r="C9" i="43"/>
  <c r="C13" i="45"/>
  <c r="L18" i="19"/>
  <c r="D11" i="47"/>
  <c r="F8" i="37"/>
  <c r="C22" i="29"/>
  <c r="F21" i="19"/>
  <c r="E84" i="42"/>
  <c r="AD12" i="43"/>
  <c r="AB19" i="45"/>
  <c r="I13" i="45"/>
  <c r="X17" i="43"/>
  <c r="N18" i="19"/>
  <c r="H17" i="43"/>
  <c r="C84" i="42"/>
  <c r="L13" i="43"/>
  <c r="J11" i="25"/>
  <c r="V23" i="13"/>
  <c r="D13" i="31"/>
  <c r="AA16" i="13"/>
  <c r="K22" i="45"/>
  <c r="W26" i="25"/>
  <c r="I76" i="42"/>
  <c r="AF14" i="45"/>
  <c r="H22" i="45"/>
  <c r="AH27" i="13"/>
  <c r="C24" i="45"/>
  <c r="AD10" i="45"/>
  <c r="M22" i="25"/>
  <c r="D19" i="19"/>
  <c r="D9" i="25"/>
  <c r="AZ26" i="43"/>
  <c r="F21" i="39"/>
  <c r="AC21" i="45"/>
  <c r="AM20" i="45"/>
  <c r="C8" i="49"/>
  <c r="D15" i="45"/>
  <c r="C17" i="47"/>
  <c r="C68" i="46"/>
  <c r="D24" i="47"/>
  <c r="AA8" i="13"/>
  <c r="G10" i="19"/>
  <c r="Z21" i="25"/>
  <c r="J20" i="13"/>
  <c r="C15" i="37"/>
  <c r="O17" i="25"/>
  <c r="AJ9" i="13"/>
  <c r="AB9" i="43"/>
  <c r="T20" i="25"/>
  <c r="P13" i="19"/>
  <c r="J14" i="37"/>
  <c r="D21" i="29"/>
  <c r="B8" i="6"/>
  <c r="G16" i="13"/>
  <c r="AB14" i="43"/>
  <c r="E24" i="39"/>
  <c r="Z26" i="21"/>
  <c r="D18" i="39"/>
  <c r="N10" i="43"/>
  <c r="Y12" i="13"/>
  <c r="K17" i="19"/>
  <c r="Q14" i="43"/>
  <c r="O10" i="45"/>
  <c r="C20" i="29"/>
  <c r="R10" i="25"/>
  <c r="G23" i="19"/>
  <c r="AB25" i="21"/>
  <c r="I28" i="17"/>
  <c r="AB13" i="45"/>
  <c r="C10" i="45"/>
  <c r="E8" i="19"/>
  <c r="G25" i="47"/>
  <c r="V20" i="25"/>
  <c r="Y26" i="43"/>
  <c r="P12" i="19"/>
  <c r="AV28" i="43"/>
  <c r="C10" i="47"/>
  <c r="P11" i="25"/>
  <c r="AB24" i="45"/>
  <c r="Q64" i="12"/>
  <c r="G24" i="53"/>
  <c r="AC14" i="45"/>
  <c r="E27" i="35"/>
  <c r="S14" i="25"/>
  <c r="C16" i="33"/>
  <c r="C14" i="29"/>
  <c r="AB27" i="45"/>
  <c r="D17" i="25"/>
  <c r="AA15" i="13"/>
  <c r="K8" i="19"/>
  <c r="J23" i="25"/>
  <c r="J12" i="13"/>
  <c r="V20" i="43"/>
  <c r="G16" i="45"/>
  <c r="D23" i="6"/>
  <c r="L12" i="37"/>
  <c r="AG20" i="13"/>
  <c r="G16" i="37"/>
  <c r="AA10" i="21"/>
  <c r="AB11" i="43"/>
  <c r="P15" i="25"/>
  <c r="T11" i="43"/>
  <c r="K26" i="45"/>
  <c r="AK27" i="43"/>
  <c r="E28" i="17"/>
  <c r="W23" i="25"/>
  <c r="O18" i="25"/>
  <c r="V18" i="25"/>
  <c r="R21" i="25"/>
  <c r="P27" i="45"/>
  <c r="AJ20" i="45"/>
  <c r="X15" i="13"/>
  <c r="T12" i="43"/>
  <c r="M16" i="19"/>
  <c r="C15" i="27"/>
  <c r="D14" i="6"/>
  <c r="L27" i="17"/>
  <c r="X25" i="25"/>
  <c r="K13" i="19"/>
  <c r="T8" i="25"/>
  <c r="E8" i="45"/>
  <c r="N27" i="11"/>
  <c r="C25" i="47"/>
  <c r="D24" i="21"/>
  <c r="U24" i="21"/>
  <c r="AA76" i="44"/>
  <c r="G65" i="34"/>
  <c r="Y13" i="13"/>
  <c r="R20" i="43"/>
  <c r="AL80" i="42"/>
  <c r="L9" i="47"/>
  <c r="Y25" i="43"/>
  <c r="Y14" i="45"/>
  <c r="X19" i="13"/>
  <c r="I16" i="19"/>
  <c r="K9" i="13"/>
  <c r="T17" i="43"/>
  <c r="L19" i="45"/>
  <c r="W27" i="13"/>
  <c r="AH15" i="13"/>
  <c r="W16" i="43"/>
  <c r="C25" i="45"/>
  <c r="W15" i="45"/>
  <c r="AJ23" i="13"/>
  <c r="Z17" i="45"/>
  <c r="U11" i="45"/>
  <c r="N11" i="43"/>
  <c r="C71" i="16"/>
  <c r="U15" i="45"/>
  <c r="L21" i="19"/>
  <c r="J26" i="45"/>
  <c r="G23" i="17"/>
  <c r="H16" i="37"/>
  <c r="M18" i="37"/>
  <c r="C8" i="29"/>
  <c r="K11" i="13"/>
  <c r="D25" i="27"/>
  <c r="Q24" i="45"/>
  <c r="U27" i="25"/>
  <c r="AD10" i="43"/>
  <c r="L12" i="43"/>
  <c r="R23" i="25"/>
  <c r="J15" i="37"/>
  <c r="AE19" i="45"/>
  <c r="H14" i="13"/>
  <c r="AC17" i="13"/>
  <c r="G24" i="25"/>
  <c r="C73" i="20"/>
  <c r="AB26" i="43"/>
  <c r="R19" i="13"/>
  <c r="C27" i="53"/>
  <c r="Q13" i="13"/>
  <c r="AA11" i="13"/>
  <c r="AI19" i="45"/>
  <c r="U26" i="21"/>
  <c r="F9" i="25"/>
  <c r="O17" i="47"/>
  <c r="Y16" i="43"/>
  <c r="O23" i="43"/>
  <c r="AA28" i="43"/>
  <c r="Q21" i="45"/>
  <c r="W22" i="25"/>
  <c r="K25" i="19"/>
  <c r="D23" i="43"/>
  <c r="P14" i="19"/>
  <c r="D24" i="6"/>
  <c r="M28" i="43"/>
  <c r="C74" i="28"/>
  <c r="N63" i="12"/>
  <c r="U20" i="43"/>
  <c r="C8" i="31"/>
  <c r="AA19" i="45"/>
  <c r="G12" i="13"/>
  <c r="AB25" i="45"/>
  <c r="N16" i="37"/>
  <c r="AK8" i="45"/>
  <c r="C11" i="49"/>
  <c r="K12" i="37"/>
  <c r="N20" i="19"/>
  <c r="Z27" i="43"/>
  <c r="L24" i="17"/>
  <c r="AB62" i="22"/>
  <c r="H23" i="33"/>
  <c r="W8" i="13"/>
  <c r="K15" i="25"/>
  <c r="C19" i="37"/>
  <c r="O28" i="13"/>
  <c r="Z11" i="43"/>
  <c r="P19" i="25"/>
  <c r="Z15" i="45"/>
  <c r="G25" i="43"/>
  <c r="F18" i="19"/>
  <c r="Q18" i="13"/>
  <c r="AE15" i="13"/>
  <c r="I26" i="45"/>
  <c r="G22" i="19"/>
  <c r="O12" i="47"/>
  <c r="W15" i="25"/>
  <c r="I19" i="37"/>
  <c r="T18" i="45"/>
  <c r="AF15" i="13"/>
  <c r="E26" i="39"/>
  <c r="AC13" i="45"/>
  <c r="F23" i="33"/>
  <c r="M10" i="25"/>
  <c r="M25" i="21"/>
  <c r="D8" i="49"/>
  <c r="G28" i="39"/>
  <c r="C27" i="35"/>
  <c r="AT27" i="43"/>
  <c r="W28" i="43"/>
  <c r="J8" i="43"/>
  <c r="G12" i="35"/>
  <c r="T20" i="43"/>
  <c r="M21" i="43"/>
  <c r="L19" i="37"/>
  <c r="D24" i="35"/>
  <c r="X19" i="45"/>
  <c r="D26" i="47"/>
  <c r="K20" i="47"/>
  <c r="K16" i="47"/>
  <c r="D16" i="45"/>
  <c r="AC11" i="45"/>
  <c r="D15" i="43"/>
  <c r="AA17" i="13"/>
  <c r="C8" i="19"/>
  <c r="D19" i="47"/>
  <c r="G10" i="13"/>
  <c r="K19" i="43"/>
  <c r="F14" i="43"/>
  <c r="J13" i="19"/>
  <c r="I19" i="45"/>
  <c r="AV26" i="43"/>
  <c r="J24" i="45"/>
  <c r="K21" i="43"/>
  <c r="AL24" i="45"/>
  <c r="L20" i="19"/>
  <c r="AG16" i="45"/>
  <c r="H14" i="35"/>
  <c r="S11" i="25"/>
  <c r="I9" i="43"/>
  <c r="I27" i="17"/>
  <c r="C28" i="41"/>
  <c r="L27" i="43"/>
  <c r="Z21" i="45"/>
  <c r="P15" i="19"/>
  <c r="J25" i="23"/>
  <c r="I11" i="19"/>
  <c r="G9" i="45"/>
  <c r="AM26" i="45"/>
  <c r="D10" i="35"/>
  <c r="G88" i="16"/>
  <c r="O17" i="13"/>
  <c r="G18" i="25"/>
  <c r="J12" i="19"/>
  <c r="D26" i="45"/>
  <c r="E19" i="33"/>
  <c r="E8" i="25"/>
  <c r="R14" i="43"/>
  <c r="H24" i="11"/>
  <c r="W25" i="25"/>
  <c r="G15" i="25"/>
  <c r="AE24" i="13"/>
  <c r="G20" i="43"/>
  <c r="V12" i="25"/>
  <c r="N26" i="43"/>
  <c r="X8" i="45"/>
  <c r="F26" i="45"/>
  <c r="T27" i="13"/>
  <c r="M63" i="20"/>
  <c r="H12" i="45"/>
  <c r="N8" i="43"/>
  <c r="J16" i="37"/>
  <c r="H12" i="19"/>
  <c r="O10" i="37"/>
  <c r="G16" i="19"/>
  <c r="W26" i="13"/>
  <c r="AA13" i="45"/>
  <c r="N12" i="19"/>
  <c r="H18" i="25"/>
  <c r="C12" i="25"/>
  <c r="AU27" i="43"/>
  <c r="P9" i="43"/>
  <c r="F21" i="33"/>
  <c r="G13" i="45"/>
  <c r="D23" i="31"/>
  <c r="D27" i="45"/>
  <c r="AA22" i="45"/>
  <c r="P22" i="43"/>
  <c r="K14" i="47"/>
  <c r="F14" i="25"/>
  <c r="F18" i="45"/>
  <c r="I11" i="37"/>
  <c r="T21" i="13"/>
  <c r="C22" i="19"/>
  <c r="Q16" i="45"/>
  <c r="X24" i="25"/>
  <c r="K76" i="46"/>
  <c r="V9" i="45"/>
  <c r="F12" i="37"/>
  <c r="C10" i="31"/>
  <c r="N18" i="47"/>
  <c r="P17" i="13"/>
  <c r="F28" i="53"/>
  <c r="L16" i="13"/>
  <c r="K18" i="45"/>
  <c r="E20" i="33"/>
  <c r="C18" i="37"/>
  <c r="T19" i="45"/>
  <c r="I15" i="19"/>
  <c r="O25" i="37"/>
  <c r="T9" i="43"/>
  <c r="F19" i="47"/>
  <c r="W18" i="13"/>
  <c r="E23" i="39"/>
  <c r="AH9" i="13"/>
  <c r="Z11" i="45"/>
  <c r="M13" i="13"/>
  <c r="J19" i="19"/>
  <c r="O14" i="47"/>
  <c r="H20" i="43"/>
  <c r="C14" i="13"/>
  <c r="V13" i="45"/>
  <c r="Z10" i="43"/>
  <c r="Y10" i="45"/>
  <c r="G26" i="17"/>
  <c r="S13" i="45"/>
  <c r="E10" i="13"/>
  <c r="T23" i="13"/>
  <c r="AC12" i="13"/>
  <c r="C14" i="37"/>
  <c r="H27" i="13"/>
  <c r="Z14" i="13"/>
  <c r="W18" i="45"/>
  <c r="X21" i="43"/>
  <c r="AB16" i="43"/>
  <c r="L17" i="37"/>
  <c r="F20" i="47"/>
  <c r="AD9" i="13"/>
  <c r="E14" i="33"/>
  <c r="Y10" i="25"/>
  <c r="F76" i="46"/>
  <c r="D14" i="35"/>
  <c r="AH20" i="45"/>
  <c r="T21" i="25"/>
  <c r="C18" i="27"/>
  <c r="D22" i="33"/>
  <c r="C18" i="33"/>
  <c r="F19" i="25"/>
  <c r="M10" i="43"/>
  <c r="L12" i="13"/>
  <c r="S18" i="25"/>
  <c r="T15" i="25"/>
  <c r="D18" i="25"/>
  <c r="AE11" i="45"/>
  <c r="I9" i="13"/>
  <c r="H8" i="37"/>
  <c r="F19" i="45"/>
  <c r="H14" i="25"/>
  <c r="Q14" i="25"/>
  <c r="M8" i="19"/>
  <c r="Y19" i="45"/>
  <c r="AB8" i="43"/>
  <c r="AH14" i="45"/>
  <c r="AD13" i="43"/>
  <c r="AK16" i="45"/>
  <c r="AA18" i="45"/>
  <c r="K25" i="43"/>
  <c r="AA16" i="43"/>
  <c r="J11" i="13"/>
  <c r="AK15" i="45"/>
  <c r="C19" i="43"/>
  <c r="AA16" i="45"/>
  <c r="AB18" i="43"/>
  <c r="E15" i="19"/>
  <c r="K9" i="47"/>
  <c r="I18" i="35"/>
  <c r="F20" i="19"/>
  <c r="C17" i="45"/>
  <c r="D16" i="13"/>
  <c r="P8" i="25"/>
  <c r="U8" i="25"/>
  <c r="R13" i="43"/>
  <c r="E17" i="19"/>
  <c r="U28" i="43"/>
  <c r="AC72" i="12"/>
  <c r="Z10" i="13"/>
  <c r="D14" i="47"/>
  <c r="AA21" i="43"/>
  <c r="T19" i="13"/>
  <c r="K19" i="47"/>
  <c r="C74" i="24"/>
  <c r="L74" i="22"/>
  <c r="AL27" i="45"/>
  <c r="P19" i="19"/>
  <c r="K9" i="37"/>
  <c r="AI27" i="43"/>
  <c r="AH24" i="45"/>
  <c r="AG16" i="13"/>
  <c r="U22" i="45"/>
  <c r="J19" i="37"/>
  <c r="T13" i="25"/>
  <c r="T25" i="13"/>
  <c r="M11" i="37"/>
  <c r="AI27" i="13"/>
  <c r="J27" i="45"/>
  <c r="R19" i="43"/>
  <c r="Z8" i="45"/>
  <c r="I12" i="45"/>
  <c r="O74" i="24"/>
  <c r="L10" i="37"/>
  <c r="G80" i="46"/>
  <c r="R14" i="25"/>
  <c r="X24" i="21"/>
  <c r="H28" i="53"/>
  <c r="C18" i="19"/>
  <c r="AE18" i="45"/>
  <c r="N11" i="25"/>
  <c r="J13" i="25"/>
  <c r="E11" i="19"/>
  <c r="G20" i="33"/>
  <c r="AC27" i="60"/>
  <c r="U15" i="25"/>
  <c r="Y22" i="25"/>
  <c r="Z10" i="45"/>
  <c r="N17" i="19"/>
  <c r="AC26" i="43"/>
  <c r="T22" i="43"/>
  <c r="S9" i="13"/>
  <c r="S10" i="25"/>
  <c r="AI10" i="45"/>
  <c r="M13" i="43"/>
  <c r="L10" i="19"/>
  <c r="D24" i="25"/>
  <c r="AD12" i="13"/>
  <c r="E9" i="37"/>
  <c r="F19" i="35"/>
  <c r="AD8" i="13"/>
  <c r="F13" i="47"/>
  <c r="R14" i="45"/>
  <c r="N22" i="19"/>
  <c r="H20" i="25"/>
  <c r="V16" i="43"/>
  <c r="M17" i="19"/>
  <c r="E17" i="47"/>
  <c r="J19" i="13"/>
  <c r="K14" i="45"/>
  <c r="AA15" i="21"/>
  <c r="AA15" i="45"/>
  <c r="L22" i="45"/>
  <c r="H11" i="37"/>
  <c r="C23" i="35"/>
  <c r="T24" i="13"/>
  <c r="D19" i="43"/>
  <c r="H17" i="25"/>
  <c r="H13" i="25"/>
  <c r="AH8" i="45"/>
  <c r="O24" i="37"/>
  <c r="E12" i="35"/>
  <c r="K20" i="25"/>
  <c r="C20" i="39"/>
  <c r="AG19" i="45"/>
  <c r="AF27" i="23"/>
  <c r="O24" i="21"/>
  <c r="D23" i="19"/>
  <c r="I12" i="25"/>
  <c r="R18" i="13"/>
  <c r="J18" i="19"/>
  <c r="M14" i="25"/>
  <c r="M27" i="45"/>
  <c r="B9" i="6"/>
  <c r="G20" i="45"/>
  <c r="J10" i="37"/>
  <c r="T22" i="45"/>
  <c r="D26" i="43"/>
  <c r="AA26" i="43"/>
  <c r="C9" i="29"/>
  <c r="N22" i="47"/>
  <c r="I15" i="25"/>
  <c r="I74" i="24"/>
  <c r="O8" i="43"/>
  <c r="D22" i="6"/>
  <c r="L13" i="45"/>
  <c r="Y9" i="43"/>
  <c r="Z23" i="43"/>
  <c r="AD27" i="23"/>
  <c r="S9" i="43"/>
  <c r="H10" i="37"/>
  <c r="D13" i="43"/>
  <c r="T22" i="25"/>
  <c r="J13" i="45"/>
  <c r="AD17" i="43"/>
  <c r="K9" i="45"/>
  <c r="K10" i="13"/>
  <c r="V17" i="13"/>
  <c r="Z28" i="21"/>
  <c r="D23" i="33"/>
  <c r="AY27" i="43"/>
  <c r="Y15" i="43"/>
  <c r="V25" i="25"/>
  <c r="F25" i="19"/>
  <c r="D15" i="6"/>
  <c r="M13" i="47"/>
  <c r="AF22" i="45"/>
  <c r="Y8" i="43"/>
  <c r="E9" i="35"/>
  <c r="N22" i="25"/>
  <c r="L18" i="43"/>
  <c r="U22" i="43"/>
  <c r="X20" i="13"/>
  <c r="G20" i="13"/>
  <c r="D8" i="31"/>
  <c r="G26" i="21"/>
  <c r="D10" i="43"/>
  <c r="J22" i="45"/>
  <c r="O9" i="19"/>
  <c r="E22" i="39"/>
  <c r="E14" i="35"/>
  <c r="U21" i="25"/>
  <c r="E23" i="43"/>
  <c r="G11" i="43"/>
  <c r="S24" i="11"/>
  <c r="AA24" i="43"/>
  <c r="D25" i="15"/>
  <c r="Q13" i="45"/>
  <c r="L28" i="43"/>
  <c r="J12" i="25"/>
  <c r="K10" i="47"/>
  <c r="M22" i="43"/>
  <c r="M21" i="25"/>
  <c r="M12" i="19"/>
  <c r="N9" i="25"/>
  <c r="AA15" i="43"/>
  <c r="M27" i="43"/>
  <c r="E73" i="32"/>
  <c r="U22" i="13"/>
  <c r="H20" i="19"/>
  <c r="Q8" i="25"/>
  <c r="H17" i="13"/>
  <c r="L26" i="17"/>
  <c r="C10" i="33"/>
  <c r="E13" i="35"/>
  <c r="Z16" i="43"/>
  <c r="E25" i="45"/>
  <c r="D19" i="13"/>
  <c r="C14" i="31"/>
  <c r="G10" i="33"/>
  <c r="D26" i="51"/>
  <c r="AD26" i="43"/>
  <c r="M25" i="25"/>
  <c r="G84" i="44"/>
  <c r="AJ20" i="13"/>
  <c r="M28" i="23"/>
  <c r="J30" i="6"/>
  <c r="Z25" i="21"/>
  <c r="O28" i="43"/>
  <c r="Q17" i="45"/>
  <c r="E22" i="19"/>
  <c r="D24" i="53"/>
  <c r="O15" i="19"/>
  <c r="F27" i="19"/>
  <c r="R26" i="13"/>
  <c r="C11" i="33"/>
  <c r="S28" i="43"/>
  <c r="R21" i="13"/>
  <c r="C23" i="25"/>
  <c r="Z74" i="22"/>
  <c r="Y13" i="45"/>
  <c r="N21" i="19"/>
  <c r="D28" i="21"/>
  <c r="E17" i="33"/>
  <c r="F9" i="33"/>
  <c r="AD12" i="45"/>
  <c r="H19" i="45"/>
  <c r="X26" i="43"/>
  <c r="J27" i="21"/>
  <c r="R23" i="13"/>
  <c r="U26" i="43"/>
  <c r="N14" i="47"/>
  <c r="W12" i="13"/>
  <c r="R18" i="43"/>
  <c r="AA25" i="43"/>
  <c r="M14" i="19"/>
  <c r="Y16" i="45"/>
  <c r="C17" i="37"/>
  <c r="Y9" i="13"/>
  <c r="AI22" i="45"/>
  <c r="F12" i="13"/>
  <c r="AK23" i="45"/>
  <c r="C20" i="45"/>
  <c r="W12" i="43"/>
  <c r="E28" i="35"/>
  <c r="C15" i="43"/>
  <c r="Z14" i="43"/>
  <c r="D12" i="43"/>
  <c r="V22" i="45"/>
  <c r="AG18" i="13"/>
  <c r="P12" i="43"/>
  <c r="P17" i="43"/>
  <c r="Q8" i="43"/>
  <c r="H24" i="19"/>
  <c r="Q27" i="43"/>
  <c r="W24" i="23"/>
  <c r="K12" i="13"/>
  <c r="N26" i="47"/>
  <c r="T10" i="25"/>
  <c r="G8" i="37"/>
  <c r="AF25" i="13"/>
  <c r="Q19" i="45"/>
  <c r="I9" i="45"/>
  <c r="E24" i="45"/>
  <c r="D21" i="45"/>
  <c r="T27" i="43"/>
  <c r="M23" i="43"/>
  <c r="M17" i="25"/>
  <c r="L22" i="25"/>
  <c r="Y16" i="13"/>
  <c r="E25" i="51"/>
  <c r="P19" i="43"/>
  <c r="E9" i="25"/>
  <c r="F22" i="35"/>
  <c r="F18" i="37"/>
  <c r="H16" i="13"/>
  <c r="J22" i="19"/>
  <c r="J9" i="19"/>
  <c r="D28" i="19"/>
  <c r="G13" i="25"/>
  <c r="H19" i="43"/>
  <c r="AF23" i="13"/>
  <c r="X12" i="25"/>
  <c r="D17" i="47"/>
  <c r="D14" i="33"/>
  <c r="W19" i="45"/>
  <c r="R24" i="45"/>
  <c r="V27" i="21"/>
  <c r="C23" i="27" a="1"/>
  <c r="E8" i="27"/>
  <c r="J13" i="13"/>
  <c r="L25" i="45"/>
  <c r="E9" i="47"/>
  <c r="C13" i="33"/>
  <c r="H13" i="35"/>
  <c r="G16" i="33"/>
  <c r="X18" i="45"/>
  <c r="F24" i="11"/>
  <c r="V11" i="45"/>
  <c r="K27" i="43"/>
  <c r="AH26" i="13"/>
  <c r="X10" i="13"/>
  <c r="D27" i="25"/>
  <c r="D12" i="47"/>
  <c r="AH11" i="13"/>
  <c r="D25" i="21"/>
  <c r="H28" i="45"/>
  <c r="U13" i="25"/>
  <c r="I14" i="37"/>
  <c r="C19" i="29"/>
  <c r="AK13" i="45"/>
  <c r="G9" i="35"/>
  <c r="W13" i="43"/>
  <c r="N20" i="47"/>
  <c r="Y18" i="13"/>
  <c r="T28" i="43"/>
  <c r="S9" i="45"/>
  <c r="D10" i="29"/>
  <c r="E11" i="27"/>
  <c r="X23" i="13"/>
  <c r="Q23" i="43"/>
  <c r="F11" i="19"/>
  <c r="H20" i="35"/>
  <c r="AC28" i="60"/>
  <c r="E20" i="27"/>
  <c r="O16" i="45"/>
  <c r="P13" i="43"/>
  <c r="G25" i="53"/>
  <c r="V17" i="25"/>
  <c r="V14" i="45"/>
  <c r="G25" i="39"/>
  <c r="P10" i="13"/>
  <c r="C19" i="45"/>
  <c r="AF17" i="13"/>
  <c r="F16" i="25"/>
  <c r="P21" i="19"/>
  <c r="R24" i="21"/>
  <c r="G12" i="19"/>
  <c r="T9" i="25"/>
  <c r="N73" i="12"/>
  <c r="E18" i="37"/>
  <c r="AA17" i="45"/>
  <c r="J18" i="45"/>
  <c r="U68" i="44"/>
  <c r="AJ14" i="13"/>
  <c r="E16" i="47"/>
  <c r="F11" i="13"/>
  <c r="D13" i="27"/>
  <c r="AD76" i="12"/>
  <c r="H26" i="17"/>
  <c r="AK22" i="45"/>
  <c r="C24" i="43"/>
  <c r="I11" i="25"/>
  <c r="L19" i="25"/>
  <c r="K17" i="45"/>
  <c r="P26" i="25"/>
  <c r="AC20" i="45"/>
  <c r="H15" i="43"/>
  <c r="D14" i="29"/>
  <c r="G17" i="45"/>
  <c r="P23" i="19"/>
  <c r="C25" i="41"/>
  <c r="C15" i="19"/>
  <c r="C11" i="27"/>
  <c r="C20" i="31"/>
  <c r="D27" i="21"/>
  <c r="X28" i="23"/>
  <c r="E11" i="45"/>
  <c r="D14" i="27"/>
  <c r="U19" i="25"/>
  <c r="E13" i="25"/>
  <c r="S23" i="25"/>
  <c r="D9" i="45"/>
  <c r="O15" i="47"/>
  <c r="C22" i="25"/>
  <c r="R17" i="43"/>
  <c r="D28" i="25"/>
  <c r="K16" i="13"/>
  <c r="H13" i="19"/>
  <c r="AB9" i="45"/>
  <c r="Q15" i="45"/>
  <c r="AA27" i="21"/>
  <c r="U18" i="43"/>
  <c r="C12" i="37"/>
  <c r="G8" i="35"/>
  <c r="N16" i="43"/>
  <c r="D21" i="6"/>
  <c r="AD24" i="45"/>
  <c r="G20" i="19"/>
  <c r="E8" i="37"/>
  <c r="AD23" i="13"/>
  <c r="J17" i="25"/>
  <c r="L27" i="45"/>
  <c r="AG14" i="45"/>
  <c r="Z24" i="25"/>
  <c r="L8" i="19"/>
  <c r="D20" i="43"/>
  <c r="L15" i="13"/>
  <c r="P23" i="43"/>
  <c r="G8" i="25"/>
  <c r="S22" i="45"/>
  <c r="O15" i="37"/>
  <c r="W23" i="13"/>
  <c r="AJ25" i="13"/>
  <c r="W14" i="45"/>
  <c r="J11" i="43"/>
  <c r="AK11" i="45"/>
  <c r="D9" i="33"/>
  <c r="L14" i="25"/>
  <c r="AE24" i="23"/>
  <c r="AA14" i="45"/>
  <c r="D11" i="33"/>
  <c r="V58" i="22"/>
  <c r="M68" i="46"/>
  <c r="AJ27" i="45"/>
  <c r="X22" i="25"/>
  <c r="W27" i="23"/>
  <c r="I17" i="43"/>
  <c r="AK26" i="43"/>
  <c r="E10" i="43"/>
  <c r="I21" i="35"/>
  <c r="I18" i="43"/>
  <c r="D21" i="25"/>
  <c r="L10" i="43"/>
  <c r="F12" i="19"/>
  <c r="AD28" i="23"/>
  <c r="C11" i="13"/>
  <c r="D16" i="33"/>
  <c r="R24" i="13"/>
  <c r="C10" i="25"/>
  <c r="I18" i="25"/>
  <c r="Y17" i="13"/>
  <c r="K14" i="43"/>
  <c r="D8" i="33"/>
  <c r="J8" i="13"/>
  <c r="X20" i="43"/>
  <c r="E8" i="35"/>
  <c r="Z14" i="45"/>
  <c r="Y14" i="43"/>
  <c r="C20" i="41"/>
  <c r="C13" i="13"/>
  <c r="O20" i="13"/>
  <c r="O19" i="47"/>
  <c r="C18" i="25"/>
  <c r="P28" i="43"/>
  <c r="R8" i="13"/>
  <c r="O12" i="37"/>
  <c r="AR80" i="42"/>
  <c r="AK28" i="43"/>
  <c r="AE15" i="45"/>
  <c r="AA28" i="21"/>
  <c r="J28" i="53"/>
  <c r="D27" i="19"/>
  <c r="Q11" i="43"/>
  <c r="V8" i="25"/>
  <c r="W16" i="25"/>
  <c r="AB28" i="21"/>
  <c r="E13" i="19"/>
  <c r="H8" i="19"/>
  <c r="K12" i="45"/>
  <c r="X15" i="25"/>
  <c r="V23" i="43"/>
  <c r="AD25" i="23"/>
  <c r="E28" i="39"/>
  <c r="U17" i="45"/>
  <c r="J63" i="36"/>
  <c r="E16" i="25"/>
  <c r="D21" i="39"/>
  <c r="S13" i="13"/>
  <c r="Y10" i="13"/>
  <c r="L13" i="25"/>
  <c r="J25" i="53"/>
  <c r="D25" i="47"/>
  <c r="U15" i="13"/>
  <c r="L19" i="13"/>
  <c r="O8" i="13"/>
  <c r="K25" i="45"/>
  <c r="H9" i="25"/>
  <c r="AA8" i="21"/>
  <c r="V12" i="45"/>
  <c r="AG10" i="45"/>
  <c r="AL23" i="45"/>
  <c r="M10" i="37"/>
  <c r="M20" i="43"/>
  <c r="AE17" i="45"/>
  <c r="C17" i="43"/>
  <c r="Y10" i="43"/>
  <c r="D12" i="19"/>
  <c r="W8" i="43"/>
  <c r="O19" i="25"/>
  <c r="J24" i="6"/>
  <c r="J27" i="25"/>
  <c r="D60" i="40"/>
  <c r="AB9" i="13"/>
  <c r="E13" i="37"/>
  <c r="C11" i="43"/>
  <c r="L8" i="43"/>
  <c r="F9" i="13"/>
  <c r="I17" i="25"/>
  <c r="AF9" i="45"/>
  <c r="J17" i="45"/>
  <c r="V17" i="43"/>
  <c r="C16" i="13"/>
  <c r="W9" i="43"/>
  <c r="T11" i="25"/>
  <c r="O24" i="43"/>
  <c r="G26" i="25"/>
  <c r="I8" i="45"/>
  <c r="AB23" i="43"/>
  <c r="B12" i="6"/>
  <c r="C13" i="25"/>
  <c r="N13" i="25"/>
  <c r="C11" i="19"/>
  <c r="AE9" i="45"/>
  <c r="H9" i="19"/>
  <c r="H12" i="13"/>
  <c r="L9" i="37"/>
  <c r="Z21" i="43"/>
  <c r="C18" i="41"/>
  <c r="C12" i="33"/>
  <c r="U14" i="43"/>
  <c r="M21" i="45"/>
  <c r="U13" i="45"/>
  <c r="O19" i="37"/>
  <c r="G21" i="39"/>
  <c r="O14" i="13"/>
  <c r="AB14" i="45"/>
  <c r="I13" i="35"/>
  <c r="L26" i="43"/>
  <c r="AF20" i="13"/>
  <c r="E12" i="45"/>
  <c r="M17" i="37"/>
  <c r="E26" i="45"/>
  <c r="M15" i="47"/>
  <c r="T28" i="11"/>
  <c r="M27" i="23"/>
  <c r="Y11" i="43"/>
  <c r="K10" i="43"/>
  <c r="AI12" i="45"/>
  <c r="R28" i="13"/>
  <c r="D27" i="53"/>
  <c r="G16" i="35"/>
  <c r="D24" i="51"/>
  <c r="AB20" i="43"/>
  <c r="U74" i="22"/>
  <c r="T26" i="43"/>
  <c r="E18" i="19"/>
  <c r="AA10" i="45"/>
  <c r="AF19" i="45"/>
  <c r="AD84" i="42"/>
  <c r="AJ26" i="13"/>
  <c r="D14" i="13"/>
  <c r="E9" i="27"/>
  <c r="C14" i="45"/>
  <c r="D25" i="45"/>
  <c r="O8" i="45"/>
  <c r="D9" i="43"/>
  <c r="H24" i="45"/>
  <c r="J73" i="12"/>
  <c r="D12" i="37"/>
  <c r="V25" i="21"/>
  <c r="H65" i="34"/>
  <c r="Y19" i="13"/>
  <c r="E14" i="27"/>
  <c r="O27" i="43"/>
  <c r="H16" i="35"/>
  <c r="M19" i="43"/>
  <c r="W8" i="25"/>
  <c r="Y14" i="13"/>
  <c r="E14" i="43"/>
  <c r="W14" i="13"/>
  <c r="E19" i="43"/>
  <c r="AA11" i="43"/>
  <c r="T22" i="13"/>
  <c r="AF11" i="13"/>
  <c r="O8" i="19"/>
  <c r="D23" i="35"/>
  <c r="N8" i="25"/>
  <c r="D16" i="31"/>
  <c r="G15" i="13"/>
  <c r="J12" i="6"/>
  <c r="H16" i="33"/>
  <c r="O13" i="25"/>
  <c r="J18" i="37"/>
  <c r="J28" i="6"/>
  <c r="AC25" i="23"/>
  <c r="AI24" i="45"/>
  <c r="AD17" i="13"/>
  <c r="F11" i="45"/>
  <c r="B11" i="6"/>
  <c r="AE25" i="23"/>
  <c r="F10" i="35"/>
  <c r="G15" i="35"/>
  <c r="L17" i="25"/>
  <c r="L15" i="45"/>
  <c r="N15" i="37"/>
  <c r="X10" i="25"/>
  <c r="S72" i="12"/>
  <c r="K18" i="13"/>
  <c r="E16" i="35"/>
  <c r="AF8" i="45"/>
  <c r="I11" i="43"/>
  <c r="D18" i="6"/>
  <c r="J15" i="25"/>
  <c r="AA20" i="43"/>
  <c r="I23" i="35"/>
  <c r="I14" i="13"/>
  <c r="D13" i="37"/>
  <c r="AC22" i="13"/>
  <c r="G8" i="13"/>
  <c r="F23" i="39"/>
  <c r="AA18" i="21"/>
  <c r="K12" i="19"/>
  <c r="F13" i="37"/>
  <c r="D18" i="33"/>
  <c r="L28" i="45"/>
  <c r="X25" i="23"/>
  <c r="V16" i="25"/>
  <c r="J8" i="37"/>
  <c r="N22" i="43"/>
  <c r="F8" i="43"/>
  <c r="AH10" i="13"/>
  <c r="AC28" i="43"/>
  <c r="P27" i="43"/>
  <c r="M20" i="45"/>
  <c r="X19" i="25"/>
  <c r="AJ18" i="45"/>
  <c r="I16" i="37"/>
  <c r="O9" i="37"/>
  <c r="O26" i="47"/>
  <c r="Z23" i="25"/>
  <c r="R19" i="25"/>
  <c r="P16" i="19"/>
  <c r="AB17" i="13"/>
  <c r="S24" i="21"/>
  <c r="K21" i="13"/>
  <c r="J31" i="6"/>
  <c r="S24" i="23"/>
  <c r="X24" i="45"/>
  <c r="O21" i="13"/>
  <c r="D24" i="23"/>
  <c r="E19" i="13"/>
  <c r="Y23" i="13"/>
  <c r="G18" i="13"/>
  <c r="I19" i="13"/>
  <c r="N21" i="13"/>
  <c r="S24" i="25"/>
  <c r="G17" i="13"/>
  <c r="D21" i="13"/>
  <c r="AA21" i="13"/>
  <c r="C21" i="27"/>
  <c r="AI8" i="13"/>
  <c r="J21" i="13"/>
  <c r="L20" i="13"/>
  <c r="C23" i="17"/>
  <c r="M21" i="13"/>
  <c r="G24" i="23"/>
  <c r="B48" i="7"/>
  <c r="E20" i="13"/>
  <c r="Y72" i="12"/>
  <c r="K26" i="57" l="1"/>
  <c r="E18" i="6"/>
  <c r="S73" i="12"/>
  <c r="O73" i="18" s="1"/>
  <c r="C11" i="6"/>
  <c r="K28" i="6"/>
  <c r="K12" i="6"/>
  <c r="H66" i="34"/>
  <c r="H67" i="34" s="1"/>
  <c r="J74" i="12"/>
  <c r="P73" i="12"/>
  <c r="C73" i="12"/>
  <c r="AD85" i="42"/>
  <c r="AD86" i="42" s="1"/>
  <c r="AD87" i="42" s="1"/>
  <c r="U75" i="22"/>
  <c r="C13" i="6"/>
  <c r="C12" i="6"/>
  <c r="D61" i="40"/>
  <c r="K24" i="6"/>
  <c r="J64" i="36"/>
  <c r="K63" i="36"/>
  <c r="AR81" i="42"/>
  <c r="AR82" i="42" s="1"/>
  <c r="AR83" i="42" s="1"/>
  <c r="M69" i="46"/>
  <c r="V59" i="22"/>
  <c r="V60" i="22" s="1"/>
  <c r="V61" i="22" s="1"/>
  <c r="E21" i="6"/>
  <c r="AD77" i="12"/>
  <c r="AD78" i="12" s="1"/>
  <c r="R76" i="20"/>
  <c r="U69" i="44"/>
  <c r="W69" i="44" s="1"/>
  <c r="W68" i="44"/>
  <c r="G73" i="12"/>
  <c r="I73" i="12" s="1"/>
  <c r="N74" i="12"/>
  <c r="C23" i="27"/>
  <c r="Z75" i="22"/>
  <c r="K30" i="6"/>
  <c r="G85" i="44"/>
  <c r="G86" i="44" s="1"/>
  <c r="G87" i="44" s="1"/>
  <c r="H73" i="32"/>
  <c r="E74" i="32"/>
  <c r="E15" i="6"/>
  <c r="E22" i="6"/>
  <c r="I75" i="24"/>
  <c r="K74" i="24"/>
  <c r="C9" i="6"/>
  <c r="G81" i="46"/>
  <c r="G82" i="46" s="1"/>
  <c r="G83" i="46" s="1"/>
  <c r="O75" i="24"/>
  <c r="Q74" i="24"/>
  <c r="L75" i="22"/>
  <c r="N74" i="22"/>
  <c r="E74" i="24"/>
  <c r="C75" i="24"/>
  <c r="AC73" i="12"/>
  <c r="F77" i="46"/>
  <c r="F78" i="46" s="1"/>
  <c r="F79" i="46" s="1"/>
  <c r="K77" i="46"/>
  <c r="K78" i="46" s="1"/>
  <c r="K79" i="46" s="1"/>
  <c r="M64" i="20"/>
  <c r="N64" i="20" s="1"/>
  <c r="N63" i="20"/>
  <c r="G89" i="16"/>
  <c r="G90" i="16" s="1"/>
  <c r="G91" i="16" s="1"/>
  <c r="AB63" i="22"/>
  <c r="AB64" i="22" s="1"/>
  <c r="AB65" i="22" s="1"/>
  <c r="G63" i="12"/>
  <c r="G64" i="12" s="1"/>
  <c r="L63" i="12"/>
  <c r="N64" i="12"/>
  <c r="C75" i="28"/>
  <c r="E24" i="6"/>
  <c r="C74" i="20"/>
  <c r="E73" i="20"/>
  <c r="C72" i="16"/>
  <c r="AO80" i="42"/>
  <c r="AO81" i="42" s="1"/>
  <c r="AO82" i="42" s="1"/>
  <c r="AO83" i="42" s="1"/>
  <c r="AQ80" i="42"/>
  <c r="AQ81" i="42" s="1"/>
  <c r="AQ82" i="42" s="1"/>
  <c r="AQ83" i="42" s="1"/>
  <c r="AM80" i="42"/>
  <c r="AM81" i="42" s="1"/>
  <c r="AM82" i="42" s="1"/>
  <c r="AM83" i="42" s="1"/>
  <c r="AL81" i="42"/>
  <c r="AN80" i="42"/>
  <c r="AN81" i="42" s="1"/>
  <c r="AN82" i="42" s="1"/>
  <c r="AN83" i="42" s="1"/>
  <c r="AP80" i="42"/>
  <c r="G66" i="34"/>
  <c r="G67" i="34" s="1"/>
  <c r="AA77" i="44"/>
  <c r="AA78" i="44" s="1"/>
  <c r="AA79" i="44" s="1"/>
  <c r="E14" i="6"/>
  <c r="E23" i="6"/>
  <c r="Q65" i="12"/>
  <c r="Q66" i="12" s="1"/>
  <c r="Q67" i="12" s="1"/>
  <c r="C69" i="46"/>
  <c r="I77" i="42"/>
  <c r="I78" i="42" s="1"/>
  <c r="I79" i="42" s="1"/>
  <c r="C85" i="42"/>
  <c r="C86" i="42" s="1"/>
  <c r="C87" i="42" s="1"/>
  <c r="E85" i="42"/>
  <c r="E86" i="42" s="1"/>
  <c r="E87" i="42" s="1"/>
  <c r="K13" i="6"/>
  <c r="M64" i="36"/>
  <c r="N63" i="36"/>
  <c r="AF81" i="42"/>
  <c r="AF82" i="42" s="1"/>
  <c r="AF83" i="42" s="1"/>
  <c r="L74" i="36"/>
  <c r="K25" i="57"/>
  <c r="D69" i="46"/>
  <c r="K21" i="6"/>
  <c r="K17" i="6"/>
  <c r="E31" i="6"/>
  <c r="K18" i="6"/>
  <c r="E16" i="6"/>
  <c r="O77" i="44"/>
  <c r="O78" i="44" s="1"/>
  <c r="O79" i="44" s="1"/>
  <c r="M77" i="46"/>
  <c r="M78" i="46" s="1"/>
  <c r="M79" i="46" s="1"/>
  <c r="H63" i="12"/>
  <c r="O64" i="12"/>
  <c r="L75" i="24"/>
  <c r="N74" i="24"/>
  <c r="C24" i="27"/>
  <c r="AC77" i="44"/>
  <c r="AC78" i="44" s="1"/>
  <c r="AC79" i="44" s="1"/>
  <c r="Z63" i="22"/>
  <c r="Z64" i="22" s="1"/>
  <c r="Z65" i="22" s="1"/>
  <c r="D77" i="42"/>
  <c r="D78" i="42" s="1"/>
  <c r="D79" i="42" s="1"/>
  <c r="K85" i="44"/>
  <c r="K86" i="44" s="1"/>
  <c r="K87" i="44" s="1"/>
  <c r="X76" i="44"/>
  <c r="T77" i="44"/>
  <c r="E85" i="46"/>
  <c r="E86" i="46" s="1"/>
  <c r="E87" i="46" s="1"/>
  <c r="E69" i="44"/>
  <c r="F75" i="24"/>
  <c r="H74" i="24"/>
  <c r="D64" i="12"/>
  <c r="K69" i="44"/>
  <c r="K73" i="20"/>
  <c r="I74" i="20"/>
  <c r="K27" i="6"/>
  <c r="C58" i="36"/>
  <c r="AA69" i="44"/>
  <c r="D75" i="30"/>
  <c r="C74" i="30"/>
  <c r="Q69" i="44"/>
  <c r="E27" i="6"/>
  <c r="X73" i="12"/>
  <c r="X74" i="12" s="1"/>
  <c r="X75" i="12" s="1"/>
  <c r="J81" i="46"/>
  <c r="J82" i="46" s="1"/>
  <c r="J83" i="46" s="1"/>
  <c r="K15" i="6"/>
  <c r="E17" i="6"/>
  <c r="C25" i="27"/>
  <c r="AI69" i="44"/>
  <c r="D75" i="28"/>
  <c r="I58" i="36"/>
  <c r="AB75" i="22"/>
  <c r="AB76" i="22" s="1"/>
  <c r="AB77" i="22" s="1"/>
  <c r="K23" i="6"/>
  <c r="AG81" i="42"/>
  <c r="AG82" i="42" s="1"/>
  <c r="AG83" i="42" s="1"/>
  <c r="K22" i="6"/>
  <c r="AA75" i="22"/>
  <c r="K26" i="6"/>
  <c r="E77" i="48"/>
  <c r="E78" i="48" s="1"/>
  <c r="E79" i="48" s="1"/>
  <c r="H73" i="36"/>
  <c r="E74" i="36"/>
  <c r="AH69" i="44"/>
  <c r="H85" i="42"/>
  <c r="H86" i="42" s="1"/>
  <c r="H87" i="42" s="1"/>
  <c r="O75" i="22"/>
  <c r="Q74" i="22"/>
  <c r="E85" i="44"/>
  <c r="E86" i="44" s="1"/>
  <c r="E87" i="44" s="1"/>
  <c r="C27" i="27"/>
  <c r="D74" i="36"/>
  <c r="G73" i="36"/>
  <c r="AB89" i="44"/>
  <c r="AB90" i="44" s="1"/>
  <c r="AB91" i="44" s="1"/>
  <c r="K16" i="6"/>
  <c r="C75" i="22"/>
  <c r="E19" i="6"/>
  <c r="S77" i="44"/>
  <c r="S78" i="44" s="1"/>
  <c r="W76" i="44"/>
  <c r="K24" i="57"/>
  <c r="H77" i="42"/>
  <c r="H78" i="42" s="1"/>
  <c r="H79" i="42" s="1"/>
  <c r="F85" i="42"/>
  <c r="F86" i="42" s="1"/>
  <c r="F87" i="42" s="1"/>
  <c r="L58" i="36"/>
  <c r="R75" i="24"/>
  <c r="C74" i="36"/>
  <c r="K64" i="12"/>
  <c r="K29" i="6"/>
  <c r="C75" i="14"/>
  <c r="C74" i="18"/>
  <c r="I74" i="18" s="1"/>
  <c r="U77" i="44"/>
  <c r="U78" i="44" s="1"/>
  <c r="U79" i="44" s="1"/>
  <c r="F64" i="36"/>
  <c r="K20" i="6"/>
  <c r="M64" i="12"/>
  <c r="E63" i="34"/>
  <c r="F63" i="12"/>
  <c r="E28" i="6"/>
  <c r="AE77" i="44"/>
  <c r="AE78" i="44" s="1"/>
  <c r="AG78" i="22"/>
  <c r="E64" i="36"/>
  <c r="H63" i="36"/>
  <c r="F58" i="36"/>
  <c r="C10" i="6"/>
  <c r="Q77" i="44"/>
  <c r="Q78" i="44" s="1"/>
  <c r="Q79" i="44" s="1"/>
  <c r="G57" i="36"/>
  <c r="D58" i="36"/>
  <c r="E29" i="6"/>
  <c r="C69" i="44"/>
  <c r="F77" i="42"/>
  <c r="F78" i="42" s="1"/>
  <c r="F79" i="42" s="1"/>
  <c r="K25" i="6"/>
  <c r="K27" i="57"/>
  <c r="L74" i="20"/>
  <c r="N73" i="20"/>
  <c r="AG69" i="44"/>
  <c r="L74" i="10"/>
  <c r="G73" i="32"/>
  <c r="D74" i="32"/>
  <c r="D64" i="36"/>
  <c r="G63" i="36"/>
  <c r="H57" i="36"/>
  <c r="E58" i="36"/>
  <c r="K73" i="36"/>
  <c r="J74" i="36"/>
  <c r="Z77" i="44"/>
  <c r="Z78" i="44" s="1"/>
  <c r="Z79" i="44" s="1"/>
  <c r="E13" i="6"/>
  <c r="R63" i="22"/>
  <c r="S62" i="22"/>
  <c r="S63" i="22" s="1"/>
  <c r="S64" i="22" s="1"/>
  <c r="S65" i="22" s="1"/>
  <c r="S66" i="22" s="1"/>
  <c r="S67" i="22" s="1"/>
  <c r="S68" i="22" s="1"/>
  <c r="S69" i="22" s="1"/>
  <c r="Z69" i="44"/>
  <c r="G69" i="44"/>
  <c r="I75" i="22"/>
  <c r="K74" i="22"/>
  <c r="G62" i="22"/>
  <c r="G63" i="22" s="1"/>
  <c r="G64" i="22" s="1"/>
  <c r="G65" i="22" s="1"/>
  <c r="G66" i="22" s="1"/>
  <c r="G67" i="22" s="1"/>
  <c r="G68" i="22" s="1"/>
  <c r="G69" i="22" s="1"/>
  <c r="F63" i="22"/>
  <c r="C26" i="27"/>
  <c r="E77" i="42"/>
  <c r="E78" i="42" s="1"/>
  <c r="E79" i="42" s="1"/>
  <c r="M58" i="36"/>
  <c r="N57" i="36"/>
  <c r="AH77" i="44"/>
  <c r="AH78" i="44" s="1"/>
  <c r="AH79" i="44" s="1"/>
  <c r="AB76" i="12"/>
  <c r="P76" i="20" s="1"/>
  <c r="K76" i="16" s="1"/>
  <c r="AA77" i="12"/>
  <c r="O77" i="20" s="1"/>
  <c r="O76" i="20"/>
  <c r="J76" i="16" s="1"/>
  <c r="J77" i="16" s="1"/>
  <c r="J78" i="16" s="1"/>
  <c r="J79" i="16" s="1"/>
  <c r="Q73" i="12"/>
  <c r="Q74" i="12" s="1"/>
  <c r="L81" i="46"/>
  <c r="L82" i="46" s="1"/>
  <c r="L83" i="46" s="1"/>
  <c r="C77" i="48"/>
  <c r="C78" i="48" s="1"/>
  <c r="C79" i="48" s="1"/>
  <c r="AD77" i="42"/>
  <c r="AD78" i="42" s="1"/>
  <c r="AD79" i="42" s="1"/>
  <c r="C85" i="46"/>
  <c r="C86" i="46" s="1"/>
  <c r="C87" i="46" s="1"/>
  <c r="AD73" i="12"/>
  <c r="I81" i="46"/>
  <c r="I82" i="46" s="1"/>
  <c r="I83" i="46" s="1"/>
  <c r="F74" i="36"/>
  <c r="E26" i="6"/>
  <c r="E32" i="6"/>
  <c r="K14" i="6"/>
  <c r="C61" i="40"/>
  <c r="E30" i="6"/>
  <c r="L64" i="36"/>
  <c r="F69" i="46"/>
  <c r="C77" i="42"/>
  <c r="C78" i="42" s="1"/>
  <c r="C79" i="42" s="1"/>
  <c r="E20" i="6"/>
  <c r="J58" i="36"/>
  <c r="K57" i="36"/>
  <c r="E69" i="46"/>
  <c r="O89" i="46"/>
  <c r="O90" i="46" s="1"/>
  <c r="O91" i="46" s="1"/>
  <c r="AG77" i="44"/>
  <c r="AG78" i="44" s="1"/>
  <c r="AG79" i="44" s="1"/>
  <c r="AA73" i="12"/>
  <c r="AB72" i="12"/>
  <c r="AB73" i="12" s="1"/>
  <c r="J64" i="12"/>
  <c r="P64" i="12" s="1"/>
  <c r="P63" i="12"/>
  <c r="C63" i="12"/>
  <c r="C64" i="12" s="1"/>
  <c r="AI77" i="44"/>
  <c r="AI78" i="44" s="1"/>
  <c r="AI79" i="44" s="1"/>
  <c r="H73" i="20"/>
  <c r="F74" i="20"/>
  <c r="AE81" i="42"/>
  <c r="AE82" i="42" s="1"/>
  <c r="AE83" i="42" s="1"/>
  <c r="D85" i="42"/>
  <c r="D86" i="42" s="1"/>
  <c r="D87" i="42" s="1"/>
  <c r="AE69" i="44"/>
  <c r="C64" i="36"/>
  <c r="H81" i="46"/>
  <c r="H82" i="46" s="1"/>
  <c r="H83" i="46" s="1"/>
  <c r="I74" i="36"/>
  <c r="AC77" i="12"/>
  <c r="Q77" i="20" s="1"/>
  <c r="Q76" i="20"/>
  <c r="S65" i="12"/>
  <c r="S66" i="12" s="1"/>
  <c r="S67" i="12" s="1"/>
  <c r="K19" i="6"/>
  <c r="D77" i="48"/>
  <c r="D78" i="48" s="1"/>
  <c r="D79" i="48" s="1"/>
  <c r="S69" i="20"/>
  <c r="T69" i="20" s="1"/>
  <c r="T68" i="20"/>
  <c r="I85" i="42"/>
  <c r="I86" i="42" s="1"/>
  <c r="I87" i="42" s="1"/>
  <c r="Y77" i="44"/>
  <c r="Y78" i="44" s="1"/>
  <c r="Y79" i="44" s="1"/>
  <c r="C28" i="27"/>
  <c r="AA63" i="22"/>
  <c r="AA64" i="22" s="1"/>
  <c r="AA65" i="22" s="1"/>
  <c r="F75" i="22"/>
  <c r="N73" i="36"/>
  <c r="M74" i="36"/>
  <c r="N74" i="36" s="1"/>
  <c r="I64" i="36"/>
  <c r="C74" i="32"/>
  <c r="F74" i="32" s="1"/>
  <c r="F73" i="32"/>
  <c r="C85" i="44"/>
  <c r="C86" i="44" s="1"/>
  <c r="C87" i="44" s="1"/>
  <c r="E25" i="6"/>
  <c r="K11" i="6"/>
  <c r="R75" i="22"/>
  <c r="U59" i="22"/>
  <c r="U60" i="22" s="1"/>
  <c r="U61" i="22" s="1"/>
  <c r="D74" i="24"/>
  <c r="D75" i="24" s="1"/>
  <c r="D76" i="24" s="1"/>
  <c r="D77" i="24" s="1"/>
  <c r="D78" i="24" s="1"/>
  <c r="D79" i="24" s="1"/>
  <c r="D80" i="24" s="1"/>
  <c r="D81" i="24" s="1"/>
  <c r="D82" i="24" s="1"/>
  <c r="D83" i="24" s="1"/>
  <c r="D84" i="24" s="1"/>
  <c r="D85" i="24" s="1"/>
  <c r="D86" i="24" s="1"/>
  <c r="D87" i="24" s="1"/>
  <c r="D88" i="24" s="1"/>
  <c r="D89" i="24" s="1"/>
  <c r="D90" i="24" s="1"/>
  <c r="D91" i="24" s="1"/>
  <c r="E73" i="24"/>
  <c r="X75" i="44"/>
  <c r="E56" i="12"/>
  <c r="K96" i="5"/>
  <c r="K97" i="5"/>
  <c r="AB15" i="12"/>
  <c r="P14" i="20"/>
  <c r="N73" i="24"/>
  <c r="W75" i="44"/>
  <c r="N60" i="22"/>
  <c r="L61" i="22"/>
  <c r="AG76" i="22"/>
  <c r="W74" i="44"/>
  <c r="N73" i="22"/>
  <c r="Q61" i="22"/>
  <c r="E106" i="5"/>
  <c r="K73" i="24"/>
  <c r="I61" i="22"/>
  <c r="E27" i="5"/>
  <c r="G48" i="12"/>
  <c r="M97" i="5"/>
  <c r="M98" i="5"/>
  <c r="C103" i="5"/>
  <c r="E71" i="5"/>
  <c r="P60" i="12"/>
  <c r="AB49" i="12"/>
  <c r="K20" i="16"/>
  <c r="E51" i="12"/>
  <c r="Z72" i="12"/>
  <c r="Y73" i="12"/>
  <c r="Z73" i="12" s="1"/>
  <c r="K38" i="16"/>
  <c r="P38" i="20"/>
  <c r="AB39" i="12"/>
  <c r="I50" i="12"/>
  <c r="E50" i="12"/>
  <c r="P26" i="20"/>
  <c r="AB27" i="12"/>
  <c r="Z71" i="12"/>
  <c r="I46" i="12"/>
  <c r="E46" i="12"/>
  <c r="K54" i="16"/>
  <c r="AB55" i="12"/>
  <c r="P54" i="20"/>
  <c r="AB18" i="12"/>
  <c r="P17" i="20"/>
  <c r="K17" i="16"/>
  <c r="D63" i="26"/>
  <c r="AB31" i="12"/>
  <c r="K30" i="16"/>
  <c r="P30" i="20"/>
  <c r="C64" i="26"/>
  <c r="C65" i="26" s="1"/>
  <c r="K47" i="16"/>
  <c r="T74" i="24"/>
  <c r="D66" i="22"/>
  <c r="E65" i="22"/>
  <c r="K21" i="16"/>
  <c r="AB22" i="12"/>
  <c r="P21" i="20"/>
  <c r="Q62" i="20"/>
  <c r="AC63" i="12"/>
  <c r="AI12" i="12"/>
  <c r="T11" i="10"/>
  <c r="AB59" i="12"/>
  <c r="P58" i="20"/>
  <c r="K58" i="16"/>
  <c r="AB61" i="12"/>
  <c r="P60" i="20"/>
  <c r="E60" i="12"/>
  <c r="I60" i="12"/>
  <c r="AB43" i="12"/>
  <c r="P42" i="20"/>
  <c r="K42" i="16"/>
  <c r="AB35" i="12"/>
  <c r="P34" i="20"/>
  <c r="K34" i="16"/>
  <c r="O63" i="20"/>
  <c r="K31" i="6"/>
  <c r="J104" i="5"/>
  <c r="J105" i="5" s="1"/>
  <c r="J106" i="5" s="1"/>
  <c r="J107" i="5" s="1"/>
  <c r="G30" i="4"/>
  <c r="F31" i="4"/>
  <c r="G94" i="3"/>
  <c r="F95" i="3"/>
  <c r="Z66" i="12"/>
  <c r="Y67" i="12"/>
  <c r="S76" i="20"/>
  <c r="T75" i="20"/>
  <c r="D76" i="22"/>
  <c r="D77" i="22" s="1"/>
  <c r="D78" i="22" s="1"/>
  <c r="D79" i="22" s="1"/>
  <c r="H74" i="22"/>
  <c r="W25" i="56"/>
  <c r="W26" i="56" s="1"/>
  <c r="W27" i="56" s="1"/>
  <c r="W28" i="56" s="1"/>
  <c r="T26" i="56"/>
  <c r="T27" i="56" s="1"/>
  <c r="T28" i="56" s="1"/>
  <c r="T74" i="22"/>
  <c r="D64" i="26"/>
  <c r="G76" i="22"/>
  <c r="G77" i="22" s="1"/>
  <c r="G78" i="22" s="1"/>
  <c r="G79" i="22" s="1"/>
  <c r="S76" i="22"/>
  <c r="S77" i="22" s="1"/>
  <c r="S78" i="22" s="1"/>
  <c r="S79" i="22" s="1"/>
  <c r="S74" i="12"/>
  <c r="S75" i="12" s="1"/>
  <c r="E74" i="22"/>
  <c r="S76" i="24"/>
  <c r="S77" i="24" s="1"/>
  <c r="S78" i="24" s="1"/>
  <c r="S79" i="24" s="1"/>
  <c r="C17" i="8"/>
  <c r="J74" i="18"/>
  <c r="H74" i="32"/>
  <c r="K64" i="36"/>
  <c r="C76" i="28"/>
  <c r="C77" i="28" s="1"/>
  <c r="H58" i="36"/>
  <c r="K58" i="36"/>
  <c r="H62" i="22"/>
  <c r="G58" i="36"/>
  <c r="U76" i="22"/>
  <c r="U77" i="22" s="1"/>
  <c r="U78" i="22" s="1"/>
  <c r="U79" i="22" s="1"/>
  <c r="K74" i="36"/>
  <c r="H74" i="36"/>
  <c r="H74" i="20"/>
  <c r="G68" i="34"/>
  <c r="H64" i="12"/>
  <c r="G74" i="36"/>
  <c r="Z76" i="22"/>
  <c r="Z77" i="22" s="1"/>
  <c r="K74" i="20"/>
  <c r="D76" i="28"/>
  <c r="D77" i="28" s="1"/>
  <c r="H68" i="34"/>
  <c r="G74" i="18"/>
  <c r="E74" i="18"/>
  <c r="C75" i="18"/>
  <c r="I75" i="18" s="1"/>
  <c r="K75" i="24"/>
  <c r="I76" i="24"/>
  <c r="G74" i="32"/>
  <c r="D75" i="32"/>
  <c r="R64" i="22"/>
  <c r="G74" i="12"/>
  <c r="AL82" i="42"/>
  <c r="AP81" i="42"/>
  <c r="I63" i="12"/>
  <c r="R77" i="20"/>
  <c r="AB77" i="12"/>
  <c r="AA78" i="12"/>
  <c r="F76" i="24"/>
  <c r="H75" i="24"/>
  <c r="C63" i="34"/>
  <c r="F64" i="12"/>
  <c r="C64" i="34" s="1"/>
  <c r="E64" i="34"/>
  <c r="L64" i="12"/>
  <c r="E63" i="12"/>
  <c r="Q75" i="22"/>
  <c r="O76" i="22"/>
  <c r="E75" i="24"/>
  <c r="C76" i="24"/>
  <c r="D76" i="30"/>
  <c r="K75" i="22"/>
  <c r="I76" i="22"/>
  <c r="C75" i="32"/>
  <c r="T75" i="24"/>
  <c r="R76" i="24"/>
  <c r="H75" i="22"/>
  <c r="R76" i="22"/>
  <c r="T75" i="22"/>
  <c r="H63" i="22"/>
  <c r="F64" i="22"/>
  <c r="L76" i="24"/>
  <c r="N75" i="24"/>
  <c r="I73" i="10"/>
  <c r="M73" i="10"/>
  <c r="M74" i="10" s="1"/>
  <c r="K73" i="10"/>
  <c r="P73" i="10"/>
  <c r="P74" i="10" s="1"/>
  <c r="L73" i="18"/>
  <c r="M73" i="18"/>
  <c r="P74" i="12"/>
  <c r="C74" i="12"/>
  <c r="L76" i="22"/>
  <c r="N75" i="22"/>
  <c r="C48" i="7"/>
  <c r="Q75" i="24"/>
  <c r="O76" i="24"/>
  <c r="AG79" i="22"/>
  <c r="X77" i="44"/>
  <c r="T78" i="44"/>
  <c r="I24" i="25"/>
  <c r="K25" i="47"/>
  <c r="K80" i="46"/>
  <c r="Z66" i="22"/>
  <c r="I75" i="20"/>
  <c r="E75" i="36"/>
  <c r="F59" i="36"/>
  <c r="AG23" i="45"/>
  <c r="AH80" i="44"/>
  <c r="AH25" i="45"/>
  <c r="O28" i="47"/>
  <c r="AE23" i="45"/>
  <c r="Y80" i="44"/>
  <c r="Y25" i="45"/>
  <c r="R24" i="23"/>
  <c r="D62" i="40"/>
  <c r="AQ26" i="43"/>
  <c r="C27" i="43"/>
  <c r="C88" i="42"/>
  <c r="K88" i="44"/>
  <c r="K27" i="45"/>
  <c r="C59" i="36"/>
  <c r="D24" i="29"/>
  <c r="H88" i="42"/>
  <c r="H27" i="43"/>
  <c r="F65" i="36"/>
  <c r="Q80" i="44"/>
  <c r="Q25" i="45"/>
  <c r="Z23" i="45"/>
  <c r="AA24" i="13"/>
  <c r="H84" i="46"/>
  <c r="H26" i="47"/>
  <c r="AA66" i="22"/>
  <c r="G26" i="47"/>
  <c r="G84" i="46"/>
  <c r="G28" i="17"/>
  <c r="AM26" i="43"/>
  <c r="E88" i="42"/>
  <c r="E27" i="43"/>
  <c r="AA23" i="45"/>
  <c r="I59" i="36"/>
  <c r="O24" i="23"/>
  <c r="J25" i="17"/>
  <c r="J80" i="16"/>
  <c r="C62" i="40"/>
  <c r="AB24" i="13"/>
  <c r="I75" i="36"/>
  <c r="F24" i="23"/>
  <c r="D24" i="31"/>
  <c r="AB24" i="23"/>
  <c r="D59" i="36"/>
  <c r="D65" i="36"/>
  <c r="I24" i="23"/>
  <c r="M65" i="36"/>
  <c r="E88" i="46"/>
  <c r="E27" i="47"/>
  <c r="E27" i="45"/>
  <c r="E88" i="44"/>
  <c r="F27" i="43"/>
  <c r="F88" i="42"/>
  <c r="L26" i="47"/>
  <c r="L84" i="46"/>
  <c r="L65" i="36"/>
  <c r="P21" i="13"/>
  <c r="AH23" i="45"/>
  <c r="U62" i="22"/>
  <c r="J65" i="36"/>
  <c r="O24" i="25"/>
  <c r="AB66" i="22"/>
  <c r="O25" i="45"/>
  <c r="O80" i="44"/>
  <c r="H25" i="43"/>
  <c r="D25" i="43"/>
  <c r="Z24" i="23"/>
  <c r="G21" i="13"/>
  <c r="AN26" i="43"/>
  <c r="M80" i="46"/>
  <c r="M25" i="47"/>
  <c r="E21" i="35"/>
  <c r="M75" i="36"/>
  <c r="H22" i="35"/>
  <c r="AR26" i="43"/>
  <c r="AR84" i="42"/>
  <c r="L24" i="23"/>
  <c r="L21" i="13"/>
  <c r="H21" i="13"/>
  <c r="AG26" i="43"/>
  <c r="AG84" i="42"/>
  <c r="L59" i="36"/>
  <c r="F21" i="13"/>
  <c r="C25" i="49"/>
  <c r="C80" i="48"/>
  <c r="C21" i="13"/>
  <c r="S22" i="13"/>
  <c r="S68" i="12"/>
  <c r="I65" i="36"/>
  <c r="G27" i="45"/>
  <c r="G88" i="44"/>
  <c r="G22" i="35"/>
  <c r="AF84" i="42"/>
  <c r="AF26" i="43"/>
  <c r="O22" i="13"/>
  <c r="F24" i="25"/>
  <c r="D75" i="36"/>
  <c r="R24" i="25"/>
  <c r="F25" i="43"/>
  <c r="E59" i="36"/>
  <c r="AD25" i="43"/>
  <c r="C25" i="43"/>
  <c r="AI25" i="45"/>
  <c r="AI80" i="44"/>
  <c r="D80" i="48"/>
  <c r="D25" i="49"/>
  <c r="AI23" i="45"/>
  <c r="L75" i="10"/>
  <c r="C65" i="36"/>
  <c r="V62" i="22"/>
  <c r="C24" i="29"/>
  <c r="AA80" i="44"/>
  <c r="AA25" i="45"/>
  <c r="L75" i="36"/>
  <c r="L24" i="25"/>
  <c r="X76" i="12"/>
  <c r="X24" i="13"/>
  <c r="AA24" i="23"/>
  <c r="C75" i="36"/>
  <c r="C27" i="47"/>
  <c r="C88" i="46"/>
  <c r="E75" i="32"/>
  <c r="C24" i="25"/>
  <c r="J26" i="47"/>
  <c r="J84" i="46"/>
  <c r="AB28" i="45"/>
  <c r="J75" i="36"/>
  <c r="E25" i="43"/>
  <c r="AD24" i="13"/>
  <c r="J59" i="36"/>
  <c r="F75" i="20"/>
  <c r="C27" i="45"/>
  <c r="C88" i="44"/>
  <c r="AD88" i="42"/>
  <c r="AD27" i="43"/>
  <c r="AC24" i="13"/>
  <c r="C75" i="20"/>
  <c r="E80" i="48"/>
  <c r="E25" i="49"/>
  <c r="E65" i="36"/>
  <c r="L75" i="20"/>
  <c r="Z25" i="45"/>
  <c r="Z80" i="44"/>
  <c r="I26" i="47"/>
  <c r="I84" i="46"/>
  <c r="U24" i="23"/>
  <c r="F80" i="46"/>
  <c r="F25" i="47"/>
  <c r="Q22" i="13"/>
  <c r="Q68" i="12"/>
  <c r="AC80" i="44"/>
  <c r="AC25" i="45"/>
  <c r="C24" i="23"/>
  <c r="C24" i="15"/>
  <c r="F75" i="36"/>
  <c r="I88" i="42"/>
  <c r="I27" i="43"/>
  <c r="AO26" i="43"/>
  <c r="M59" i="36"/>
  <c r="AE26" i="43"/>
  <c r="AE84" i="42"/>
  <c r="D27" i="43"/>
  <c r="D88" i="42"/>
  <c r="I25" i="43"/>
  <c r="U25" i="45"/>
  <c r="U80" i="44"/>
  <c r="AG25" i="45"/>
  <c r="AG80" i="44"/>
  <c r="N24" i="23"/>
  <c r="S76" i="12"/>
  <c r="S24" i="13"/>
  <c r="Q24" i="23"/>
  <c r="C24" i="21"/>
  <c r="I18" i="13"/>
  <c r="I17" i="13"/>
  <c r="D24" i="33"/>
  <c r="U25" i="23"/>
  <c r="AB13" i="13"/>
  <c r="J65" i="12"/>
  <c r="L24" i="21"/>
  <c r="AB19" i="13"/>
  <c r="D21" i="27"/>
  <c r="N75" i="12"/>
  <c r="AB20" i="13"/>
  <c r="E17" i="13"/>
  <c r="AB12" i="13"/>
  <c r="H24" i="23"/>
  <c r="AB16" i="13"/>
  <c r="N24" i="25"/>
  <c r="C22" i="27"/>
  <c r="S25" i="25"/>
  <c r="Z23" i="13"/>
  <c r="K24" i="23"/>
  <c r="L24" i="11"/>
  <c r="J32" i="6"/>
  <c r="T24" i="25"/>
  <c r="F20" i="37"/>
  <c r="C24" i="19"/>
  <c r="E24" i="37"/>
  <c r="L20" i="37"/>
  <c r="C24" i="33"/>
  <c r="Z78" i="22"/>
  <c r="AA16" i="60"/>
  <c r="C24" i="37"/>
  <c r="E18" i="13"/>
  <c r="H24" i="25"/>
  <c r="I21" i="13"/>
  <c r="D78" i="28"/>
  <c r="C20" i="37"/>
  <c r="T24" i="23"/>
  <c r="AB16" i="60"/>
  <c r="J20" i="37"/>
  <c r="I20" i="37"/>
  <c r="H69" i="34"/>
  <c r="N65" i="12"/>
  <c r="B49" i="7"/>
  <c r="AC21" i="13"/>
  <c r="K24" i="25"/>
  <c r="G69" i="34"/>
  <c r="F24" i="37"/>
  <c r="AB18" i="13"/>
  <c r="Q24" i="25"/>
  <c r="O62" i="22"/>
  <c r="S25" i="23"/>
  <c r="H22" i="13"/>
  <c r="AG25" i="23"/>
  <c r="M65" i="12"/>
  <c r="J75" i="12"/>
  <c r="C73" i="16"/>
  <c r="I24" i="21"/>
  <c r="T24" i="21"/>
  <c r="D20" i="37"/>
  <c r="D24" i="37"/>
  <c r="L24" i="37"/>
  <c r="I24" i="19"/>
  <c r="I24" i="37"/>
  <c r="J24" i="37"/>
  <c r="G25" i="23"/>
  <c r="E24" i="33"/>
  <c r="C78" i="28"/>
  <c r="AB15" i="13"/>
  <c r="C21" i="35"/>
  <c r="E20" i="37"/>
  <c r="M20" i="37"/>
  <c r="D65" i="12"/>
  <c r="K65" i="12"/>
  <c r="M24" i="37"/>
  <c r="AB78" i="22"/>
  <c r="Y22" i="13"/>
  <c r="D25" i="23"/>
  <c r="AB14" i="13"/>
  <c r="V74" i="22"/>
  <c r="E21" i="13"/>
  <c r="E24" i="25"/>
  <c r="F24" i="21"/>
  <c r="AG81" i="44" l="1"/>
  <c r="AG82" i="44" s="1"/>
  <c r="AG83" i="44" s="1"/>
  <c r="U81" i="44"/>
  <c r="U82" i="44" s="1"/>
  <c r="U83" i="44" s="1"/>
  <c r="D89" i="42"/>
  <c r="D90" i="42" s="1"/>
  <c r="D91" i="42" s="1"/>
  <c r="AE85" i="42"/>
  <c r="AE86" i="42" s="1"/>
  <c r="AE87" i="42" s="1"/>
  <c r="N59" i="36"/>
  <c r="M60" i="36"/>
  <c r="I89" i="42"/>
  <c r="I90" i="42" s="1"/>
  <c r="I91" i="42" s="1"/>
  <c r="F76" i="36"/>
  <c r="AC81" i="44"/>
  <c r="AC82" i="44" s="1"/>
  <c r="AC83" i="44" s="1"/>
  <c r="Q69" i="12"/>
  <c r="Q70" i="12" s="1"/>
  <c r="F81" i="46"/>
  <c r="F82" i="46" s="1"/>
  <c r="F83" i="46" s="1"/>
  <c r="I85" i="46"/>
  <c r="I86" i="46" s="1"/>
  <c r="I87" i="46" s="1"/>
  <c r="Z81" i="44"/>
  <c r="Z82" i="44" s="1"/>
  <c r="Z83" i="44" s="1"/>
  <c r="L76" i="20"/>
  <c r="N75" i="20"/>
  <c r="E66" i="36"/>
  <c r="H65" i="36"/>
  <c r="E81" i="48"/>
  <c r="E82" i="48" s="1"/>
  <c r="E83" i="48" s="1"/>
  <c r="C76" i="20"/>
  <c r="E75" i="20"/>
  <c r="AD89" i="42"/>
  <c r="AD90" i="42" s="1"/>
  <c r="AD91" i="42" s="1"/>
  <c r="C89" i="44"/>
  <c r="C90" i="44" s="1"/>
  <c r="C91" i="44" s="1"/>
  <c r="H75" i="20"/>
  <c r="F76" i="20"/>
  <c r="J60" i="36"/>
  <c r="K59" i="36"/>
  <c r="J76" i="36"/>
  <c r="K75" i="36"/>
  <c r="J85" i="46"/>
  <c r="J86" i="46" s="1"/>
  <c r="J87" i="46" s="1"/>
  <c r="E76" i="32"/>
  <c r="H75" i="32"/>
  <c r="C89" i="46"/>
  <c r="C90" i="46" s="1"/>
  <c r="C91" i="46" s="1"/>
  <c r="C76" i="36"/>
  <c r="X77" i="12"/>
  <c r="X78" i="12" s="1"/>
  <c r="X79" i="12" s="1"/>
  <c r="L76" i="36"/>
  <c r="AA81" i="44"/>
  <c r="AA82" i="44" s="1"/>
  <c r="AA83" i="44" s="1"/>
  <c r="V63" i="22"/>
  <c r="V64" i="22" s="1"/>
  <c r="V65" i="22" s="1"/>
  <c r="C66" i="36"/>
  <c r="L76" i="10"/>
  <c r="D81" i="48"/>
  <c r="D82" i="48" s="1"/>
  <c r="D83" i="48" s="1"/>
  <c r="AI81" i="44"/>
  <c r="AI82" i="44" s="1"/>
  <c r="AI83" i="44" s="1"/>
  <c r="E60" i="36"/>
  <c r="H59" i="36"/>
  <c r="D76" i="36"/>
  <c r="G75" i="36"/>
  <c r="AF85" i="42"/>
  <c r="AF86" i="42" s="1"/>
  <c r="AF87" i="42" s="1"/>
  <c r="G89" i="44"/>
  <c r="G90" i="44" s="1"/>
  <c r="G91" i="44" s="1"/>
  <c r="I66" i="36"/>
  <c r="S69" i="12"/>
  <c r="S70" i="12" s="1"/>
  <c r="C81" i="48"/>
  <c r="C82" i="48" s="1"/>
  <c r="C83" i="48" s="1"/>
  <c r="L60" i="36"/>
  <c r="AG85" i="42"/>
  <c r="AG86" i="42" s="1"/>
  <c r="AG87" i="42" s="1"/>
  <c r="AR85" i="42"/>
  <c r="AR86" i="42" s="1"/>
  <c r="AR87" i="42" s="1"/>
  <c r="M76" i="36"/>
  <c r="N75" i="36"/>
  <c r="M81" i="46"/>
  <c r="M82" i="46" s="1"/>
  <c r="M83" i="46" s="1"/>
  <c r="O81" i="44"/>
  <c r="O82" i="44" s="1"/>
  <c r="O83" i="44" s="1"/>
  <c r="AB67" i="22"/>
  <c r="AB68" i="22" s="1"/>
  <c r="AB69" i="22" s="1"/>
  <c r="J66" i="36"/>
  <c r="K65" i="36"/>
  <c r="U63" i="22"/>
  <c r="U64" i="22" s="1"/>
  <c r="U65" i="22" s="1"/>
  <c r="L66" i="36"/>
  <c r="L85" i="46"/>
  <c r="L86" i="46" s="1"/>
  <c r="L87" i="46" s="1"/>
  <c r="F89" i="42"/>
  <c r="F90" i="42" s="1"/>
  <c r="F91" i="42" s="1"/>
  <c r="E89" i="44"/>
  <c r="E90" i="44" s="1"/>
  <c r="E91" i="44" s="1"/>
  <c r="E89" i="46"/>
  <c r="E90" i="46" s="1"/>
  <c r="E91" i="46" s="1"/>
  <c r="M66" i="36"/>
  <c r="N65" i="36"/>
  <c r="D66" i="36"/>
  <c r="G65" i="36"/>
  <c r="G59" i="36"/>
  <c r="D60" i="36"/>
  <c r="I76" i="36"/>
  <c r="C63" i="40"/>
  <c r="J81" i="16"/>
  <c r="J82" i="16" s="1"/>
  <c r="J83" i="16" s="1"/>
  <c r="I60" i="36"/>
  <c r="E89" i="42"/>
  <c r="E90" i="42" s="1"/>
  <c r="E91" i="42" s="1"/>
  <c r="G85" i="46"/>
  <c r="G86" i="46" s="1"/>
  <c r="G87" i="46" s="1"/>
  <c r="AA67" i="22"/>
  <c r="AA68" i="22" s="1"/>
  <c r="AA69" i="22" s="1"/>
  <c r="H85" i="46"/>
  <c r="H86" i="46" s="1"/>
  <c r="H87" i="46" s="1"/>
  <c r="Q81" i="44"/>
  <c r="Q82" i="44" s="1"/>
  <c r="Q83" i="44" s="1"/>
  <c r="F66" i="36"/>
  <c r="H89" i="42"/>
  <c r="H90" i="42" s="1"/>
  <c r="H91" i="42" s="1"/>
  <c r="C60" i="36"/>
  <c r="K89" i="44"/>
  <c r="K90" i="44" s="1"/>
  <c r="K91" i="44" s="1"/>
  <c r="C89" i="42"/>
  <c r="C90" i="42" s="1"/>
  <c r="C91" i="42" s="1"/>
  <c r="D63" i="40"/>
  <c r="Y81" i="44"/>
  <c r="Y82" i="44" s="1"/>
  <c r="Y83" i="44" s="1"/>
  <c r="K28" i="57"/>
  <c r="AH81" i="44"/>
  <c r="AH82" i="44" s="1"/>
  <c r="AH83" i="44" s="1"/>
  <c r="F60" i="36"/>
  <c r="H75" i="36"/>
  <c r="E76" i="36"/>
  <c r="I76" i="20"/>
  <c r="K75" i="20"/>
  <c r="Z67" i="22"/>
  <c r="Z68" i="22" s="1"/>
  <c r="Z69" i="22" s="1"/>
  <c r="K81" i="46"/>
  <c r="K82" i="46" s="1"/>
  <c r="K83" i="46" s="1"/>
  <c r="N58" i="36"/>
  <c r="C76" i="14"/>
  <c r="N74" i="20"/>
  <c r="H64" i="36"/>
  <c r="E74" i="20"/>
  <c r="AA76" i="22"/>
  <c r="AA77" i="22" s="1"/>
  <c r="W77" i="44"/>
  <c r="Y74" i="12"/>
  <c r="Z74" i="12" s="1"/>
  <c r="Q73" i="10"/>
  <c r="R73" i="10"/>
  <c r="C76" i="22"/>
  <c r="T63" i="22"/>
  <c r="E75" i="22"/>
  <c r="C75" i="30"/>
  <c r="G64" i="36"/>
  <c r="N64" i="36"/>
  <c r="F76" i="22"/>
  <c r="T62" i="22"/>
  <c r="V75" i="22"/>
  <c r="V76" i="22" s="1"/>
  <c r="V77" i="22" s="1"/>
  <c r="V78" i="22" s="1"/>
  <c r="V79" i="22" s="1"/>
  <c r="K66" i="12"/>
  <c r="D66" i="12"/>
  <c r="O63" i="22"/>
  <c r="P62" i="22"/>
  <c r="P63" i="22" s="1"/>
  <c r="P64" i="22" s="1"/>
  <c r="P65" i="22" s="1"/>
  <c r="P66" i="22" s="1"/>
  <c r="P67" i="22" s="1"/>
  <c r="P68" i="22" s="1"/>
  <c r="P69" i="22" s="1"/>
  <c r="P15" i="20"/>
  <c r="K15" i="16"/>
  <c r="P49" i="20"/>
  <c r="K49" i="16"/>
  <c r="AB50" i="12"/>
  <c r="AC78" i="12"/>
  <c r="Q78" i="20" s="1"/>
  <c r="N61" i="22"/>
  <c r="N73" i="18"/>
  <c r="E48" i="12"/>
  <c r="I48" i="12"/>
  <c r="K61" i="22"/>
  <c r="K31" i="16"/>
  <c r="P31" i="20"/>
  <c r="AB19" i="12"/>
  <c r="K18" i="16"/>
  <c r="P18" i="20"/>
  <c r="P39" i="20"/>
  <c r="K39" i="16"/>
  <c r="P55" i="20"/>
  <c r="K55" i="16"/>
  <c r="P27" i="20"/>
  <c r="K27" i="16"/>
  <c r="J75" i="18"/>
  <c r="E66" i="22"/>
  <c r="D67" i="22"/>
  <c r="R74" i="10"/>
  <c r="K59" i="16"/>
  <c r="P59" i="20"/>
  <c r="P61" i="20"/>
  <c r="AB62" i="12"/>
  <c r="Q63" i="20"/>
  <c r="O74" i="18"/>
  <c r="P35" i="20"/>
  <c r="K35" i="16"/>
  <c r="K43" i="16"/>
  <c r="P43" i="20"/>
  <c r="AI13" i="12"/>
  <c r="T12" i="10"/>
  <c r="AB23" i="12"/>
  <c r="P22" i="20"/>
  <c r="K22" i="16"/>
  <c r="K32" i="6"/>
  <c r="J108" i="5"/>
  <c r="J109" i="5" s="1"/>
  <c r="J110" i="5" s="1"/>
  <c r="J111" i="5" s="1"/>
  <c r="F32" i="4"/>
  <c r="G32" i="4" s="1"/>
  <c r="G31" i="4"/>
  <c r="F96" i="3"/>
  <c r="G95" i="3"/>
  <c r="S77" i="20"/>
  <c r="T76" i="20"/>
  <c r="Z67" i="12"/>
  <c r="S80" i="22"/>
  <c r="S81" i="22" s="1"/>
  <c r="S82" i="22" s="1"/>
  <c r="S83" i="22" s="1"/>
  <c r="D65" i="26"/>
  <c r="D80" i="22"/>
  <c r="D81" i="22" s="1"/>
  <c r="D82" i="22" s="1"/>
  <c r="D83" i="22" s="1"/>
  <c r="G80" i="22"/>
  <c r="G81" i="22" s="1"/>
  <c r="G82" i="22" s="1"/>
  <c r="G83" i="22" s="1"/>
  <c r="S80" i="24"/>
  <c r="S81" i="24" s="1"/>
  <c r="S82" i="24" s="1"/>
  <c r="S83" i="24" s="1"/>
  <c r="E64" i="12"/>
  <c r="G70" i="34"/>
  <c r="G71" i="34" s="1"/>
  <c r="D79" i="28"/>
  <c r="AB79" i="22"/>
  <c r="O76" i="18"/>
  <c r="S77" i="12"/>
  <c r="R76" i="10"/>
  <c r="C79" i="28"/>
  <c r="H70" i="34"/>
  <c r="H71" i="34" s="1"/>
  <c r="Z79" i="22"/>
  <c r="N66" i="36"/>
  <c r="H66" i="36"/>
  <c r="O73" i="10"/>
  <c r="K76" i="36"/>
  <c r="M74" i="18"/>
  <c r="L74" i="18"/>
  <c r="I64" i="12"/>
  <c r="G66" i="36"/>
  <c r="H60" i="36"/>
  <c r="G60" i="36"/>
  <c r="K66" i="36"/>
  <c r="E76" i="20"/>
  <c r="U80" i="22"/>
  <c r="U81" i="22" s="1"/>
  <c r="U82" i="22" s="1"/>
  <c r="U83" i="22" s="1"/>
  <c r="N76" i="36"/>
  <c r="K76" i="20"/>
  <c r="H76" i="20"/>
  <c r="K60" i="36"/>
  <c r="N60" i="36"/>
  <c r="H76" i="32"/>
  <c r="X78" i="44"/>
  <c r="T79" i="44"/>
  <c r="W78" i="44"/>
  <c r="S79" i="44"/>
  <c r="AE79" i="44"/>
  <c r="AG80" i="22"/>
  <c r="O77" i="24"/>
  <c r="Q76" i="24"/>
  <c r="C49" i="7"/>
  <c r="AC79" i="12"/>
  <c r="L77" i="22"/>
  <c r="N76" i="22"/>
  <c r="E76" i="22"/>
  <c r="C77" i="22"/>
  <c r="J76" i="12"/>
  <c r="C75" i="12"/>
  <c r="P75" i="12"/>
  <c r="M75" i="18" s="1"/>
  <c r="K74" i="10"/>
  <c r="O74" i="10" s="1"/>
  <c r="I74" i="12"/>
  <c r="E73" i="10"/>
  <c r="E74" i="10" s="1"/>
  <c r="I74" i="10"/>
  <c r="G73" i="10"/>
  <c r="G74" i="10" s="1"/>
  <c r="C73" i="10"/>
  <c r="C74" i="10" s="1"/>
  <c r="L77" i="24"/>
  <c r="N76" i="24"/>
  <c r="F65" i="22"/>
  <c r="H64" i="22"/>
  <c r="T76" i="22"/>
  <c r="R77" i="22"/>
  <c r="O75" i="18"/>
  <c r="R75" i="10"/>
  <c r="H76" i="22"/>
  <c r="F77" i="22"/>
  <c r="T76" i="24"/>
  <c r="R77" i="24"/>
  <c r="C76" i="32"/>
  <c r="F75" i="32"/>
  <c r="I77" i="22"/>
  <c r="K76" i="22"/>
  <c r="C74" i="16"/>
  <c r="D77" i="30"/>
  <c r="C76" i="30"/>
  <c r="E76" i="24"/>
  <c r="C77" i="24"/>
  <c r="Q76" i="22"/>
  <c r="O77" i="22"/>
  <c r="N66" i="12"/>
  <c r="L65" i="12"/>
  <c r="G65" i="12"/>
  <c r="M66" i="12"/>
  <c r="E65" i="34"/>
  <c r="F65" i="12"/>
  <c r="H76" i="24"/>
  <c r="F77" i="24"/>
  <c r="AA79" i="12"/>
  <c r="O78" i="20"/>
  <c r="P77" i="20"/>
  <c r="K77" i="16" s="1"/>
  <c r="AB78" i="12"/>
  <c r="AD79" i="12"/>
  <c r="R78" i="20"/>
  <c r="J66" i="12"/>
  <c r="C65" i="12"/>
  <c r="P65" i="12"/>
  <c r="AL83" i="42"/>
  <c r="AP82" i="42"/>
  <c r="G75" i="12"/>
  <c r="N76" i="12"/>
  <c r="T64" i="22"/>
  <c r="R65" i="22"/>
  <c r="D76" i="32"/>
  <c r="G75" i="32"/>
  <c r="K76" i="24"/>
  <c r="I77" i="24"/>
  <c r="G75" i="18"/>
  <c r="E75" i="18"/>
  <c r="C76" i="18"/>
  <c r="I76" i="18" s="1"/>
  <c r="C77" i="14"/>
  <c r="N74" i="18"/>
  <c r="Q75" i="12"/>
  <c r="Q74" i="10"/>
  <c r="AG84" i="44"/>
  <c r="AG26" i="45"/>
  <c r="Z26" i="45"/>
  <c r="Z84" i="44"/>
  <c r="J21" i="37"/>
  <c r="S23" i="13"/>
  <c r="U66" i="22"/>
  <c r="I77" i="36"/>
  <c r="K28" i="45"/>
  <c r="K26" i="47"/>
  <c r="K84" i="46"/>
  <c r="C67" i="36"/>
  <c r="D28" i="43"/>
  <c r="N24" i="21"/>
  <c r="J77" i="36"/>
  <c r="L77" i="10"/>
  <c r="L21" i="37"/>
  <c r="L88" i="46"/>
  <c r="L27" i="47"/>
  <c r="J84" i="16"/>
  <c r="J26" i="17"/>
  <c r="D64" i="40"/>
  <c r="D21" i="41"/>
  <c r="C24" i="31"/>
  <c r="AE88" i="42"/>
  <c r="AE27" i="43"/>
  <c r="E67" i="36"/>
  <c r="K24" i="37"/>
  <c r="D84" i="48"/>
  <c r="D26" i="49"/>
  <c r="AG88" i="42"/>
  <c r="AG27" i="43"/>
  <c r="F28" i="43"/>
  <c r="I21" i="37"/>
  <c r="Y84" i="44"/>
  <c r="Y26" i="45"/>
  <c r="E24" i="21"/>
  <c r="D77" i="36"/>
  <c r="H27" i="47"/>
  <c r="H88" i="46"/>
  <c r="V24" i="23"/>
  <c r="AC84" i="44"/>
  <c r="AC26" i="45"/>
  <c r="G24" i="37"/>
  <c r="O84" i="44"/>
  <c r="O26" i="45"/>
  <c r="N20" i="37"/>
  <c r="J88" i="46"/>
  <c r="J27" i="47"/>
  <c r="AI26" i="45"/>
  <c r="AI84" i="44"/>
  <c r="AR27" i="43"/>
  <c r="AR88" i="42"/>
  <c r="E28" i="45"/>
  <c r="E28" i="43"/>
  <c r="F77" i="36"/>
  <c r="C28" i="47"/>
  <c r="M84" i="46"/>
  <c r="M26" i="47"/>
  <c r="H24" i="37"/>
  <c r="D67" i="36"/>
  <c r="M21" i="37"/>
  <c r="E26" i="49"/>
  <c r="E84" i="48"/>
  <c r="E77" i="32"/>
  <c r="E21" i="37"/>
  <c r="M77" i="36"/>
  <c r="E28" i="47"/>
  <c r="G27" i="47"/>
  <c r="G88" i="46"/>
  <c r="AH26" i="45"/>
  <c r="AH84" i="44"/>
  <c r="C77" i="36"/>
  <c r="I28" i="43"/>
  <c r="C77" i="20"/>
  <c r="H24" i="33"/>
  <c r="H20" i="37"/>
  <c r="N24" i="37"/>
  <c r="M67" i="36"/>
  <c r="F21" i="37"/>
  <c r="AA78" i="22"/>
  <c r="AD28" i="43"/>
  <c r="Q23" i="13"/>
  <c r="C28" i="45"/>
  <c r="X25" i="13"/>
  <c r="X80" i="12"/>
  <c r="AF88" i="42"/>
  <c r="AF27" i="43"/>
  <c r="F67" i="36"/>
  <c r="I77" i="20"/>
  <c r="I67" i="36"/>
  <c r="U26" i="45"/>
  <c r="U84" i="44"/>
  <c r="L67" i="36"/>
  <c r="C28" i="43"/>
  <c r="Q84" i="44"/>
  <c r="Q26" i="45"/>
  <c r="F84" i="46"/>
  <c r="F26" i="47"/>
  <c r="H24" i="21"/>
  <c r="L77" i="36"/>
  <c r="G28" i="45"/>
  <c r="J67" i="36"/>
  <c r="G20" i="37"/>
  <c r="H28" i="43"/>
  <c r="K24" i="21"/>
  <c r="I27" i="47"/>
  <c r="I88" i="46"/>
  <c r="F77" i="20"/>
  <c r="AA84" i="44"/>
  <c r="AA26" i="45"/>
  <c r="D21" i="37"/>
  <c r="C21" i="37"/>
  <c r="L77" i="20"/>
  <c r="K20" i="37"/>
  <c r="C26" i="49"/>
  <c r="C84" i="48"/>
  <c r="C21" i="41"/>
  <c r="C64" i="40"/>
  <c r="E24" i="23"/>
  <c r="E77" i="36"/>
  <c r="K67" i="12"/>
  <c r="K21" i="37"/>
  <c r="B50" i="7"/>
  <c r="V66" i="22"/>
  <c r="J22" i="37"/>
  <c r="AB10" i="13"/>
  <c r="AL26" i="43"/>
  <c r="Z25" i="23"/>
  <c r="C25" i="29"/>
  <c r="C78" i="24"/>
  <c r="T25" i="45"/>
  <c r="J33" i="6"/>
  <c r="O78" i="22"/>
  <c r="D67" i="12"/>
  <c r="D22" i="13" s="1"/>
  <c r="H23" i="35"/>
  <c r="I78" i="24"/>
  <c r="J24" i="13"/>
  <c r="L62" i="22"/>
  <c r="F66" i="22"/>
  <c r="AL84" i="42"/>
  <c r="N24" i="13"/>
  <c r="M22" i="37"/>
  <c r="S26" i="23"/>
  <c r="AE25" i="45"/>
  <c r="G21" i="37"/>
  <c r="C22" i="37"/>
  <c r="G24" i="19"/>
  <c r="F22" i="37"/>
  <c r="O24" i="19"/>
  <c r="Z22" i="13"/>
  <c r="R78" i="22"/>
  <c r="J24" i="19"/>
  <c r="O78" i="24"/>
  <c r="AA80" i="12"/>
  <c r="F78" i="22"/>
  <c r="L22" i="37"/>
  <c r="F24" i="33"/>
  <c r="D26" i="23"/>
  <c r="S25" i="45"/>
  <c r="D22" i="27"/>
  <c r="G26" i="23"/>
  <c r="V25" i="23"/>
  <c r="Q76" i="12"/>
  <c r="C24" i="13"/>
  <c r="H21" i="37"/>
  <c r="S80" i="44"/>
  <c r="AB25" i="23"/>
  <c r="AB17" i="60"/>
  <c r="AA17" i="60"/>
  <c r="L78" i="24"/>
  <c r="I78" i="22"/>
  <c r="AB11" i="13"/>
  <c r="S26" i="25"/>
  <c r="L78" i="22"/>
  <c r="P24" i="13"/>
  <c r="E22" i="37"/>
  <c r="AD25" i="13"/>
  <c r="M24" i="19"/>
  <c r="G24" i="13"/>
  <c r="I62" i="22"/>
  <c r="T80" i="44"/>
  <c r="AC25" i="13"/>
  <c r="N21" i="37"/>
  <c r="R78" i="24"/>
  <c r="I22" i="37"/>
  <c r="K22" i="13"/>
  <c r="D22" i="37"/>
  <c r="U26" i="23"/>
  <c r="C78" i="22"/>
  <c r="D25" i="29"/>
  <c r="AE80" i="44"/>
  <c r="G24" i="33"/>
  <c r="R66" i="22"/>
  <c r="AA25" i="13"/>
  <c r="R24" i="11"/>
  <c r="Q24" i="13"/>
  <c r="E24" i="19"/>
  <c r="G23" i="35"/>
  <c r="F78" i="24"/>
  <c r="C78" i="14"/>
  <c r="H77" i="36" l="1"/>
  <c r="E78" i="36"/>
  <c r="C65" i="40"/>
  <c r="C85" i="48"/>
  <c r="C86" i="48" s="1"/>
  <c r="C87" i="48" s="1"/>
  <c r="L78" i="20"/>
  <c r="N77" i="20"/>
  <c r="AA85" i="44"/>
  <c r="AA86" i="44" s="1"/>
  <c r="AA87" i="44" s="1"/>
  <c r="F78" i="20"/>
  <c r="H78" i="20" s="1"/>
  <c r="H77" i="20"/>
  <c r="I89" i="46"/>
  <c r="I90" i="46" s="1"/>
  <c r="I91" i="46" s="1"/>
  <c r="J68" i="36"/>
  <c r="K67" i="36"/>
  <c r="L78" i="36"/>
  <c r="F85" i="46"/>
  <c r="F86" i="46" s="1"/>
  <c r="F87" i="46" s="1"/>
  <c r="Q85" i="44"/>
  <c r="Q86" i="44" s="1"/>
  <c r="Q87" i="44" s="1"/>
  <c r="L68" i="36"/>
  <c r="U85" i="44"/>
  <c r="U86" i="44" s="1"/>
  <c r="U87" i="44" s="1"/>
  <c r="I68" i="36"/>
  <c r="I78" i="20"/>
  <c r="K77" i="20"/>
  <c r="F68" i="36"/>
  <c r="AF89" i="42"/>
  <c r="AF90" i="42" s="1"/>
  <c r="AF91" i="42" s="1"/>
  <c r="X81" i="12"/>
  <c r="X82" i="12" s="1"/>
  <c r="X83" i="12" s="1"/>
  <c r="AA79" i="22"/>
  <c r="N67" i="36"/>
  <c r="M68" i="36"/>
  <c r="C78" i="20"/>
  <c r="E77" i="20"/>
  <c r="C78" i="36"/>
  <c r="AH85" i="44"/>
  <c r="AH86" i="44" s="1"/>
  <c r="AH87" i="44" s="1"/>
  <c r="G89" i="46"/>
  <c r="G90" i="46" s="1"/>
  <c r="G91" i="46" s="1"/>
  <c r="M78" i="36"/>
  <c r="N77" i="36"/>
  <c r="E78" i="32"/>
  <c r="H77" i="32"/>
  <c r="E85" i="48"/>
  <c r="E86" i="48" s="1"/>
  <c r="E87" i="48" s="1"/>
  <c r="G67" i="36"/>
  <c r="D68" i="36"/>
  <c r="M85" i="46"/>
  <c r="M86" i="46" s="1"/>
  <c r="M87" i="46" s="1"/>
  <c r="F78" i="36"/>
  <c r="AR89" i="42"/>
  <c r="AR90" i="42" s="1"/>
  <c r="AR91" i="42" s="1"/>
  <c r="AI85" i="44"/>
  <c r="AI86" i="44" s="1"/>
  <c r="AI87" i="44" s="1"/>
  <c r="J89" i="46"/>
  <c r="J90" i="46" s="1"/>
  <c r="J91" i="46" s="1"/>
  <c r="O85" i="44"/>
  <c r="O86" i="44" s="1"/>
  <c r="O87" i="44" s="1"/>
  <c r="AC85" i="44"/>
  <c r="AC86" i="44" s="1"/>
  <c r="AC87" i="44" s="1"/>
  <c r="H89" i="46"/>
  <c r="H90" i="46" s="1"/>
  <c r="H91" i="46" s="1"/>
  <c r="G77" i="36"/>
  <c r="D78" i="36"/>
  <c r="Y85" i="44"/>
  <c r="Y86" i="44" s="1"/>
  <c r="Y87" i="44" s="1"/>
  <c r="AG89" i="42"/>
  <c r="AG90" i="42" s="1"/>
  <c r="AG91" i="42" s="1"/>
  <c r="D85" i="48"/>
  <c r="D86" i="48" s="1"/>
  <c r="D87" i="48" s="1"/>
  <c r="H67" i="36"/>
  <c r="E68" i="36"/>
  <c r="AE89" i="42"/>
  <c r="AE90" i="42" s="1"/>
  <c r="AE91" i="42" s="1"/>
  <c r="D65" i="40"/>
  <c r="J85" i="16"/>
  <c r="J86" i="16" s="1"/>
  <c r="J87" i="16" s="1"/>
  <c r="L89" i="46"/>
  <c r="L90" i="46" s="1"/>
  <c r="L91" i="46" s="1"/>
  <c r="L78" i="10"/>
  <c r="K77" i="36"/>
  <c r="J78" i="36"/>
  <c r="C68" i="36"/>
  <c r="K85" i="46"/>
  <c r="K86" i="46" s="1"/>
  <c r="K87" i="46" s="1"/>
  <c r="I78" i="36"/>
  <c r="U67" i="22"/>
  <c r="U68" i="22" s="1"/>
  <c r="U69" i="22" s="1"/>
  <c r="Z85" i="44"/>
  <c r="Z86" i="44" s="1"/>
  <c r="Z87" i="44" s="1"/>
  <c r="AG85" i="44"/>
  <c r="AG86" i="44" s="1"/>
  <c r="AG87" i="44" s="1"/>
  <c r="N76" i="20"/>
  <c r="Y75" i="12"/>
  <c r="G76" i="36"/>
  <c r="H76" i="36"/>
  <c r="Q62" i="22"/>
  <c r="I63" i="22"/>
  <c r="J62" i="22"/>
  <c r="J63" i="22" s="1"/>
  <c r="J64" i="22" s="1"/>
  <c r="J65" i="22" s="1"/>
  <c r="J66" i="22" s="1"/>
  <c r="J67" i="22" s="1"/>
  <c r="J68" i="22" s="1"/>
  <c r="J69" i="22" s="1"/>
  <c r="K62" i="22"/>
  <c r="M62" i="22"/>
  <c r="M63" i="22" s="1"/>
  <c r="M64" i="22" s="1"/>
  <c r="M65" i="22" s="1"/>
  <c r="M66" i="22" s="1"/>
  <c r="M67" i="22" s="1"/>
  <c r="M68" i="22" s="1"/>
  <c r="M69" i="22" s="1"/>
  <c r="L63" i="22"/>
  <c r="D68" i="12"/>
  <c r="K68" i="12"/>
  <c r="O64" i="22"/>
  <c r="Q63" i="22"/>
  <c r="K50" i="16"/>
  <c r="AB51" i="12"/>
  <c r="P50" i="20"/>
  <c r="K19" i="16"/>
  <c r="P19" i="20"/>
  <c r="E67" i="22"/>
  <c r="D68" i="22"/>
  <c r="AI14" i="12"/>
  <c r="T13" i="10"/>
  <c r="AB63" i="12"/>
  <c r="P62" i="20"/>
  <c r="K23" i="16"/>
  <c r="P23" i="20"/>
  <c r="K33" i="6"/>
  <c r="J112" i="5"/>
  <c r="J113" i="5" s="1"/>
  <c r="J114" i="5" s="1"/>
  <c r="J115" i="5" s="1"/>
  <c r="F97" i="3"/>
  <c r="G96" i="3"/>
  <c r="S84" i="24"/>
  <c r="S85" i="24" s="1"/>
  <c r="S86" i="24" s="1"/>
  <c r="S87" i="24" s="1"/>
  <c r="T77" i="20"/>
  <c r="S78" i="20"/>
  <c r="G84" i="22"/>
  <c r="G85" i="22" s="1"/>
  <c r="G86" i="22" s="1"/>
  <c r="G87" i="22" s="1"/>
  <c r="D84" i="22"/>
  <c r="D85" i="22" s="1"/>
  <c r="D86" i="22" s="1"/>
  <c r="D87" i="22" s="1"/>
  <c r="S84" i="22"/>
  <c r="S85" i="22" s="1"/>
  <c r="S86" i="22" s="1"/>
  <c r="S87" i="22" s="1"/>
  <c r="L75" i="18"/>
  <c r="F67" i="22"/>
  <c r="H66" i="22"/>
  <c r="O80" i="20"/>
  <c r="AA81" i="12"/>
  <c r="K78" i="22"/>
  <c r="I79" i="22"/>
  <c r="R79" i="22"/>
  <c r="T78" i="22"/>
  <c r="C78" i="18"/>
  <c r="C79" i="14"/>
  <c r="R67" i="22"/>
  <c r="T66" i="22"/>
  <c r="L79" i="22"/>
  <c r="N78" i="22"/>
  <c r="O79" i="22"/>
  <c r="Q78" i="22"/>
  <c r="F79" i="24"/>
  <c r="H78" i="24"/>
  <c r="Q78" i="24"/>
  <c r="O79" i="24"/>
  <c r="N76" i="18"/>
  <c r="Q77" i="12"/>
  <c r="Q76" i="10"/>
  <c r="N78" i="24"/>
  <c r="L79" i="24"/>
  <c r="C79" i="24"/>
  <c r="E78" i="24"/>
  <c r="AO84" i="42"/>
  <c r="AO85" i="42" s="1"/>
  <c r="AO86" i="42" s="1"/>
  <c r="AO87" i="42" s="1"/>
  <c r="AQ84" i="42"/>
  <c r="AQ85" i="42" s="1"/>
  <c r="AQ86" i="42" s="1"/>
  <c r="AQ87" i="42" s="1"/>
  <c r="AM84" i="42"/>
  <c r="AM85" i="42" s="1"/>
  <c r="AM86" i="42" s="1"/>
  <c r="AM87" i="42" s="1"/>
  <c r="AL85" i="42"/>
  <c r="AP84" i="42"/>
  <c r="AN84" i="42"/>
  <c r="AN85" i="42" s="1"/>
  <c r="AN86" i="42" s="1"/>
  <c r="AN87" i="42" s="1"/>
  <c r="R79" i="24"/>
  <c r="T78" i="24"/>
  <c r="I79" i="24"/>
  <c r="K78" i="24"/>
  <c r="C79" i="22"/>
  <c r="E78" i="22"/>
  <c r="F79" i="22"/>
  <c r="H78" i="22"/>
  <c r="AG82" i="22"/>
  <c r="AE81" i="44"/>
  <c r="W80" i="44"/>
  <c r="S81" i="44"/>
  <c r="V67" i="22"/>
  <c r="V68" i="22" s="1"/>
  <c r="V69" i="22" s="1"/>
  <c r="T81" i="44"/>
  <c r="X80" i="44"/>
  <c r="H65" i="22"/>
  <c r="Z75" i="12"/>
  <c r="O79" i="20"/>
  <c r="N78" i="20"/>
  <c r="T77" i="22"/>
  <c r="H68" i="36"/>
  <c r="J76" i="18"/>
  <c r="P75" i="10"/>
  <c r="M75" i="10"/>
  <c r="C77" i="18"/>
  <c r="J77" i="18" s="1"/>
  <c r="T65" i="22"/>
  <c r="I75" i="10"/>
  <c r="I76" i="10" s="1"/>
  <c r="N77" i="22"/>
  <c r="G78" i="36"/>
  <c r="Q77" i="22"/>
  <c r="V80" i="22"/>
  <c r="V81" i="22" s="1"/>
  <c r="V82" i="22" s="1"/>
  <c r="V83" i="22" s="1"/>
  <c r="H77" i="24"/>
  <c r="Q77" i="24"/>
  <c r="N77" i="24"/>
  <c r="U84" i="22"/>
  <c r="U85" i="22" s="1"/>
  <c r="U86" i="22" s="1"/>
  <c r="U87" i="22" s="1"/>
  <c r="E77" i="24"/>
  <c r="K78" i="20"/>
  <c r="AP83" i="42"/>
  <c r="T77" i="24"/>
  <c r="K78" i="36"/>
  <c r="K77" i="24"/>
  <c r="E77" i="22"/>
  <c r="D80" i="28"/>
  <c r="D81" i="28" s="1"/>
  <c r="H77" i="22"/>
  <c r="H72" i="34"/>
  <c r="AB80" i="22"/>
  <c r="AB81" i="22" s="1"/>
  <c r="G68" i="36"/>
  <c r="N68" i="36"/>
  <c r="Z80" i="22"/>
  <c r="Z81" i="22" s="1"/>
  <c r="N78" i="36"/>
  <c r="G72" i="34"/>
  <c r="AG81" i="22"/>
  <c r="K68" i="36"/>
  <c r="W79" i="44"/>
  <c r="E78" i="20"/>
  <c r="C80" i="28"/>
  <c r="C81" i="28" s="1"/>
  <c r="X79" i="44"/>
  <c r="H78" i="36"/>
  <c r="H78" i="32"/>
  <c r="S78" i="12"/>
  <c r="O77" i="18"/>
  <c r="R77" i="10"/>
  <c r="AA80" i="22"/>
  <c r="AA81" i="22" s="1"/>
  <c r="N75" i="18"/>
  <c r="Q75" i="10"/>
  <c r="G76" i="18"/>
  <c r="E76" i="18"/>
  <c r="G76" i="32"/>
  <c r="G76" i="12"/>
  <c r="C66" i="12"/>
  <c r="I65" i="12"/>
  <c r="P66" i="12"/>
  <c r="R79" i="20"/>
  <c r="P78" i="20"/>
  <c r="K78" i="16" s="1"/>
  <c r="AB79" i="12"/>
  <c r="C65" i="34"/>
  <c r="F66" i="12"/>
  <c r="C66" i="34" s="1"/>
  <c r="E66" i="34"/>
  <c r="G66" i="12"/>
  <c r="E65" i="12"/>
  <c r="L66" i="12"/>
  <c r="C77" i="30"/>
  <c r="K77" i="22"/>
  <c r="F76" i="32"/>
  <c r="K75" i="10"/>
  <c r="I75" i="12"/>
  <c r="C76" i="12"/>
  <c r="P76" i="12"/>
  <c r="L76" i="18" s="1"/>
  <c r="Q79" i="20"/>
  <c r="C50" i="7"/>
  <c r="L79" i="36"/>
  <c r="N22" i="37"/>
  <c r="G22" i="37"/>
  <c r="Y88" i="44"/>
  <c r="Y27" i="45"/>
  <c r="C69" i="36"/>
  <c r="E79" i="36"/>
  <c r="F88" i="46"/>
  <c r="F27" i="47"/>
  <c r="M69" i="36"/>
  <c r="D69" i="36"/>
  <c r="AG28" i="43"/>
  <c r="K88" i="46"/>
  <c r="K27" i="47"/>
  <c r="C66" i="40"/>
  <c r="Q27" i="45"/>
  <c r="Q88" i="44"/>
  <c r="C79" i="20"/>
  <c r="M88" i="46"/>
  <c r="M27" i="47"/>
  <c r="D88" i="48"/>
  <c r="D27" i="49"/>
  <c r="I79" i="36"/>
  <c r="C88" i="48"/>
  <c r="C27" i="49"/>
  <c r="L69" i="36"/>
  <c r="F79" i="36"/>
  <c r="H22" i="37"/>
  <c r="L79" i="20"/>
  <c r="U27" i="45"/>
  <c r="U88" i="44"/>
  <c r="C79" i="36"/>
  <c r="AR28" i="43"/>
  <c r="E69" i="36"/>
  <c r="Z88" i="44"/>
  <c r="Z27" i="45"/>
  <c r="I69" i="36"/>
  <c r="AH88" i="44"/>
  <c r="AH27" i="45"/>
  <c r="AI27" i="45"/>
  <c r="AI88" i="44"/>
  <c r="AE28" i="43"/>
  <c r="AG88" i="44"/>
  <c r="AG27" i="45"/>
  <c r="AA27" i="45"/>
  <c r="AA88" i="44"/>
  <c r="I79" i="20"/>
  <c r="G28" i="47"/>
  <c r="J28" i="47"/>
  <c r="D66" i="40"/>
  <c r="F79" i="20"/>
  <c r="M79" i="36"/>
  <c r="O27" i="45"/>
  <c r="O88" i="44"/>
  <c r="J27" i="17"/>
  <c r="J88" i="16"/>
  <c r="Y76" i="12"/>
  <c r="Y24" i="13"/>
  <c r="F69" i="36"/>
  <c r="AC88" i="44"/>
  <c r="AC27" i="45"/>
  <c r="L28" i="47"/>
  <c r="I28" i="47"/>
  <c r="AF28" i="43"/>
  <c r="E79" i="32"/>
  <c r="H28" i="47"/>
  <c r="L79" i="10"/>
  <c r="AA25" i="23"/>
  <c r="E27" i="49"/>
  <c r="E88" i="48"/>
  <c r="J69" i="36"/>
  <c r="X84" i="12"/>
  <c r="X26" i="13"/>
  <c r="K22" i="37"/>
  <c r="D79" i="36"/>
  <c r="J79" i="36"/>
  <c r="M24" i="11"/>
  <c r="L25" i="37"/>
  <c r="F25" i="25"/>
  <c r="L25" i="23"/>
  <c r="G27" i="23"/>
  <c r="AA82" i="22"/>
  <c r="B51" i="7"/>
  <c r="K24" i="11"/>
  <c r="R25" i="21"/>
  <c r="L25" i="21"/>
  <c r="O25" i="25"/>
  <c r="X25" i="45"/>
  <c r="I25" i="21"/>
  <c r="D25" i="37"/>
  <c r="V26" i="23"/>
  <c r="AB25" i="13"/>
  <c r="C77" i="32"/>
  <c r="AA18" i="60"/>
  <c r="I25" i="25"/>
  <c r="D27" i="23"/>
  <c r="AD80" i="12"/>
  <c r="L24" i="19"/>
  <c r="F25" i="21"/>
  <c r="J77" i="12"/>
  <c r="I24" i="13"/>
  <c r="J67" i="12"/>
  <c r="P24" i="11"/>
  <c r="N77" i="12"/>
  <c r="Q24" i="11"/>
  <c r="AP26" i="43"/>
  <c r="C25" i="23"/>
  <c r="AB18" i="60"/>
  <c r="AO27" i="43"/>
  <c r="O25" i="21"/>
  <c r="Z24" i="13"/>
  <c r="J34" i="6"/>
  <c r="J25" i="37"/>
  <c r="E25" i="33"/>
  <c r="AN27" i="43"/>
  <c r="N67" i="12"/>
  <c r="C25" i="37"/>
  <c r="O25" i="23"/>
  <c r="M67" i="12"/>
  <c r="M25" i="37"/>
  <c r="U27" i="23"/>
  <c r="R25" i="23"/>
  <c r="I25" i="23"/>
  <c r="D77" i="32"/>
  <c r="AB21" i="13"/>
  <c r="H73" i="34"/>
  <c r="D78" i="30"/>
  <c r="AB82" i="22"/>
  <c r="L25" i="11"/>
  <c r="I24" i="11"/>
  <c r="C75" i="16"/>
  <c r="S27" i="23"/>
  <c r="Q25" i="21"/>
  <c r="G73" i="34"/>
  <c r="N24" i="19"/>
  <c r="AQ27" i="43"/>
  <c r="W25" i="45"/>
  <c r="D69" i="12"/>
  <c r="K69" i="12"/>
  <c r="D82" i="28"/>
  <c r="C25" i="25"/>
  <c r="F25" i="23"/>
  <c r="E25" i="37"/>
  <c r="L25" i="25"/>
  <c r="C25" i="15"/>
  <c r="F25" i="37"/>
  <c r="Z82" i="22"/>
  <c r="C82" i="28"/>
  <c r="C25" i="21"/>
  <c r="I25" i="37"/>
  <c r="AM27" i="43"/>
  <c r="R25" i="25"/>
  <c r="AC80" i="12"/>
  <c r="S27" i="25"/>
  <c r="J80" i="36" l="1"/>
  <c r="K79" i="36"/>
  <c r="G79" i="36"/>
  <c r="D80" i="36"/>
  <c r="X85" i="12"/>
  <c r="X86" i="12" s="1"/>
  <c r="X87" i="12" s="1"/>
  <c r="J70" i="36"/>
  <c r="K69" i="36"/>
  <c r="E89" i="48"/>
  <c r="E90" i="48" s="1"/>
  <c r="E91" i="48" s="1"/>
  <c r="L80" i="10"/>
  <c r="E80" i="32"/>
  <c r="H79" i="32"/>
  <c r="AC89" i="44"/>
  <c r="AC90" i="44" s="1"/>
  <c r="AC91" i="44" s="1"/>
  <c r="F70" i="36"/>
  <c r="Z76" i="12"/>
  <c r="Y77" i="12"/>
  <c r="J89" i="16"/>
  <c r="J90" i="16" s="1"/>
  <c r="J91" i="16" s="1"/>
  <c r="O89" i="44"/>
  <c r="O90" i="44" s="1"/>
  <c r="O91" i="44" s="1"/>
  <c r="M80" i="36"/>
  <c r="N79" i="36"/>
  <c r="H79" i="20"/>
  <c r="F80" i="20"/>
  <c r="D67" i="40"/>
  <c r="K79" i="20"/>
  <c r="I80" i="20"/>
  <c r="AA89" i="44"/>
  <c r="AA90" i="44" s="1"/>
  <c r="AA91" i="44" s="1"/>
  <c r="AG89" i="44"/>
  <c r="AG90" i="44" s="1"/>
  <c r="AG91" i="44" s="1"/>
  <c r="AI89" i="44"/>
  <c r="AI90" i="44" s="1"/>
  <c r="AI91" i="44" s="1"/>
  <c r="AH89" i="44"/>
  <c r="AH90" i="44" s="1"/>
  <c r="AH91" i="44" s="1"/>
  <c r="I70" i="36"/>
  <c r="Z89" i="44"/>
  <c r="Z90" i="44" s="1"/>
  <c r="Z91" i="44" s="1"/>
  <c r="E70" i="36"/>
  <c r="H69" i="36"/>
  <c r="C80" i="36"/>
  <c r="U89" i="44"/>
  <c r="U90" i="44" s="1"/>
  <c r="U91" i="44" s="1"/>
  <c r="L80" i="20"/>
  <c r="N79" i="20"/>
  <c r="F80" i="36"/>
  <c r="L70" i="36"/>
  <c r="C89" i="48"/>
  <c r="C90" i="48" s="1"/>
  <c r="C91" i="48" s="1"/>
  <c r="I80" i="36"/>
  <c r="D89" i="48"/>
  <c r="D90" i="48" s="1"/>
  <c r="D91" i="48" s="1"/>
  <c r="M89" i="46"/>
  <c r="M90" i="46" s="1"/>
  <c r="M91" i="46" s="1"/>
  <c r="C80" i="20"/>
  <c r="E79" i="20"/>
  <c r="Q89" i="44"/>
  <c r="Q90" i="44" s="1"/>
  <c r="Q91" i="44" s="1"/>
  <c r="C67" i="40"/>
  <c r="K89" i="46"/>
  <c r="K90" i="46" s="1"/>
  <c r="K91" i="46" s="1"/>
  <c r="D70" i="36"/>
  <c r="G69" i="36"/>
  <c r="N69" i="36"/>
  <c r="M70" i="36"/>
  <c r="N70" i="36" s="1"/>
  <c r="F89" i="46"/>
  <c r="F90" i="46" s="1"/>
  <c r="F91" i="46" s="1"/>
  <c r="H79" i="36"/>
  <c r="E80" i="36"/>
  <c r="C70" i="36"/>
  <c r="Y89" i="44"/>
  <c r="Y90" i="44" s="1"/>
  <c r="Y91" i="44" s="1"/>
  <c r="L80" i="36"/>
  <c r="N62" i="22"/>
  <c r="K70" i="12"/>
  <c r="D70" i="12"/>
  <c r="Q64" i="22"/>
  <c r="O65" i="22"/>
  <c r="N63" i="22"/>
  <c r="L64" i="22"/>
  <c r="P51" i="20"/>
  <c r="K51" i="16"/>
  <c r="K63" i="22"/>
  <c r="I64" i="22"/>
  <c r="I77" i="18"/>
  <c r="D69" i="22"/>
  <c r="E69" i="22" s="1"/>
  <c r="E68" i="22"/>
  <c r="P63" i="20"/>
  <c r="T14" i="10"/>
  <c r="AI15" i="12"/>
  <c r="K34" i="6"/>
  <c r="J116" i="5"/>
  <c r="J117" i="5" s="1"/>
  <c r="J118" i="5" s="1"/>
  <c r="J119" i="5" s="1"/>
  <c r="G97" i="3"/>
  <c r="F98" i="3"/>
  <c r="D88" i="22"/>
  <c r="D89" i="22" s="1"/>
  <c r="D90" i="22" s="1"/>
  <c r="D91" i="22" s="1"/>
  <c r="G88" i="22"/>
  <c r="G89" i="22" s="1"/>
  <c r="G90" i="22" s="1"/>
  <c r="G91" i="22" s="1"/>
  <c r="G77" i="18"/>
  <c r="S88" i="22"/>
  <c r="S89" i="22" s="1"/>
  <c r="S90" i="22" s="1"/>
  <c r="S91" i="22" s="1"/>
  <c r="S88" i="24"/>
  <c r="S89" i="24" s="1"/>
  <c r="S90" i="24" s="1"/>
  <c r="S91" i="24" s="1"/>
  <c r="T78" i="20"/>
  <c r="S79" i="20"/>
  <c r="E77" i="18"/>
  <c r="E75" i="10"/>
  <c r="E76" i="10" s="1"/>
  <c r="G75" i="10"/>
  <c r="G76" i="10" s="1"/>
  <c r="C75" i="10"/>
  <c r="C76" i="10" s="1"/>
  <c r="E66" i="12"/>
  <c r="M76" i="18"/>
  <c r="Z83" i="22"/>
  <c r="AB80" i="12"/>
  <c r="G74" i="34"/>
  <c r="G75" i="34" s="1"/>
  <c r="D83" i="28"/>
  <c r="AA83" i="22"/>
  <c r="AB83" i="22"/>
  <c r="C83" i="28"/>
  <c r="H74" i="34"/>
  <c r="H75" i="34" s="1"/>
  <c r="K80" i="36"/>
  <c r="Q78" i="12"/>
  <c r="Q77" i="10"/>
  <c r="N77" i="18"/>
  <c r="P76" i="10"/>
  <c r="G80" i="36"/>
  <c r="H80" i="32"/>
  <c r="H80" i="20"/>
  <c r="O75" i="10"/>
  <c r="P79" i="20"/>
  <c r="N80" i="36"/>
  <c r="Z77" i="12"/>
  <c r="Y78" i="12"/>
  <c r="I66" i="12"/>
  <c r="E79" i="22"/>
  <c r="C80" i="22"/>
  <c r="R68" i="22"/>
  <c r="T67" i="22"/>
  <c r="T79" i="22"/>
  <c r="R80" i="22"/>
  <c r="S82" i="44"/>
  <c r="W81" i="44"/>
  <c r="C80" i="14"/>
  <c r="C79" i="18"/>
  <c r="I79" i="18" s="1"/>
  <c r="I80" i="22"/>
  <c r="K79" i="22"/>
  <c r="O81" i="20"/>
  <c r="AA82" i="12"/>
  <c r="V84" i="22"/>
  <c r="V85" i="22" s="1"/>
  <c r="V86" i="22" s="1"/>
  <c r="V87" i="22" s="1"/>
  <c r="D70" i="16"/>
  <c r="F70" i="16" s="1"/>
  <c r="H80" i="36"/>
  <c r="E80" i="20"/>
  <c r="O80" i="22"/>
  <c r="Q79" i="22"/>
  <c r="E78" i="18"/>
  <c r="G78" i="18"/>
  <c r="X81" i="44"/>
  <c r="T82" i="44"/>
  <c r="K70" i="36"/>
  <c r="H79" i="22"/>
  <c r="F80" i="22"/>
  <c r="H70" i="36"/>
  <c r="AE82" i="44"/>
  <c r="AG83" i="22"/>
  <c r="T79" i="24"/>
  <c r="R80" i="24"/>
  <c r="R78" i="10"/>
  <c r="S79" i="12"/>
  <c r="O78" i="18"/>
  <c r="C80" i="24"/>
  <c r="E79" i="24"/>
  <c r="K79" i="24"/>
  <c r="I80" i="24"/>
  <c r="AP85" i="42"/>
  <c r="AL86" i="42"/>
  <c r="L80" i="24"/>
  <c r="N79" i="24"/>
  <c r="I78" i="18"/>
  <c r="Q79" i="24"/>
  <c r="O80" i="24"/>
  <c r="L80" i="22"/>
  <c r="N79" i="22"/>
  <c r="H79" i="24"/>
  <c r="F80" i="24"/>
  <c r="U88" i="22"/>
  <c r="U89" i="22" s="1"/>
  <c r="M76" i="10"/>
  <c r="J78" i="18"/>
  <c r="F68" i="22"/>
  <c r="H67" i="22"/>
  <c r="C51" i="7"/>
  <c r="AC81" i="12"/>
  <c r="Q80" i="20"/>
  <c r="C77" i="12"/>
  <c r="I77" i="10" s="1"/>
  <c r="J78" i="12"/>
  <c r="P77" i="12"/>
  <c r="I76" i="12"/>
  <c r="K76" i="10"/>
  <c r="F77" i="32"/>
  <c r="C78" i="32"/>
  <c r="C76" i="16"/>
  <c r="C78" i="30"/>
  <c r="D79" i="30"/>
  <c r="N68" i="12"/>
  <c r="L67" i="12"/>
  <c r="G67" i="12"/>
  <c r="F67" i="12"/>
  <c r="M68" i="12"/>
  <c r="E67" i="34"/>
  <c r="AD81" i="12"/>
  <c r="R80" i="20"/>
  <c r="J68" i="12"/>
  <c r="P67" i="12"/>
  <c r="C67" i="12"/>
  <c r="N78" i="12"/>
  <c r="G77" i="12"/>
  <c r="G77" i="32"/>
  <c r="D78" i="32"/>
  <c r="J81" i="36"/>
  <c r="F23" i="37"/>
  <c r="AA28" i="45"/>
  <c r="F81" i="36"/>
  <c r="AI28" i="45"/>
  <c r="C28" i="49"/>
  <c r="M23" i="37"/>
  <c r="K25" i="37"/>
  <c r="AG28" i="45"/>
  <c r="L23" i="37"/>
  <c r="O66" i="22"/>
  <c r="G25" i="37"/>
  <c r="D81" i="36"/>
  <c r="J28" i="17"/>
  <c r="AH28" i="45"/>
  <c r="I81" i="36"/>
  <c r="F28" i="47"/>
  <c r="X27" i="13"/>
  <c r="X88" i="12"/>
  <c r="O28" i="45"/>
  <c r="I23" i="37"/>
  <c r="D28" i="49"/>
  <c r="H25" i="37"/>
  <c r="J23" i="37"/>
  <c r="M81" i="36"/>
  <c r="Z28" i="45"/>
  <c r="M28" i="47"/>
  <c r="E81" i="36"/>
  <c r="N25" i="37"/>
  <c r="E23" i="37"/>
  <c r="C81" i="20"/>
  <c r="C23" i="37"/>
  <c r="E28" i="49"/>
  <c r="H25" i="21"/>
  <c r="E25" i="21"/>
  <c r="Y28" i="45"/>
  <c r="L81" i="10"/>
  <c r="F81" i="20"/>
  <c r="C81" i="36"/>
  <c r="Q28" i="45"/>
  <c r="L81" i="36"/>
  <c r="D22" i="41"/>
  <c r="D68" i="40"/>
  <c r="U28" i="45"/>
  <c r="C22" i="41"/>
  <c r="C68" i="40"/>
  <c r="AC28" i="45"/>
  <c r="D23" i="37"/>
  <c r="E81" i="32"/>
  <c r="I81" i="20"/>
  <c r="H25" i="33"/>
  <c r="K25" i="21"/>
  <c r="L81" i="20"/>
  <c r="K28" i="47"/>
  <c r="N25" i="21"/>
  <c r="K71" i="12"/>
  <c r="S80" i="12"/>
  <c r="K23" i="37"/>
  <c r="C22" i="13"/>
  <c r="Z26" i="23"/>
  <c r="C24" i="17"/>
  <c r="K25" i="25"/>
  <c r="AB26" i="23"/>
  <c r="E25" i="23"/>
  <c r="AG26" i="23"/>
  <c r="K23" i="13"/>
  <c r="H25" i="25"/>
  <c r="S28" i="25"/>
  <c r="V27" i="23"/>
  <c r="E22" i="35"/>
  <c r="H23" i="37"/>
  <c r="Q25" i="23"/>
  <c r="C26" i="29"/>
  <c r="H24" i="35"/>
  <c r="B18" i="8"/>
  <c r="U90" i="22"/>
  <c r="N23" i="37"/>
  <c r="AB19" i="60"/>
  <c r="N22" i="13"/>
  <c r="S28" i="23"/>
  <c r="M22" i="13"/>
  <c r="AA19" i="60"/>
  <c r="G28" i="23"/>
  <c r="G24" i="35"/>
  <c r="T25" i="23"/>
  <c r="G22" i="13"/>
  <c r="P22" i="13"/>
  <c r="F22" i="13"/>
  <c r="AA26" i="23"/>
  <c r="D25" i="31"/>
  <c r="Q25" i="25"/>
  <c r="AI9" i="13"/>
  <c r="E24" i="11"/>
  <c r="C25" i="19"/>
  <c r="H25" i="23"/>
  <c r="O24" i="11"/>
  <c r="P25" i="21"/>
  <c r="N25" i="23"/>
  <c r="I25" i="19"/>
  <c r="D26" i="29"/>
  <c r="L22" i="13"/>
  <c r="B52" i="7"/>
  <c r="D71" i="12"/>
  <c r="J35" i="6"/>
  <c r="K25" i="23"/>
  <c r="N25" i="25"/>
  <c r="C24" i="11"/>
  <c r="E25" i="25"/>
  <c r="G24" i="11"/>
  <c r="J22" i="13"/>
  <c r="D28" i="23"/>
  <c r="S25" i="21"/>
  <c r="S25" i="13"/>
  <c r="T25" i="25"/>
  <c r="M69" i="12"/>
  <c r="L82" i="20" l="1"/>
  <c r="N81" i="20"/>
  <c r="I82" i="20"/>
  <c r="K81" i="20"/>
  <c r="E82" i="32"/>
  <c r="H81" i="32"/>
  <c r="C69" i="40"/>
  <c r="D69" i="40"/>
  <c r="L82" i="36"/>
  <c r="C82" i="36"/>
  <c r="H81" i="20"/>
  <c r="F82" i="20"/>
  <c r="L82" i="10"/>
  <c r="C82" i="20"/>
  <c r="E81" i="20"/>
  <c r="H81" i="36"/>
  <c r="E82" i="36"/>
  <c r="M82" i="36"/>
  <c r="N82" i="36" s="1"/>
  <c r="N81" i="36"/>
  <c r="X89" i="12"/>
  <c r="X90" i="12" s="1"/>
  <c r="X91" i="12" s="1"/>
  <c r="I82" i="36"/>
  <c r="D82" i="36"/>
  <c r="G81" i="36"/>
  <c r="Q66" i="22"/>
  <c r="O67" i="22"/>
  <c r="F82" i="36"/>
  <c r="J82" i="36"/>
  <c r="K82" i="36" s="1"/>
  <c r="K81" i="36"/>
  <c r="G70" i="36"/>
  <c r="K80" i="20"/>
  <c r="Q65" i="22"/>
  <c r="N80" i="20"/>
  <c r="K72" i="12"/>
  <c r="N64" i="22"/>
  <c r="L65" i="22"/>
  <c r="K64" i="22"/>
  <c r="I65" i="22"/>
  <c r="AI16" i="12"/>
  <c r="T15" i="10"/>
  <c r="K35" i="6"/>
  <c r="J120" i="5"/>
  <c r="J121" i="5" s="1"/>
  <c r="J122" i="5" s="1"/>
  <c r="J123" i="5" s="1"/>
  <c r="F99" i="3"/>
  <c r="G98" i="3"/>
  <c r="T79" i="20"/>
  <c r="S80" i="20"/>
  <c r="M77" i="10"/>
  <c r="M78" i="10" s="1"/>
  <c r="J79" i="18"/>
  <c r="C18" i="8"/>
  <c r="O80" i="18"/>
  <c r="R80" i="10"/>
  <c r="S81" i="12"/>
  <c r="D72" i="12"/>
  <c r="D71" i="16"/>
  <c r="U91" i="22"/>
  <c r="E77" i="10"/>
  <c r="E78" i="10" s="1"/>
  <c r="I78" i="10"/>
  <c r="G77" i="10"/>
  <c r="G78" i="10" s="1"/>
  <c r="C77" i="10"/>
  <c r="C78" i="10" s="1"/>
  <c r="O76" i="10"/>
  <c r="C80" i="18"/>
  <c r="I80" i="18" s="1"/>
  <c r="C81" i="14"/>
  <c r="C81" i="24"/>
  <c r="E80" i="24"/>
  <c r="F81" i="22"/>
  <c r="H80" i="22"/>
  <c r="W82" i="44"/>
  <c r="S83" i="44"/>
  <c r="K82" i="20"/>
  <c r="L81" i="22"/>
  <c r="N80" i="22"/>
  <c r="R81" i="22"/>
  <c r="T80" i="22"/>
  <c r="K79" i="16"/>
  <c r="Q80" i="24"/>
  <c r="O81" i="24"/>
  <c r="AA84" i="22"/>
  <c r="AA85" i="22" s="1"/>
  <c r="N82" i="20"/>
  <c r="R79" i="10"/>
  <c r="O79" i="18"/>
  <c r="T68" i="22"/>
  <c r="R69" i="22"/>
  <c r="T69" i="22" s="1"/>
  <c r="D84" i="28"/>
  <c r="D85" i="28" s="1"/>
  <c r="G82" i="36"/>
  <c r="H68" i="22"/>
  <c r="F69" i="22"/>
  <c r="H69" i="22" s="1"/>
  <c r="L81" i="24"/>
  <c r="N80" i="24"/>
  <c r="T80" i="24"/>
  <c r="R81" i="24"/>
  <c r="K80" i="22"/>
  <c r="I81" i="22"/>
  <c r="AB84" i="22"/>
  <c r="AB85" i="22" s="1"/>
  <c r="C81" i="22"/>
  <c r="E80" i="22"/>
  <c r="AL87" i="42"/>
  <c r="AP86" i="42"/>
  <c r="V88" i="22"/>
  <c r="V89" i="22" s="1"/>
  <c r="G79" i="18"/>
  <c r="E79" i="18"/>
  <c r="P77" i="10"/>
  <c r="P78" i="10" s="1"/>
  <c r="H76" i="34"/>
  <c r="G76" i="34"/>
  <c r="T83" i="44"/>
  <c r="X82" i="44"/>
  <c r="H82" i="32"/>
  <c r="Z78" i="12"/>
  <c r="Y79" i="12"/>
  <c r="C84" i="28"/>
  <c r="C85" i="28" s="1"/>
  <c r="I81" i="24"/>
  <c r="K80" i="24"/>
  <c r="AG84" i="22"/>
  <c r="AE83" i="44"/>
  <c r="O82" i="20"/>
  <c r="AA83" i="12"/>
  <c r="P80" i="20"/>
  <c r="K80" i="16" s="1"/>
  <c r="AB81" i="12"/>
  <c r="H82" i="20"/>
  <c r="M77" i="18"/>
  <c r="L77" i="18"/>
  <c r="H80" i="24"/>
  <c r="F81" i="24"/>
  <c r="N78" i="18"/>
  <c r="Q79" i="12"/>
  <c r="Q78" i="10"/>
  <c r="H82" i="36"/>
  <c r="Z84" i="22"/>
  <c r="Z85" i="22" s="1"/>
  <c r="O81" i="22"/>
  <c r="Q80" i="22"/>
  <c r="G78" i="32"/>
  <c r="D79" i="32"/>
  <c r="G78" i="12"/>
  <c r="I67" i="12"/>
  <c r="C68" i="12"/>
  <c r="P68" i="12"/>
  <c r="R81" i="20"/>
  <c r="AD82" i="12"/>
  <c r="M70" i="12"/>
  <c r="F69" i="12"/>
  <c r="F70" i="12" s="1"/>
  <c r="C67" i="34"/>
  <c r="F68" i="12"/>
  <c r="E67" i="12"/>
  <c r="G68" i="12"/>
  <c r="L68" i="12"/>
  <c r="D80" i="30"/>
  <c r="C79" i="30"/>
  <c r="F78" i="32"/>
  <c r="C79" i="32"/>
  <c r="P78" i="12"/>
  <c r="C78" i="12"/>
  <c r="I77" i="12"/>
  <c r="K77" i="10"/>
  <c r="Q81" i="20"/>
  <c r="AC82" i="12"/>
  <c r="C52" i="7"/>
  <c r="L83" i="20"/>
  <c r="L83" i="10"/>
  <c r="I66" i="22"/>
  <c r="I83" i="20"/>
  <c r="J83" i="36"/>
  <c r="E83" i="32"/>
  <c r="E83" i="36"/>
  <c r="G23" i="37"/>
  <c r="M83" i="36"/>
  <c r="D70" i="40"/>
  <c r="X28" i="13"/>
  <c r="C70" i="40"/>
  <c r="L83" i="36"/>
  <c r="I83" i="36"/>
  <c r="C83" i="36"/>
  <c r="D83" i="36"/>
  <c r="L66" i="22"/>
  <c r="F83" i="20"/>
  <c r="C83" i="20"/>
  <c r="F83" i="36"/>
  <c r="AB20" i="60"/>
  <c r="O25" i="19"/>
  <c r="B53" i="7"/>
  <c r="T25" i="21"/>
  <c r="D86" i="28"/>
  <c r="AL88" i="42"/>
  <c r="L26" i="37"/>
  <c r="U28" i="23"/>
  <c r="F26" i="21"/>
  <c r="F26" i="37"/>
  <c r="AE26" i="45"/>
  <c r="T26" i="45"/>
  <c r="E26" i="37"/>
  <c r="C86" i="28"/>
  <c r="K25" i="17"/>
  <c r="G25" i="19"/>
  <c r="O82" i="22"/>
  <c r="I82" i="24"/>
  <c r="Y80" i="12"/>
  <c r="J69" i="12"/>
  <c r="D23" i="13"/>
  <c r="I26" i="37"/>
  <c r="E22" i="13"/>
  <c r="J79" i="12"/>
  <c r="S84" i="44"/>
  <c r="H77" i="34"/>
  <c r="C22" i="35"/>
  <c r="C26" i="37"/>
  <c r="N69" i="12"/>
  <c r="Y25" i="13"/>
  <c r="J26" i="37"/>
  <c r="R82" i="24"/>
  <c r="L26" i="21"/>
  <c r="I26" i="21"/>
  <c r="C82" i="14"/>
  <c r="L82" i="24"/>
  <c r="Q25" i="13"/>
  <c r="C82" i="22"/>
  <c r="C82" i="24"/>
  <c r="AB86" i="22"/>
  <c r="F82" i="24"/>
  <c r="AL27" i="43"/>
  <c r="T84" i="44"/>
  <c r="J25" i="19"/>
  <c r="L26" i="11"/>
  <c r="S26" i="45"/>
  <c r="Z86" i="22"/>
  <c r="E25" i="19"/>
  <c r="AE84" i="44"/>
  <c r="C25" i="33"/>
  <c r="C25" i="31"/>
  <c r="AA86" i="22"/>
  <c r="AA26" i="13"/>
  <c r="F82" i="22"/>
  <c r="C26" i="21"/>
  <c r="R82" i="22"/>
  <c r="V90" i="22"/>
  <c r="I22" i="13"/>
  <c r="AA84" i="12"/>
  <c r="L82" i="22"/>
  <c r="AA20" i="60"/>
  <c r="D25" i="33"/>
  <c r="D23" i="17"/>
  <c r="R25" i="11"/>
  <c r="E26" i="33"/>
  <c r="K73" i="12"/>
  <c r="C77" i="16"/>
  <c r="D26" i="37"/>
  <c r="M26" i="37"/>
  <c r="Q80" i="12"/>
  <c r="N79" i="12"/>
  <c r="G77" i="34"/>
  <c r="I82" i="22"/>
  <c r="O82" i="24"/>
  <c r="J36" i="6"/>
  <c r="M71" i="12"/>
  <c r="F84" i="36" l="1"/>
  <c r="C84" i="20"/>
  <c r="E83" i="20"/>
  <c r="H83" i="20"/>
  <c r="F84" i="20"/>
  <c r="N66" i="22"/>
  <c r="L67" i="22"/>
  <c r="D84" i="36"/>
  <c r="G83" i="36"/>
  <c r="C84" i="36"/>
  <c r="I84" i="36"/>
  <c r="L84" i="36"/>
  <c r="C71" i="40"/>
  <c r="D71" i="40"/>
  <c r="M84" i="36"/>
  <c r="N84" i="36" s="1"/>
  <c r="N83" i="36"/>
  <c r="E84" i="36"/>
  <c r="H83" i="36"/>
  <c r="E84" i="32"/>
  <c r="H83" i="32"/>
  <c r="J84" i="36"/>
  <c r="K83" i="36"/>
  <c r="K83" i="20"/>
  <c r="I84" i="20"/>
  <c r="K66" i="22"/>
  <c r="I67" i="22"/>
  <c r="L84" i="10"/>
  <c r="L84" i="20"/>
  <c r="N83" i="20"/>
  <c r="E82" i="20"/>
  <c r="N65" i="22"/>
  <c r="K65" i="22"/>
  <c r="Q67" i="22"/>
  <c r="O68" i="22"/>
  <c r="E68" i="12"/>
  <c r="O77" i="10"/>
  <c r="AI17" i="12"/>
  <c r="T16" i="10"/>
  <c r="K36" i="6"/>
  <c r="J124" i="5"/>
  <c r="J125" i="5" s="1"/>
  <c r="J126" i="5" s="1"/>
  <c r="J127" i="5" s="1"/>
  <c r="G99" i="3"/>
  <c r="F100" i="3"/>
  <c r="T80" i="20"/>
  <c r="S81" i="20"/>
  <c r="I68" i="12"/>
  <c r="S85" i="44"/>
  <c r="W84" i="44"/>
  <c r="I83" i="24"/>
  <c r="K82" i="24"/>
  <c r="C87" i="28"/>
  <c r="T82" i="24"/>
  <c r="R83" i="24"/>
  <c r="N82" i="22"/>
  <c r="L83" i="22"/>
  <c r="Q82" i="22"/>
  <c r="O83" i="22"/>
  <c r="Y81" i="12"/>
  <c r="Z80" i="12"/>
  <c r="V91" i="22"/>
  <c r="AA87" i="22"/>
  <c r="AM88" i="42"/>
  <c r="AM89" i="42" s="1"/>
  <c r="AM90" i="42" s="1"/>
  <c r="AM91" i="42" s="1"/>
  <c r="AQ88" i="42"/>
  <c r="AQ89" i="42" s="1"/>
  <c r="AQ90" i="42" s="1"/>
  <c r="AQ91" i="42" s="1"/>
  <c r="AP88" i="42"/>
  <c r="AL89" i="42"/>
  <c r="AO88" i="42"/>
  <c r="AO89" i="42" s="1"/>
  <c r="AO90" i="42" s="1"/>
  <c r="AO91" i="42" s="1"/>
  <c r="AN88" i="42"/>
  <c r="AN89" i="42" s="1"/>
  <c r="AN90" i="42" s="1"/>
  <c r="AN91" i="42" s="1"/>
  <c r="L71" i="12"/>
  <c r="O83" i="24"/>
  <c r="Q82" i="24"/>
  <c r="N80" i="18"/>
  <c r="Q80" i="10"/>
  <c r="Q81" i="12"/>
  <c r="T85" i="44"/>
  <c r="X84" i="44"/>
  <c r="C83" i="22"/>
  <c r="E82" i="22"/>
  <c r="F83" i="22"/>
  <c r="H82" i="22"/>
  <c r="Z87" i="22"/>
  <c r="L83" i="24"/>
  <c r="N82" i="24"/>
  <c r="O84" i="20"/>
  <c r="AA85" i="12"/>
  <c r="G78" i="34"/>
  <c r="G79" i="34" s="1"/>
  <c r="AB87" i="22"/>
  <c r="F83" i="24"/>
  <c r="H82" i="24"/>
  <c r="H78" i="34"/>
  <c r="H79" i="34" s="1"/>
  <c r="D87" i="28"/>
  <c r="C83" i="24"/>
  <c r="E82" i="24"/>
  <c r="AG86" i="22"/>
  <c r="AE85" i="44"/>
  <c r="T82" i="22"/>
  <c r="R83" i="22"/>
  <c r="C82" i="18"/>
  <c r="I82" i="18" s="1"/>
  <c r="C83" i="14"/>
  <c r="K74" i="12"/>
  <c r="K82" i="22"/>
  <c r="I83" i="22"/>
  <c r="W83" i="44"/>
  <c r="H84" i="36"/>
  <c r="F71" i="16"/>
  <c r="K81" i="24"/>
  <c r="J80" i="18"/>
  <c r="T81" i="24"/>
  <c r="N81" i="22"/>
  <c r="H84" i="32"/>
  <c r="D72" i="16"/>
  <c r="F72" i="16" s="1"/>
  <c r="Q81" i="22"/>
  <c r="P81" i="20"/>
  <c r="K81" i="16" s="1"/>
  <c r="AB82" i="12"/>
  <c r="Z79" i="12"/>
  <c r="H84" i="20"/>
  <c r="K84" i="20"/>
  <c r="AP87" i="42"/>
  <c r="R81" i="10"/>
  <c r="S82" i="12"/>
  <c r="O81" i="18"/>
  <c r="Q81" i="24"/>
  <c r="Q79" i="10"/>
  <c r="N79" i="18"/>
  <c r="X83" i="44"/>
  <c r="E81" i="22"/>
  <c r="H81" i="22"/>
  <c r="N81" i="24"/>
  <c r="K84" i="36"/>
  <c r="O83" i="20"/>
  <c r="L78" i="18"/>
  <c r="M78" i="18"/>
  <c r="H81" i="24"/>
  <c r="E81" i="24"/>
  <c r="E84" i="20"/>
  <c r="AG85" i="22"/>
  <c r="T81" i="22"/>
  <c r="C81" i="18"/>
  <c r="I81" i="18" s="1"/>
  <c r="N84" i="20"/>
  <c r="K81" i="22"/>
  <c r="E80" i="18"/>
  <c r="G80" i="18"/>
  <c r="G84" i="36"/>
  <c r="C53" i="7"/>
  <c r="AC83" i="12"/>
  <c r="Q82" i="20"/>
  <c r="I78" i="12"/>
  <c r="K78" i="10"/>
  <c r="O78" i="10" s="1"/>
  <c r="J80" i="12"/>
  <c r="P79" i="12"/>
  <c r="C79" i="12"/>
  <c r="I79" i="10" s="1"/>
  <c r="C80" i="32"/>
  <c r="F79" i="32"/>
  <c r="C78" i="16"/>
  <c r="D81" i="30"/>
  <c r="C80" i="30"/>
  <c r="N70" i="12"/>
  <c r="G69" i="12"/>
  <c r="L69" i="12"/>
  <c r="F71" i="12"/>
  <c r="M72" i="12"/>
  <c r="R82" i="20"/>
  <c r="AD83" i="12"/>
  <c r="J70" i="12"/>
  <c r="C69" i="12"/>
  <c r="P69" i="12"/>
  <c r="N80" i="12"/>
  <c r="G79" i="12"/>
  <c r="G79" i="32"/>
  <c r="D80" i="32"/>
  <c r="F85" i="36"/>
  <c r="C23" i="41"/>
  <c r="C72" i="40"/>
  <c r="M85" i="36"/>
  <c r="C85" i="20"/>
  <c r="D72" i="40"/>
  <c r="D23" i="41"/>
  <c r="H26" i="21"/>
  <c r="N26" i="37"/>
  <c r="L85" i="20"/>
  <c r="F85" i="20"/>
  <c r="E85" i="36"/>
  <c r="N26" i="21"/>
  <c r="H26" i="37"/>
  <c r="E85" i="32"/>
  <c r="D85" i="36"/>
  <c r="H26" i="33"/>
  <c r="G26" i="37"/>
  <c r="J85" i="36"/>
  <c r="C85" i="36"/>
  <c r="K26" i="37"/>
  <c r="I85" i="36"/>
  <c r="K26" i="21"/>
  <c r="L85" i="36"/>
  <c r="I85" i="20"/>
  <c r="E26" i="21"/>
  <c r="L85" i="10"/>
  <c r="AA21" i="60"/>
  <c r="F23" i="13"/>
  <c r="M23" i="13"/>
  <c r="C26" i="23"/>
  <c r="F26" i="25"/>
  <c r="W26" i="45"/>
  <c r="O26" i="21"/>
  <c r="G25" i="35"/>
  <c r="J23" i="13"/>
  <c r="V28" i="23"/>
  <c r="AQ28" i="43"/>
  <c r="N25" i="13"/>
  <c r="AB21" i="60"/>
  <c r="N25" i="19"/>
  <c r="C25" i="13"/>
  <c r="AP27" i="43"/>
  <c r="Q25" i="11"/>
  <c r="P25" i="13"/>
  <c r="J25" i="13"/>
  <c r="O26" i="23"/>
  <c r="L26" i="25"/>
  <c r="F26" i="23"/>
  <c r="Z27" i="23"/>
  <c r="C27" i="29"/>
  <c r="F25" i="33"/>
  <c r="D27" i="29"/>
  <c r="R26" i="23"/>
  <c r="AA27" i="23"/>
  <c r="B54" i="7"/>
  <c r="G25" i="13"/>
  <c r="I26" i="23"/>
  <c r="F23" i="17"/>
  <c r="O26" i="25"/>
  <c r="G25" i="33"/>
  <c r="H25" i="35"/>
  <c r="J37" i="6"/>
  <c r="AN28" i="43"/>
  <c r="D73" i="12"/>
  <c r="AO28" i="43"/>
  <c r="I26" i="25"/>
  <c r="R26" i="25"/>
  <c r="N23" i="13"/>
  <c r="X26" i="45"/>
  <c r="C26" i="25"/>
  <c r="I25" i="11"/>
  <c r="AB27" i="23"/>
  <c r="L26" i="23"/>
  <c r="C26" i="15"/>
  <c r="AC26" i="13"/>
  <c r="Z25" i="13"/>
  <c r="AM28" i="43"/>
  <c r="AD26" i="13"/>
  <c r="L86" i="10" l="1"/>
  <c r="K85" i="20"/>
  <c r="I86" i="20"/>
  <c r="L86" i="36"/>
  <c r="I86" i="36"/>
  <c r="C86" i="36"/>
  <c r="J86" i="36"/>
  <c r="K86" i="36" s="1"/>
  <c r="K85" i="36"/>
  <c r="G85" i="36"/>
  <c r="D86" i="36"/>
  <c r="H85" i="32"/>
  <c r="E86" i="32"/>
  <c r="H85" i="36"/>
  <c r="E86" i="36"/>
  <c r="F86" i="20"/>
  <c r="H85" i="20"/>
  <c r="N85" i="20"/>
  <c r="L86" i="20"/>
  <c r="D73" i="40"/>
  <c r="C86" i="20"/>
  <c r="E85" i="20"/>
  <c r="M86" i="36"/>
  <c r="N85" i="36"/>
  <c r="C73" i="40"/>
  <c r="F86" i="36"/>
  <c r="O69" i="22"/>
  <c r="Q69" i="22" s="1"/>
  <c r="Q68" i="22"/>
  <c r="L68" i="22"/>
  <c r="N67" i="22"/>
  <c r="I68" i="22"/>
  <c r="K67" i="22"/>
  <c r="J82" i="18"/>
  <c r="AI18" i="12"/>
  <c r="T17" i="10"/>
  <c r="K37" i="6"/>
  <c r="F101" i="3"/>
  <c r="G100" i="3"/>
  <c r="T81" i="20"/>
  <c r="S82" i="20"/>
  <c r="P79" i="10"/>
  <c r="P80" i="10" s="1"/>
  <c r="I69" i="12"/>
  <c r="D74" i="12"/>
  <c r="D73" i="16"/>
  <c r="F73" i="16" s="1"/>
  <c r="T83" i="22"/>
  <c r="R84" i="22"/>
  <c r="H80" i="34"/>
  <c r="AB88" i="22"/>
  <c r="AB89" i="22" s="1"/>
  <c r="F84" i="22"/>
  <c r="H83" i="22"/>
  <c r="G80" i="34"/>
  <c r="N83" i="24"/>
  <c r="L84" i="24"/>
  <c r="AG87" i="22"/>
  <c r="AE86" i="44"/>
  <c r="F84" i="24"/>
  <c r="H83" i="24"/>
  <c r="AA86" i="12"/>
  <c r="O85" i="20"/>
  <c r="E83" i="22"/>
  <c r="C84" i="22"/>
  <c r="H86" i="32"/>
  <c r="I84" i="24"/>
  <c r="K83" i="24"/>
  <c r="G81" i="18"/>
  <c r="E81" i="18"/>
  <c r="G86" i="36"/>
  <c r="H86" i="20"/>
  <c r="N83" i="22"/>
  <c r="L84" i="22"/>
  <c r="F72" i="12"/>
  <c r="E72" i="12" s="1"/>
  <c r="E71" i="12"/>
  <c r="AA88" i="22"/>
  <c r="AA89" i="22" s="1"/>
  <c r="K83" i="22"/>
  <c r="I84" i="22"/>
  <c r="E86" i="20"/>
  <c r="C88" i="28"/>
  <c r="C89" i="28" s="1"/>
  <c r="Z88" i="22"/>
  <c r="Z89" i="22" s="1"/>
  <c r="X85" i="44"/>
  <c r="T86" i="44"/>
  <c r="AP89" i="42"/>
  <c r="AL90" i="42"/>
  <c r="L70" i="12"/>
  <c r="Y82" i="12"/>
  <c r="Z81" i="12"/>
  <c r="O84" i="22"/>
  <c r="Q83" i="22"/>
  <c r="N86" i="36"/>
  <c r="G79" i="10"/>
  <c r="E79" i="10"/>
  <c r="C79" i="10"/>
  <c r="I80" i="10"/>
  <c r="N86" i="20"/>
  <c r="T83" i="24"/>
  <c r="R84" i="24"/>
  <c r="AB83" i="12"/>
  <c r="P82" i="20"/>
  <c r="K82" i="16" s="1"/>
  <c r="L79" i="18"/>
  <c r="M79" i="18"/>
  <c r="S83" i="12"/>
  <c r="O82" i="18"/>
  <c r="R82" i="10"/>
  <c r="C84" i="14"/>
  <c r="C83" i="18"/>
  <c r="J83" i="18" s="1"/>
  <c r="E83" i="24"/>
  <c r="C84" i="24"/>
  <c r="K86" i="20"/>
  <c r="L72" i="12"/>
  <c r="Q81" i="10"/>
  <c r="N81" i="18"/>
  <c r="Q82" i="12"/>
  <c r="H86" i="36"/>
  <c r="M79" i="10"/>
  <c r="J81" i="18"/>
  <c r="G82" i="18"/>
  <c r="E82" i="18"/>
  <c r="D88" i="28"/>
  <c r="D89" i="28" s="1"/>
  <c r="O84" i="24"/>
  <c r="Q83" i="24"/>
  <c r="W85" i="44"/>
  <c r="S86" i="44"/>
  <c r="G80" i="32"/>
  <c r="G80" i="12"/>
  <c r="C70" i="12"/>
  <c r="P70" i="12"/>
  <c r="R83" i="20"/>
  <c r="E69" i="12"/>
  <c r="G70" i="12"/>
  <c r="C81" i="30"/>
  <c r="F80" i="32"/>
  <c r="K79" i="10"/>
  <c r="I79" i="12"/>
  <c r="P80" i="12"/>
  <c r="C80" i="12"/>
  <c r="Q83" i="20"/>
  <c r="C54" i="7"/>
  <c r="L87" i="10"/>
  <c r="F87" i="36"/>
  <c r="E87" i="36"/>
  <c r="I87" i="20"/>
  <c r="F87" i="20"/>
  <c r="L87" i="36"/>
  <c r="I87" i="36"/>
  <c r="C87" i="36"/>
  <c r="L87" i="20"/>
  <c r="J87" i="36"/>
  <c r="D24" i="41"/>
  <c r="C87" i="20"/>
  <c r="D87" i="36"/>
  <c r="M87" i="36"/>
  <c r="E87" i="32"/>
  <c r="C24" i="41"/>
  <c r="AB22" i="60"/>
  <c r="L27" i="37"/>
  <c r="AA22" i="60"/>
  <c r="I27" i="21"/>
  <c r="F27" i="37"/>
  <c r="G23" i="13"/>
  <c r="I27" i="37"/>
  <c r="H26" i="23"/>
  <c r="C79" i="16"/>
  <c r="L27" i="11"/>
  <c r="P23" i="13"/>
  <c r="Q26" i="25"/>
  <c r="AD84" i="12"/>
  <c r="AG27" i="23"/>
  <c r="H26" i="25"/>
  <c r="D82" i="30"/>
  <c r="K75" i="12"/>
  <c r="F27" i="21"/>
  <c r="S84" i="12"/>
  <c r="H81" i="34"/>
  <c r="M73" i="12"/>
  <c r="N26" i="23"/>
  <c r="L23" i="13"/>
  <c r="Q26" i="21"/>
  <c r="M27" i="37"/>
  <c r="AB26" i="13"/>
  <c r="C81" i="32"/>
  <c r="M25" i="19"/>
  <c r="C23" i="13"/>
  <c r="C27" i="21"/>
  <c r="AC84" i="12"/>
  <c r="C27" i="37"/>
  <c r="P25" i="11"/>
  <c r="E26" i="23"/>
  <c r="C90" i="28"/>
  <c r="B55" i="7"/>
  <c r="AB90" i="22"/>
  <c r="D27" i="37"/>
  <c r="L27" i="21"/>
  <c r="D90" i="28"/>
  <c r="K26" i="23"/>
  <c r="J26" i="19"/>
  <c r="Q26" i="23"/>
  <c r="T26" i="25"/>
  <c r="J81" i="12"/>
  <c r="E27" i="33"/>
  <c r="N81" i="12"/>
  <c r="I25" i="13"/>
  <c r="G81" i="34"/>
  <c r="E25" i="11"/>
  <c r="N26" i="25"/>
  <c r="C26" i="19"/>
  <c r="T26" i="23"/>
  <c r="G25" i="11"/>
  <c r="L25" i="19"/>
  <c r="C25" i="11"/>
  <c r="K25" i="11"/>
  <c r="J27" i="37"/>
  <c r="D81" i="32"/>
  <c r="K26" i="25"/>
  <c r="M25" i="11"/>
  <c r="E26" i="25"/>
  <c r="AA90" i="22"/>
  <c r="Z90" i="22"/>
  <c r="E27" i="37"/>
  <c r="S26" i="13"/>
  <c r="R26" i="21"/>
  <c r="H87" i="32" l="1"/>
  <c r="E88" i="32"/>
  <c r="M88" i="36"/>
  <c r="N87" i="36"/>
  <c r="D88" i="36"/>
  <c r="G87" i="36"/>
  <c r="C88" i="20"/>
  <c r="E87" i="20"/>
  <c r="J88" i="36"/>
  <c r="K88" i="36" s="1"/>
  <c r="K87" i="36"/>
  <c r="N87" i="20"/>
  <c r="L88" i="20"/>
  <c r="C88" i="36"/>
  <c r="I88" i="36"/>
  <c r="L88" i="36"/>
  <c r="H87" i="20"/>
  <c r="F88" i="20"/>
  <c r="K87" i="20"/>
  <c r="I88" i="20"/>
  <c r="E88" i="36"/>
  <c r="H87" i="36"/>
  <c r="F88" i="36"/>
  <c r="L88" i="10"/>
  <c r="K68" i="22"/>
  <c r="I69" i="22"/>
  <c r="K69" i="22" s="1"/>
  <c r="N68" i="22"/>
  <c r="L69" i="22"/>
  <c r="N69" i="22" s="1"/>
  <c r="AI19" i="12"/>
  <c r="T18" i="10"/>
  <c r="F102" i="3"/>
  <c r="G101" i="3"/>
  <c r="T82" i="20"/>
  <c r="S83" i="20"/>
  <c r="C91" i="28"/>
  <c r="AB84" i="12"/>
  <c r="Z91" i="22"/>
  <c r="L73" i="12"/>
  <c r="F73" i="12"/>
  <c r="M74" i="12"/>
  <c r="S85" i="12"/>
  <c r="O84" i="18"/>
  <c r="R84" i="10"/>
  <c r="K76" i="12"/>
  <c r="AA91" i="22"/>
  <c r="G82" i="34"/>
  <c r="G83" i="34" s="1"/>
  <c r="H82" i="34"/>
  <c r="H83" i="34" s="1"/>
  <c r="D91" i="28"/>
  <c r="AB91" i="22"/>
  <c r="N82" i="18"/>
  <c r="Q83" i="12"/>
  <c r="Q82" i="10"/>
  <c r="AA87" i="12"/>
  <c r="O86" i="20"/>
  <c r="Q84" i="22"/>
  <c r="O85" i="22"/>
  <c r="H88" i="36"/>
  <c r="N88" i="20"/>
  <c r="M80" i="10"/>
  <c r="I85" i="24"/>
  <c r="K84" i="24"/>
  <c r="T87" i="44"/>
  <c r="X86" i="44"/>
  <c r="H84" i="22"/>
  <c r="F85" i="22"/>
  <c r="I70" i="12"/>
  <c r="L80" i="18"/>
  <c r="M80" i="18"/>
  <c r="H84" i="24"/>
  <c r="F85" i="24"/>
  <c r="D74" i="16"/>
  <c r="F74" i="16" s="1"/>
  <c r="C84" i="18"/>
  <c r="I84" i="18" s="1"/>
  <c r="C85" i="14"/>
  <c r="E80" i="10"/>
  <c r="E84" i="22"/>
  <c r="C85" i="22"/>
  <c r="R83" i="10"/>
  <c r="O83" i="18"/>
  <c r="P83" i="20"/>
  <c r="K84" i="22"/>
  <c r="I85" i="22"/>
  <c r="AE87" i="44"/>
  <c r="AG88" i="22"/>
  <c r="C80" i="10"/>
  <c r="G80" i="10"/>
  <c r="O79" i="10"/>
  <c r="E84" i="24"/>
  <c r="C85" i="24"/>
  <c r="R85" i="24"/>
  <c r="T84" i="24"/>
  <c r="Z82" i="12"/>
  <c r="Y83" i="12"/>
  <c r="I83" i="18"/>
  <c r="N88" i="36"/>
  <c r="W86" i="44"/>
  <c r="S87" i="44"/>
  <c r="N84" i="22"/>
  <c r="L85" i="22"/>
  <c r="Q84" i="24"/>
  <c r="O85" i="24"/>
  <c r="T84" i="22"/>
  <c r="R85" i="22"/>
  <c r="H88" i="20"/>
  <c r="E70" i="12"/>
  <c r="L85" i="24"/>
  <c r="N84" i="24"/>
  <c r="G83" i="18"/>
  <c r="E83" i="18"/>
  <c r="AP90" i="42"/>
  <c r="AL91" i="42"/>
  <c r="G88" i="36"/>
  <c r="C55" i="7"/>
  <c r="AC85" i="12"/>
  <c r="Q84" i="20"/>
  <c r="I80" i="12"/>
  <c r="K80" i="10"/>
  <c r="P81" i="12"/>
  <c r="C81" i="12"/>
  <c r="I81" i="10" s="1"/>
  <c r="J82" i="12"/>
  <c r="F81" i="32"/>
  <c r="C82" i="32"/>
  <c r="C80" i="16"/>
  <c r="C82" i="30"/>
  <c r="D83" i="30"/>
  <c r="R84" i="20"/>
  <c r="AD85" i="12"/>
  <c r="N82" i="12"/>
  <c r="G81" i="12"/>
  <c r="G81" i="32"/>
  <c r="D82" i="32"/>
  <c r="M89" i="36"/>
  <c r="L89" i="36"/>
  <c r="J89" i="36"/>
  <c r="N27" i="37"/>
  <c r="H27" i="21"/>
  <c r="D89" i="36"/>
  <c r="F89" i="20"/>
  <c r="G27" i="37"/>
  <c r="K27" i="21"/>
  <c r="E27" i="21"/>
  <c r="E89" i="36"/>
  <c r="K27" i="37"/>
  <c r="F89" i="36"/>
  <c r="I89" i="36"/>
  <c r="C89" i="20"/>
  <c r="H27" i="37"/>
  <c r="N27" i="21"/>
  <c r="L89" i="10"/>
  <c r="L89" i="20"/>
  <c r="H27" i="33"/>
  <c r="C89" i="36"/>
  <c r="E89" i="32"/>
  <c r="I89" i="20"/>
  <c r="AA23" i="60"/>
  <c r="G26" i="19"/>
  <c r="R86" i="22"/>
  <c r="AB23" i="60"/>
  <c r="G26" i="35"/>
  <c r="C25" i="17"/>
  <c r="L86" i="24"/>
  <c r="AB28" i="23"/>
  <c r="O86" i="24"/>
  <c r="C86" i="14"/>
  <c r="S26" i="21"/>
  <c r="AE88" i="44"/>
  <c r="E23" i="13"/>
  <c r="D75" i="12"/>
  <c r="E26" i="19"/>
  <c r="F86" i="22"/>
  <c r="I26" i="19"/>
  <c r="K24" i="13"/>
  <c r="B56" i="7"/>
  <c r="F86" i="24"/>
  <c r="H26" i="35"/>
  <c r="I23" i="13"/>
  <c r="P26" i="21"/>
  <c r="L86" i="22"/>
  <c r="R26" i="11"/>
  <c r="T88" i="44"/>
  <c r="C28" i="29"/>
  <c r="Y84" i="12"/>
  <c r="C86" i="24"/>
  <c r="C86" i="22"/>
  <c r="AA27" i="13"/>
  <c r="Q26" i="13"/>
  <c r="S27" i="45"/>
  <c r="D26" i="31"/>
  <c r="T27" i="45"/>
  <c r="AI10" i="13"/>
  <c r="I86" i="22"/>
  <c r="O25" i="11"/>
  <c r="AA88" i="12"/>
  <c r="Z28" i="23"/>
  <c r="S88" i="44"/>
  <c r="O86" i="22"/>
  <c r="B19" i="8"/>
  <c r="AA28" i="23"/>
  <c r="D28" i="29"/>
  <c r="I86" i="24"/>
  <c r="Y26" i="13"/>
  <c r="O26" i="19"/>
  <c r="AL28" i="43"/>
  <c r="R86" i="24"/>
  <c r="AE27" i="45"/>
  <c r="Q84" i="12"/>
  <c r="I90" i="20" l="1"/>
  <c r="K90" i="20" s="1"/>
  <c r="K89" i="20"/>
  <c r="H89" i="32"/>
  <c r="E90" i="32"/>
  <c r="C90" i="36"/>
  <c r="L90" i="20"/>
  <c r="N89" i="20"/>
  <c r="L90" i="10"/>
  <c r="C90" i="20"/>
  <c r="E89" i="20"/>
  <c r="I90" i="36"/>
  <c r="F90" i="36"/>
  <c r="E90" i="36"/>
  <c r="H89" i="36"/>
  <c r="F90" i="20"/>
  <c r="H89" i="20"/>
  <c r="D90" i="36"/>
  <c r="G89" i="36"/>
  <c r="K89" i="36"/>
  <c r="J90" i="36"/>
  <c r="L90" i="36"/>
  <c r="M90" i="36"/>
  <c r="N90" i="36" s="1"/>
  <c r="N89" i="36"/>
  <c r="H88" i="32"/>
  <c r="E88" i="20"/>
  <c r="K88" i="20"/>
  <c r="O80" i="10"/>
  <c r="AI20" i="12"/>
  <c r="T19" i="10"/>
  <c r="F103" i="3"/>
  <c r="G102" i="3"/>
  <c r="T83" i="20"/>
  <c r="S84" i="20"/>
  <c r="C19" i="8"/>
  <c r="P81" i="10"/>
  <c r="P82" i="10" s="1"/>
  <c r="T86" i="24"/>
  <c r="R87" i="24"/>
  <c r="N86" i="22"/>
  <c r="L87" i="22"/>
  <c r="D76" i="12"/>
  <c r="D75" i="16"/>
  <c r="N86" i="24"/>
  <c r="L87" i="24"/>
  <c r="H86" i="22"/>
  <c r="F87" i="22"/>
  <c r="AE89" i="44"/>
  <c r="AG90" i="22"/>
  <c r="Z84" i="12"/>
  <c r="Y85" i="12"/>
  <c r="R87" i="22"/>
  <c r="T86" i="22"/>
  <c r="X88" i="44"/>
  <c r="T89" i="44"/>
  <c r="F87" i="24"/>
  <c r="H86" i="24"/>
  <c r="S89" i="44"/>
  <c r="W88" i="44"/>
  <c r="E86" i="22"/>
  <c r="C87" i="22"/>
  <c r="O88" i="20"/>
  <c r="AA89" i="12"/>
  <c r="K86" i="22"/>
  <c r="I87" i="22"/>
  <c r="Q84" i="10"/>
  <c r="N84" i="18"/>
  <c r="Q85" i="12"/>
  <c r="O87" i="24"/>
  <c r="Q86" i="24"/>
  <c r="C87" i="24"/>
  <c r="E86" i="24"/>
  <c r="K86" i="24"/>
  <c r="I87" i="24"/>
  <c r="O87" i="22"/>
  <c r="Q86" i="22"/>
  <c r="C87" i="14"/>
  <c r="C86" i="18"/>
  <c r="I86" i="18" s="1"/>
  <c r="G81" i="10"/>
  <c r="G82" i="10" s="1"/>
  <c r="C81" i="10"/>
  <c r="C82" i="10" s="1"/>
  <c r="E81" i="10"/>
  <c r="E82" i="10" s="1"/>
  <c r="I82" i="10"/>
  <c r="T85" i="24"/>
  <c r="M81" i="18"/>
  <c r="L81" i="18"/>
  <c r="K83" i="16"/>
  <c r="O85" i="18"/>
  <c r="R85" i="10"/>
  <c r="S86" i="12"/>
  <c r="N85" i="22"/>
  <c r="M81" i="10"/>
  <c r="M82" i="10" s="1"/>
  <c r="G84" i="34"/>
  <c r="P84" i="20"/>
  <c r="K84" i="16" s="1"/>
  <c r="AB85" i="12"/>
  <c r="L74" i="12"/>
  <c r="H90" i="36"/>
  <c r="K90" i="36"/>
  <c r="N85" i="24"/>
  <c r="H85" i="22"/>
  <c r="AG89" i="22"/>
  <c r="H84" i="34"/>
  <c r="N90" i="20"/>
  <c r="Z83" i="12"/>
  <c r="T85" i="22"/>
  <c r="X87" i="44"/>
  <c r="H85" i="24"/>
  <c r="W87" i="44"/>
  <c r="E85" i="22"/>
  <c r="G90" i="36"/>
  <c r="H90" i="20"/>
  <c r="H90" i="32"/>
  <c r="G84" i="18"/>
  <c r="E84" i="18"/>
  <c r="O87" i="20"/>
  <c r="F74" i="12"/>
  <c r="E74" i="12" s="1"/>
  <c r="E73" i="12"/>
  <c r="K85" i="22"/>
  <c r="AP91" i="42"/>
  <c r="N83" i="18"/>
  <c r="Q83" i="10"/>
  <c r="Q85" i="24"/>
  <c r="E85" i="24"/>
  <c r="K85" i="24"/>
  <c r="Q85" i="22"/>
  <c r="C85" i="18"/>
  <c r="J85" i="18" s="1"/>
  <c r="J84" i="18"/>
  <c r="E90" i="20"/>
  <c r="D83" i="32"/>
  <c r="G82" i="32"/>
  <c r="G82" i="12"/>
  <c r="AD86" i="12"/>
  <c r="R85" i="20"/>
  <c r="D84" i="30"/>
  <c r="C83" i="30"/>
  <c r="C83" i="32"/>
  <c r="F82" i="32"/>
  <c r="P82" i="12"/>
  <c r="C82" i="12"/>
  <c r="I81" i="12"/>
  <c r="K81" i="10"/>
  <c r="Q85" i="20"/>
  <c r="AC86" i="12"/>
  <c r="C56" i="7"/>
  <c r="I91" i="20"/>
  <c r="E91" i="36"/>
  <c r="E91" i="32"/>
  <c r="C91" i="36"/>
  <c r="D91" i="36"/>
  <c r="J91" i="36"/>
  <c r="C91" i="20"/>
  <c r="L91" i="36"/>
  <c r="L91" i="20"/>
  <c r="M91" i="36"/>
  <c r="L91" i="10"/>
  <c r="I91" i="36"/>
  <c r="F91" i="36"/>
  <c r="F91" i="20"/>
  <c r="AB24" i="60"/>
  <c r="C27" i="25"/>
  <c r="D24" i="17"/>
  <c r="AA24" i="60"/>
  <c r="C28" i="21"/>
  <c r="F27" i="25"/>
  <c r="K77" i="12"/>
  <c r="H85" i="34"/>
  <c r="L28" i="11"/>
  <c r="L28" i="21"/>
  <c r="I28" i="37"/>
  <c r="N83" i="12"/>
  <c r="O27" i="25"/>
  <c r="D28" i="37"/>
  <c r="R27" i="25"/>
  <c r="C26" i="31"/>
  <c r="C27" i="15"/>
  <c r="L27" i="23"/>
  <c r="D24" i="13"/>
  <c r="AP28" i="43"/>
  <c r="K26" i="17"/>
  <c r="R27" i="23"/>
  <c r="W27" i="45"/>
  <c r="F27" i="23"/>
  <c r="O27" i="23"/>
  <c r="E28" i="37"/>
  <c r="X27" i="45"/>
  <c r="F28" i="21"/>
  <c r="B57" i="7"/>
  <c r="C26" i="33"/>
  <c r="I27" i="23"/>
  <c r="G85" i="34"/>
  <c r="C81" i="16"/>
  <c r="L28" i="37"/>
  <c r="L27" i="25"/>
  <c r="D26" i="33"/>
  <c r="C28" i="37"/>
  <c r="I28" i="21"/>
  <c r="I27" i="25"/>
  <c r="M75" i="12"/>
  <c r="J28" i="37"/>
  <c r="E28" i="33"/>
  <c r="T26" i="21"/>
  <c r="J83" i="12"/>
  <c r="C27" i="23"/>
  <c r="N26" i="19"/>
  <c r="Q26" i="11"/>
  <c r="F28" i="37"/>
  <c r="Z26" i="13"/>
  <c r="O27" i="21"/>
  <c r="M28" i="37"/>
  <c r="H91" i="20" l="1"/>
  <c r="N91" i="36"/>
  <c r="N91" i="20"/>
  <c r="E91" i="20"/>
  <c r="K91" i="36"/>
  <c r="G91" i="36"/>
  <c r="H91" i="32"/>
  <c r="H91" i="36"/>
  <c r="K91" i="20"/>
  <c r="AI21" i="12"/>
  <c r="T20" i="10"/>
  <c r="G103" i="3"/>
  <c r="F104" i="3"/>
  <c r="S85" i="20"/>
  <c r="T84" i="20"/>
  <c r="M76" i="12"/>
  <c r="F75" i="12"/>
  <c r="L75" i="12"/>
  <c r="H86" i="34"/>
  <c r="H87" i="34" s="1"/>
  <c r="G86" i="34"/>
  <c r="G87" i="34" s="1"/>
  <c r="K78" i="12"/>
  <c r="L82" i="18"/>
  <c r="M82" i="18"/>
  <c r="AB86" i="12"/>
  <c r="P85" i="20"/>
  <c r="K85" i="16" s="1"/>
  <c r="E86" i="18"/>
  <c r="G86" i="18"/>
  <c r="K87" i="24"/>
  <c r="I88" i="24"/>
  <c r="F88" i="22"/>
  <c r="H87" i="22"/>
  <c r="T87" i="22"/>
  <c r="R88" i="22"/>
  <c r="C88" i="14"/>
  <c r="C87" i="18"/>
  <c r="J87" i="18" s="1"/>
  <c r="AA90" i="12"/>
  <c r="O89" i="20"/>
  <c r="T90" i="44"/>
  <c r="X89" i="44"/>
  <c r="L88" i="22"/>
  <c r="N87" i="22"/>
  <c r="I85" i="18"/>
  <c r="C88" i="22"/>
  <c r="E87" i="22"/>
  <c r="L88" i="24"/>
  <c r="N87" i="24"/>
  <c r="C88" i="24"/>
  <c r="E87" i="24"/>
  <c r="Y86" i="12"/>
  <c r="Z85" i="12"/>
  <c r="F75" i="16"/>
  <c r="S90" i="44"/>
  <c r="W89" i="44"/>
  <c r="R86" i="10"/>
  <c r="S87" i="12"/>
  <c r="O86" i="18"/>
  <c r="O88" i="24"/>
  <c r="Q87" i="24"/>
  <c r="D76" i="16"/>
  <c r="F76" i="16" s="1"/>
  <c r="R88" i="24"/>
  <c r="T87" i="24"/>
  <c r="O81" i="10"/>
  <c r="O88" i="22"/>
  <c r="Q87" i="22"/>
  <c r="K87" i="22"/>
  <c r="I88" i="22"/>
  <c r="H87" i="24"/>
  <c r="F88" i="24"/>
  <c r="Q85" i="10"/>
  <c r="N85" i="18"/>
  <c r="Q86" i="12"/>
  <c r="J86" i="18"/>
  <c r="G85" i="18"/>
  <c r="E85" i="18"/>
  <c r="AG91" i="22"/>
  <c r="AE90" i="44"/>
  <c r="C57" i="7"/>
  <c r="AC87" i="12"/>
  <c r="Q86" i="20"/>
  <c r="P83" i="12"/>
  <c r="C83" i="12"/>
  <c r="I83" i="10" s="1"/>
  <c r="J84" i="12"/>
  <c r="I82" i="12"/>
  <c r="K82" i="10"/>
  <c r="O82" i="10" s="1"/>
  <c r="F83" i="32"/>
  <c r="C84" i="32"/>
  <c r="C82" i="16"/>
  <c r="D85" i="30"/>
  <c r="C84" i="30"/>
  <c r="R86" i="20"/>
  <c r="AD87" i="12"/>
  <c r="G83" i="12"/>
  <c r="N84" i="12"/>
  <c r="D84" i="32"/>
  <c r="G83" i="32"/>
  <c r="H28" i="21"/>
  <c r="N28" i="21"/>
  <c r="E28" i="21"/>
  <c r="K28" i="37"/>
  <c r="G28" i="37"/>
  <c r="H28" i="33"/>
  <c r="H28" i="37"/>
  <c r="N28" i="37"/>
  <c r="K28" i="21"/>
  <c r="AB25" i="60"/>
  <c r="I26" i="11"/>
  <c r="J27" i="19"/>
  <c r="S88" i="12"/>
  <c r="E27" i="23"/>
  <c r="G27" i="35"/>
  <c r="F26" i="33"/>
  <c r="K27" i="23"/>
  <c r="T27" i="25"/>
  <c r="C27" i="19"/>
  <c r="N27" i="23"/>
  <c r="Q27" i="25"/>
  <c r="D77" i="12"/>
  <c r="N26" i="13"/>
  <c r="S27" i="13"/>
  <c r="AA25" i="60"/>
  <c r="L24" i="13"/>
  <c r="N27" i="25"/>
  <c r="AD27" i="13"/>
  <c r="AG28" i="23"/>
  <c r="H27" i="25"/>
  <c r="AC27" i="13"/>
  <c r="G26" i="33"/>
  <c r="E27" i="25"/>
  <c r="K27" i="25"/>
  <c r="J26" i="13"/>
  <c r="Q27" i="23"/>
  <c r="B58" i="7"/>
  <c r="M24" i="13"/>
  <c r="C26" i="13"/>
  <c r="P26" i="13"/>
  <c r="F24" i="17"/>
  <c r="H27" i="35"/>
  <c r="F24" i="13"/>
  <c r="G26" i="13"/>
  <c r="H27" i="23"/>
  <c r="T27" i="23"/>
  <c r="M83" i="10" l="1"/>
  <c r="M84" i="10" s="1"/>
  <c r="I87" i="18"/>
  <c r="AI22" i="12"/>
  <c r="T21" i="10"/>
  <c r="G104" i="3"/>
  <c r="F105" i="3"/>
  <c r="S86" i="20"/>
  <c r="T85" i="20"/>
  <c r="R88" i="10"/>
  <c r="S89" i="12"/>
  <c r="O88" i="18"/>
  <c r="D78" i="12"/>
  <c r="D77" i="16"/>
  <c r="F77" i="16" s="1"/>
  <c r="T91" i="44"/>
  <c r="X90" i="44"/>
  <c r="G83" i="10"/>
  <c r="E83" i="10"/>
  <c r="I84" i="10"/>
  <c r="C83" i="10"/>
  <c r="O89" i="24"/>
  <c r="Q88" i="24"/>
  <c r="M83" i="18"/>
  <c r="L83" i="18"/>
  <c r="K88" i="24"/>
  <c r="I89" i="24"/>
  <c r="O90" i="20"/>
  <c r="AA91" i="12"/>
  <c r="N88" i="24"/>
  <c r="L89" i="24"/>
  <c r="C89" i="14"/>
  <c r="C88" i="18"/>
  <c r="J88" i="18" s="1"/>
  <c r="C89" i="24"/>
  <c r="E88" i="24"/>
  <c r="N86" i="18"/>
  <c r="Q87" i="12"/>
  <c r="Q86" i="10"/>
  <c r="O87" i="18"/>
  <c r="R87" i="10"/>
  <c r="Q88" i="22"/>
  <c r="O89" i="22"/>
  <c r="G87" i="18"/>
  <c r="E87" i="18"/>
  <c r="AE91" i="44"/>
  <c r="S91" i="44"/>
  <c r="W90" i="44"/>
  <c r="R89" i="22"/>
  <c r="T88" i="22"/>
  <c r="E88" i="22"/>
  <c r="C89" i="22"/>
  <c r="AB87" i="12"/>
  <c r="P86" i="20"/>
  <c r="K86" i="16" s="1"/>
  <c r="F76" i="12"/>
  <c r="E76" i="12" s="1"/>
  <c r="E75" i="12"/>
  <c r="T88" i="24"/>
  <c r="R89" i="24"/>
  <c r="L76" i="12"/>
  <c r="H88" i="24"/>
  <c r="F89" i="24"/>
  <c r="H88" i="22"/>
  <c r="F89" i="22"/>
  <c r="Y87" i="12"/>
  <c r="Z86" i="12"/>
  <c r="L89" i="22"/>
  <c r="N88" i="22"/>
  <c r="G88" i="34"/>
  <c r="H88" i="34"/>
  <c r="P83" i="10"/>
  <c r="I89" i="22"/>
  <c r="K88" i="22"/>
  <c r="G84" i="32"/>
  <c r="G84" i="12"/>
  <c r="R87" i="20"/>
  <c r="C85" i="30"/>
  <c r="F84" i="32"/>
  <c r="C84" i="12"/>
  <c r="P84" i="12"/>
  <c r="I83" i="12"/>
  <c r="K83" i="10"/>
  <c r="Q87" i="20"/>
  <c r="C58" i="7"/>
  <c r="AA26" i="60"/>
  <c r="AB26" i="60"/>
  <c r="I27" i="19"/>
  <c r="R90" i="22"/>
  <c r="G26" i="11"/>
  <c r="Q27" i="21"/>
  <c r="Q27" i="13"/>
  <c r="M26" i="19"/>
  <c r="L90" i="24"/>
  <c r="B59" i="7"/>
  <c r="G89" i="34"/>
  <c r="R27" i="21"/>
  <c r="D85" i="32"/>
  <c r="E27" i="19"/>
  <c r="F90" i="22"/>
  <c r="P26" i="11"/>
  <c r="H89" i="34"/>
  <c r="R27" i="11"/>
  <c r="AE28" i="45"/>
  <c r="C90" i="22"/>
  <c r="C83" i="16"/>
  <c r="C85" i="32"/>
  <c r="J85" i="12"/>
  <c r="O90" i="24"/>
  <c r="AB27" i="13"/>
  <c r="G27" i="19"/>
  <c r="Y27" i="13"/>
  <c r="F90" i="24"/>
  <c r="I90" i="24"/>
  <c r="E26" i="11"/>
  <c r="M77" i="12"/>
  <c r="K79" i="12"/>
  <c r="L26" i="19"/>
  <c r="O90" i="22"/>
  <c r="D86" i="30"/>
  <c r="K26" i="11"/>
  <c r="S28" i="45"/>
  <c r="I90" i="22"/>
  <c r="N85" i="12"/>
  <c r="AA28" i="13"/>
  <c r="C90" i="24"/>
  <c r="Q88" i="12"/>
  <c r="C90" i="14"/>
  <c r="Y88" i="12"/>
  <c r="I26" i="13"/>
  <c r="R90" i="24"/>
  <c r="C26" i="11"/>
  <c r="T28" i="45"/>
  <c r="M26" i="11"/>
  <c r="O27" i="19"/>
  <c r="E24" i="13"/>
  <c r="L90" i="22"/>
  <c r="AC88" i="12"/>
  <c r="AD88" i="12"/>
  <c r="I88" i="18" l="1"/>
  <c r="AI23" i="12"/>
  <c r="T22" i="10"/>
  <c r="G105" i="3"/>
  <c r="F106" i="3"/>
  <c r="S87" i="20"/>
  <c r="T86" i="20"/>
  <c r="O91" i="24"/>
  <c r="Q90" i="24"/>
  <c r="F91" i="24"/>
  <c r="H90" i="24"/>
  <c r="Q89" i="12"/>
  <c r="N88" i="18"/>
  <c r="Q88" i="10"/>
  <c r="H90" i="34"/>
  <c r="H91" i="34" s="1"/>
  <c r="C91" i="22"/>
  <c r="E90" i="22"/>
  <c r="G90" i="34"/>
  <c r="G91" i="34" s="1"/>
  <c r="N90" i="22"/>
  <c r="L91" i="22"/>
  <c r="O91" i="22"/>
  <c r="Q90" i="22"/>
  <c r="K90" i="24"/>
  <c r="I91" i="24"/>
  <c r="F77" i="12"/>
  <c r="M78" i="12"/>
  <c r="L77" i="12"/>
  <c r="T90" i="24"/>
  <c r="R91" i="24"/>
  <c r="K80" i="12"/>
  <c r="C91" i="14"/>
  <c r="C90" i="18"/>
  <c r="E90" i="24"/>
  <c r="C91" i="24"/>
  <c r="R91" i="22"/>
  <c r="T90" i="22"/>
  <c r="Z88" i="12"/>
  <c r="Y89" i="12"/>
  <c r="AB88" i="12"/>
  <c r="I91" i="22"/>
  <c r="K90" i="22"/>
  <c r="F91" i="22"/>
  <c r="H90" i="22"/>
  <c r="L91" i="24"/>
  <c r="N90" i="24"/>
  <c r="Q89" i="24"/>
  <c r="S90" i="12"/>
  <c r="R89" i="10"/>
  <c r="O89" i="18"/>
  <c r="P84" i="10"/>
  <c r="H89" i="24"/>
  <c r="P87" i="20"/>
  <c r="N87" i="18"/>
  <c r="Q87" i="10"/>
  <c r="C84" i="10"/>
  <c r="E89" i="22"/>
  <c r="O83" i="10"/>
  <c r="E84" i="10"/>
  <c r="L84" i="18"/>
  <c r="M84" i="18"/>
  <c r="N89" i="22"/>
  <c r="Q89" i="22"/>
  <c r="K89" i="24"/>
  <c r="X91" i="44"/>
  <c r="O91" i="20"/>
  <c r="D78" i="16"/>
  <c r="F78" i="16" s="1"/>
  <c r="T89" i="24"/>
  <c r="W91" i="44"/>
  <c r="C89" i="18"/>
  <c r="I89" i="18" s="1"/>
  <c r="G84" i="10"/>
  <c r="E89" i="24"/>
  <c r="T89" i="22"/>
  <c r="Z87" i="12"/>
  <c r="E88" i="18"/>
  <c r="G88" i="18"/>
  <c r="K89" i="22"/>
  <c r="H89" i="22"/>
  <c r="N89" i="24"/>
  <c r="C59" i="7"/>
  <c r="AC89" i="12"/>
  <c r="Q88" i="20"/>
  <c r="P85" i="12"/>
  <c r="J86" i="12"/>
  <c r="C85" i="12"/>
  <c r="I85" i="10" s="1"/>
  <c r="I84" i="12"/>
  <c r="K84" i="10"/>
  <c r="O84" i="10" s="1"/>
  <c r="F85" i="32"/>
  <c r="C86" i="32"/>
  <c r="C84" i="16"/>
  <c r="D87" i="30"/>
  <c r="C86" i="30"/>
  <c r="R88" i="20"/>
  <c r="AD89" i="12"/>
  <c r="G85" i="12"/>
  <c r="N86" i="12"/>
  <c r="D86" i="32"/>
  <c r="G85" i="32"/>
  <c r="AB27" i="60"/>
  <c r="AA27" i="60"/>
  <c r="I28" i="25"/>
  <c r="S88" i="20"/>
  <c r="N27" i="19"/>
  <c r="C28" i="25"/>
  <c r="I28" i="23"/>
  <c r="Z27" i="13"/>
  <c r="H28" i="35"/>
  <c r="F28" i="23"/>
  <c r="L28" i="23"/>
  <c r="B60" i="7"/>
  <c r="O28" i="25"/>
  <c r="G28" i="35"/>
  <c r="D27" i="31"/>
  <c r="L28" i="25"/>
  <c r="O28" i="21"/>
  <c r="F28" i="25"/>
  <c r="S27" i="21"/>
  <c r="D79" i="12"/>
  <c r="C28" i="23"/>
  <c r="P27" i="21"/>
  <c r="R28" i="23"/>
  <c r="R28" i="25"/>
  <c r="Q27" i="11"/>
  <c r="X28" i="45"/>
  <c r="AI11" i="13"/>
  <c r="C28" i="15"/>
  <c r="K25" i="13"/>
  <c r="C26" i="17"/>
  <c r="O28" i="23"/>
  <c r="W28" i="45"/>
  <c r="B20" i="8"/>
  <c r="O26" i="11"/>
  <c r="AI24" i="12" l="1"/>
  <c r="T23" i="10"/>
  <c r="G106" i="3"/>
  <c r="F107" i="3"/>
  <c r="S89" i="20"/>
  <c r="T88" i="20"/>
  <c r="T87" i="20"/>
  <c r="J89" i="18"/>
  <c r="C20" i="8"/>
  <c r="M85" i="10"/>
  <c r="M86" i="10" s="1"/>
  <c r="P85" i="10"/>
  <c r="P86" i="10" s="1"/>
  <c r="D79" i="16"/>
  <c r="D80" i="12"/>
  <c r="G85" i="10"/>
  <c r="G86" i="10" s="1"/>
  <c r="E85" i="10"/>
  <c r="E86" i="10" s="1"/>
  <c r="I86" i="10"/>
  <c r="C85" i="10"/>
  <c r="C86" i="10" s="1"/>
  <c r="Q91" i="22"/>
  <c r="E91" i="22"/>
  <c r="G90" i="18"/>
  <c r="E90" i="18"/>
  <c r="T91" i="24"/>
  <c r="L78" i="12"/>
  <c r="N91" i="22"/>
  <c r="E91" i="24"/>
  <c r="C91" i="18"/>
  <c r="J91" i="18" s="1"/>
  <c r="Z89" i="12"/>
  <c r="Y90" i="12"/>
  <c r="S91" i="12"/>
  <c r="R90" i="10"/>
  <c r="O90" i="18"/>
  <c r="M85" i="18"/>
  <c r="L85" i="18"/>
  <c r="G89" i="18"/>
  <c r="E89" i="18"/>
  <c r="H91" i="22"/>
  <c r="F78" i="12"/>
  <c r="E78" i="12" s="1"/>
  <c r="E77" i="12"/>
  <c r="H91" i="24"/>
  <c r="K91" i="24"/>
  <c r="J90" i="18"/>
  <c r="T91" i="22"/>
  <c r="Q91" i="24"/>
  <c r="K87" i="16"/>
  <c r="Q90" i="12"/>
  <c r="N89" i="18"/>
  <c r="Q89" i="10"/>
  <c r="K91" i="22"/>
  <c r="AB89" i="12"/>
  <c r="P88" i="20"/>
  <c r="K88" i="16" s="1"/>
  <c r="N91" i="24"/>
  <c r="I90" i="18"/>
  <c r="D87" i="32"/>
  <c r="G86" i="32"/>
  <c r="G86" i="12"/>
  <c r="R89" i="20"/>
  <c r="AD90" i="12"/>
  <c r="D88" i="30"/>
  <c r="C87" i="30"/>
  <c r="F86" i="32"/>
  <c r="C87" i="32"/>
  <c r="I85" i="12"/>
  <c r="K85" i="10"/>
  <c r="C86" i="12"/>
  <c r="P86" i="12"/>
  <c r="Q89" i="20"/>
  <c r="AC90" i="12"/>
  <c r="C60" i="7"/>
  <c r="AA28" i="60"/>
  <c r="AB28" i="60"/>
  <c r="C27" i="33"/>
  <c r="J28" i="19"/>
  <c r="H28" i="25"/>
  <c r="D27" i="33"/>
  <c r="Q28" i="25"/>
  <c r="Q28" i="23"/>
  <c r="E28" i="23"/>
  <c r="K27" i="17"/>
  <c r="T27" i="21"/>
  <c r="C27" i="31"/>
  <c r="N87" i="12"/>
  <c r="T28" i="23"/>
  <c r="C28" i="19"/>
  <c r="C85" i="16"/>
  <c r="D25" i="13"/>
  <c r="E28" i="25"/>
  <c r="S28" i="13"/>
  <c r="K28" i="23"/>
  <c r="B61" i="7"/>
  <c r="H28" i="23"/>
  <c r="D25" i="17"/>
  <c r="N28" i="23"/>
  <c r="M79" i="12"/>
  <c r="J87" i="12"/>
  <c r="K28" i="25"/>
  <c r="K81" i="12"/>
  <c r="N28" i="25"/>
  <c r="T28" i="25"/>
  <c r="T24" i="10" l="1"/>
  <c r="AI25" i="12"/>
  <c r="G107" i="3"/>
  <c r="F108" i="3"/>
  <c r="G108" i="3" s="1"/>
  <c r="T89" i="20"/>
  <c r="S90" i="20"/>
  <c r="O85" i="10"/>
  <c r="I91" i="18"/>
  <c r="K82" i="12"/>
  <c r="M80" i="12"/>
  <c r="F79" i="12"/>
  <c r="L79" i="12"/>
  <c r="P89" i="20"/>
  <c r="K89" i="16" s="1"/>
  <c r="AB90" i="12"/>
  <c r="E91" i="18"/>
  <c r="G91" i="18"/>
  <c r="Z90" i="12"/>
  <c r="Y91" i="12"/>
  <c r="D80" i="16"/>
  <c r="F80" i="16" s="1"/>
  <c r="Q90" i="10"/>
  <c r="Q91" i="12"/>
  <c r="N90" i="18"/>
  <c r="F79" i="16"/>
  <c r="M86" i="18"/>
  <c r="L86" i="18"/>
  <c r="O91" i="18"/>
  <c r="R91" i="10"/>
  <c r="C61" i="7"/>
  <c r="AC91" i="12"/>
  <c r="Q90" i="20"/>
  <c r="P87" i="12"/>
  <c r="C87" i="12"/>
  <c r="I87" i="10" s="1"/>
  <c r="J88" i="12"/>
  <c r="I86" i="12"/>
  <c r="K86" i="10"/>
  <c r="O86" i="10" s="1"/>
  <c r="C88" i="32"/>
  <c r="F87" i="32"/>
  <c r="C86" i="16"/>
  <c r="D89" i="30"/>
  <c r="C88" i="30"/>
  <c r="R90" i="20"/>
  <c r="AD91" i="12"/>
  <c r="N88" i="12"/>
  <c r="G87" i="12"/>
  <c r="D88" i="32"/>
  <c r="G87" i="32"/>
  <c r="Q28" i="13"/>
  <c r="AD28" i="13"/>
  <c r="P27" i="13"/>
  <c r="I27" i="11"/>
  <c r="G27" i="13"/>
  <c r="I28" i="19"/>
  <c r="B62" i="7"/>
  <c r="C27" i="13"/>
  <c r="G27" i="33"/>
  <c r="O28" i="19"/>
  <c r="G28" i="19"/>
  <c r="F25" i="17"/>
  <c r="R28" i="11"/>
  <c r="F25" i="13"/>
  <c r="E28" i="19"/>
  <c r="L25" i="13"/>
  <c r="J27" i="13"/>
  <c r="Y28" i="13"/>
  <c r="M25" i="13"/>
  <c r="D81" i="12"/>
  <c r="F27" i="33"/>
  <c r="AC28" i="13"/>
  <c r="N27" i="13"/>
  <c r="T25" i="10" l="1"/>
  <c r="AI26" i="12"/>
  <c r="S91" i="20"/>
  <c r="T90" i="20"/>
  <c r="D81" i="16"/>
  <c r="F81" i="16" s="1"/>
  <c r="D82" i="12"/>
  <c r="Q91" i="10"/>
  <c r="N91" i="18"/>
  <c r="G87" i="10"/>
  <c r="I88" i="10"/>
  <c r="C87" i="10"/>
  <c r="E87" i="10"/>
  <c r="P87" i="10"/>
  <c r="M87" i="10"/>
  <c r="L80" i="12"/>
  <c r="Z91" i="12"/>
  <c r="F80" i="12"/>
  <c r="E80" i="12" s="1"/>
  <c r="E79" i="12"/>
  <c r="P90" i="20"/>
  <c r="K90" i="16" s="1"/>
  <c r="AB91" i="12"/>
  <c r="L87" i="18"/>
  <c r="M87" i="18"/>
  <c r="G88" i="32"/>
  <c r="G88" i="12"/>
  <c r="R91" i="20"/>
  <c r="C89" i="30"/>
  <c r="F88" i="32"/>
  <c r="P88" i="12"/>
  <c r="C88" i="12"/>
  <c r="I87" i="12"/>
  <c r="K87" i="10"/>
  <c r="Q91" i="20"/>
  <c r="C62" i="7"/>
  <c r="M27" i="11"/>
  <c r="N89" i="12"/>
  <c r="E27" i="11"/>
  <c r="R28" i="21"/>
  <c r="J89" i="12"/>
  <c r="N28" i="19"/>
  <c r="B63" i="7"/>
  <c r="S28" i="21"/>
  <c r="K27" i="11"/>
  <c r="I27" i="13"/>
  <c r="M27" i="19"/>
  <c r="C87" i="16"/>
  <c r="G27" i="11"/>
  <c r="M81" i="12"/>
  <c r="Q28" i="11"/>
  <c r="Q28" i="21"/>
  <c r="L27" i="19"/>
  <c r="D90" i="30"/>
  <c r="C27" i="11"/>
  <c r="Z28" i="13"/>
  <c r="C89" i="32"/>
  <c r="D89" i="32"/>
  <c r="K83" i="12"/>
  <c r="AB28" i="13"/>
  <c r="E25" i="13"/>
  <c r="P27" i="11"/>
  <c r="T26" i="10" l="1"/>
  <c r="AI27" i="12"/>
  <c r="T91" i="20"/>
  <c r="K84" i="12"/>
  <c r="M82" i="12"/>
  <c r="F81" i="12"/>
  <c r="L81" i="12"/>
  <c r="E88" i="10"/>
  <c r="C88" i="10"/>
  <c r="O87" i="10"/>
  <c r="D82" i="16"/>
  <c r="F82" i="16" s="1"/>
  <c r="M88" i="18"/>
  <c r="L88" i="18"/>
  <c r="M88" i="10"/>
  <c r="P88" i="10"/>
  <c r="P91" i="20"/>
  <c r="G88" i="10"/>
  <c r="C63" i="7"/>
  <c r="J90" i="12"/>
  <c r="C89" i="12"/>
  <c r="I89" i="10" s="1"/>
  <c r="P89" i="12"/>
  <c r="I88" i="12"/>
  <c r="K88" i="10"/>
  <c r="C90" i="32"/>
  <c r="F89" i="32"/>
  <c r="C88" i="16"/>
  <c r="C90" i="30"/>
  <c r="D91" i="30"/>
  <c r="G89" i="12"/>
  <c r="N90" i="12"/>
  <c r="G89" i="32"/>
  <c r="D90" i="32"/>
  <c r="D28" i="31"/>
  <c r="AI12" i="13"/>
  <c r="T28" i="21"/>
  <c r="D83" i="12"/>
  <c r="C27" i="17"/>
  <c r="O27" i="11"/>
  <c r="B21" i="8"/>
  <c r="K26" i="13"/>
  <c r="P28" i="21"/>
  <c r="T27" i="10" l="1"/>
  <c r="AI28" i="12"/>
  <c r="C21" i="8"/>
  <c r="M89" i="10"/>
  <c r="M90" i="10" s="1"/>
  <c r="P89" i="10"/>
  <c r="P90" i="10" s="1"/>
  <c r="D84" i="12"/>
  <c r="D83" i="16"/>
  <c r="E89" i="10"/>
  <c r="E90" i="10" s="1"/>
  <c r="I90" i="10"/>
  <c r="C89" i="10"/>
  <c r="C90" i="10" s="1"/>
  <c r="G89" i="10"/>
  <c r="G90" i="10" s="1"/>
  <c r="K91" i="16"/>
  <c r="O88" i="10"/>
  <c r="M89" i="18"/>
  <c r="L89" i="18"/>
  <c r="F82" i="12"/>
  <c r="E82" i="12" s="1"/>
  <c r="E81" i="12"/>
  <c r="L82" i="12"/>
  <c r="D91" i="32"/>
  <c r="G90" i="32"/>
  <c r="G90" i="12"/>
  <c r="C91" i="30"/>
  <c r="C91" i="32"/>
  <c r="F90" i="32"/>
  <c r="K89" i="10"/>
  <c r="I89" i="12"/>
  <c r="P90" i="12"/>
  <c r="C90" i="12"/>
  <c r="D28" i="33"/>
  <c r="C89" i="16"/>
  <c r="D26" i="13"/>
  <c r="D26" i="17"/>
  <c r="J91" i="12"/>
  <c r="C28" i="31"/>
  <c r="K28" i="17"/>
  <c r="K85" i="12"/>
  <c r="C28" i="33"/>
  <c r="N91" i="12"/>
  <c r="M83" i="12"/>
  <c r="M26" i="13" s="1"/>
  <c r="AI29" i="12" l="1"/>
  <c r="T28" i="10"/>
  <c r="O89" i="10"/>
  <c r="F83" i="12"/>
  <c r="M84" i="12"/>
  <c r="L83" i="12"/>
  <c r="K86" i="12"/>
  <c r="M90" i="18"/>
  <c r="L90" i="18"/>
  <c r="D84" i="16"/>
  <c r="F84" i="16" s="1"/>
  <c r="F83" i="16"/>
  <c r="P91" i="12"/>
  <c r="C91" i="12"/>
  <c r="I90" i="12"/>
  <c r="K90" i="10"/>
  <c r="O90" i="10" s="1"/>
  <c r="F91" i="32"/>
  <c r="C90" i="16"/>
  <c r="G91" i="12"/>
  <c r="G91" i="32"/>
  <c r="C28" i="13"/>
  <c r="L26" i="13"/>
  <c r="F26" i="13"/>
  <c r="J28" i="13"/>
  <c r="F26" i="17"/>
  <c r="P28" i="13"/>
  <c r="F28" i="33"/>
  <c r="G28" i="33"/>
  <c r="G28" i="13"/>
  <c r="N28" i="13"/>
  <c r="D85" i="12"/>
  <c r="T29" i="10" l="1"/>
  <c r="AI30" i="12"/>
  <c r="D85" i="16"/>
  <c r="F85" i="16" s="1"/>
  <c r="D86" i="12"/>
  <c r="P91" i="10"/>
  <c r="M91" i="10"/>
  <c r="F84" i="12"/>
  <c r="E84" i="12" s="1"/>
  <c r="E83" i="12"/>
  <c r="L91" i="18"/>
  <c r="M91" i="18"/>
  <c r="I91" i="10"/>
  <c r="L84" i="12"/>
  <c r="K91" i="10"/>
  <c r="I91" i="12"/>
  <c r="M28" i="19"/>
  <c r="E26" i="13"/>
  <c r="M85" i="12"/>
  <c r="I28" i="11"/>
  <c r="I28" i="13"/>
  <c r="K87" i="12"/>
  <c r="M28" i="11"/>
  <c r="P28" i="11"/>
  <c r="C91" i="16"/>
  <c r="L28" i="19"/>
  <c r="K28" i="11"/>
  <c r="T30" i="10" l="1"/>
  <c r="AI31" i="12"/>
  <c r="F85" i="12"/>
  <c r="M86" i="12"/>
  <c r="L85" i="12"/>
  <c r="K88" i="12"/>
  <c r="D86" i="16"/>
  <c r="F86" i="16" s="1"/>
  <c r="O91" i="10"/>
  <c r="G91" i="10"/>
  <c r="C91" i="10"/>
  <c r="E91" i="10"/>
  <c r="K27" i="13"/>
  <c r="C28" i="11"/>
  <c r="AI13" i="13"/>
  <c r="G28" i="11"/>
  <c r="D87" i="12"/>
  <c r="C28" i="17"/>
  <c r="O28" i="11"/>
  <c r="E28" i="11"/>
  <c r="T31" i="10" l="1"/>
  <c r="AI32" i="12"/>
  <c r="D88" i="12"/>
  <c r="D87" i="16"/>
  <c r="L86" i="12"/>
  <c r="F86" i="12"/>
  <c r="E86" i="12" s="1"/>
  <c r="E85" i="12"/>
  <c r="D27" i="17"/>
  <c r="D27" i="13"/>
  <c r="K89" i="12"/>
  <c r="M87" i="12"/>
  <c r="AI33" i="12" l="1"/>
  <c r="T32" i="10"/>
  <c r="M88" i="12"/>
  <c r="F87" i="12"/>
  <c r="L87" i="12"/>
  <c r="K90" i="12"/>
  <c r="F87" i="16"/>
  <c r="D88" i="16"/>
  <c r="F88" i="16" s="1"/>
  <c r="M27" i="13"/>
  <c r="F27" i="13"/>
  <c r="L27" i="13"/>
  <c r="D89" i="12"/>
  <c r="F27" i="17"/>
  <c r="T33" i="10" l="1"/>
  <c r="AI34" i="12"/>
  <c r="D90" i="12"/>
  <c r="D89" i="16"/>
  <c r="F89" i="16" s="1"/>
  <c r="L88" i="12"/>
  <c r="F88" i="12"/>
  <c r="E88" i="12" s="1"/>
  <c r="E87" i="12"/>
  <c r="E27" i="13"/>
  <c r="M89" i="12"/>
  <c r="K91" i="12"/>
  <c r="AI35" i="12" l="1"/>
  <c r="T34" i="10"/>
  <c r="M90" i="12"/>
  <c r="F89" i="12"/>
  <c r="L89" i="12"/>
  <c r="D90" i="16"/>
  <c r="F90" i="16" s="1"/>
  <c r="K28" i="13"/>
  <c r="D91" i="12"/>
  <c r="AI14" i="13"/>
  <c r="T35" i="10" l="1"/>
  <c r="AI36" i="12"/>
  <c r="D91" i="16"/>
  <c r="F90" i="12"/>
  <c r="E90" i="12" s="1"/>
  <c r="E89" i="12"/>
  <c r="L90" i="12"/>
  <c r="M91" i="12"/>
  <c r="D28" i="13"/>
  <c r="D28" i="17"/>
  <c r="AI37" i="12" l="1"/>
  <c r="T36" i="10"/>
  <c r="F91" i="12"/>
  <c r="L91" i="12"/>
  <c r="F91" i="16"/>
  <c r="F28" i="13"/>
  <c r="M28" i="13"/>
  <c r="F28" i="17"/>
  <c r="L28" i="13"/>
  <c r="T37" i="10" l="1"/>
  <c r="AI38" i="12"/>
  <c r="E91" i="12"/>
  <c r="E28" i="13"/>
  <c r="AI39" i="12" l="1"/>
  <c r="T38" i="10"/>
  <c r="AI15" i="13"/>
  <c r="AI40" i="12" l="1"/>
  <c r="T39" i="10"/>
  <c r="AI41" i="12" l="1"/>
  <c r="T40" i="10"/>
  <c r="AI42" i="12" l="1"/>
  <c r="T41" i="10"/>
  <c r="AI43" i="12" l="1"/>
  <c r="T42" i="10"/>
  <c r="AI16" i="13"/>
  <c r="T43" i="10" l="1"/>
  <c r="AI44" i="12"/>
  <c r="T44" i="10" l="1"/>
  <c r="AI45" i="12"/>
  <c r="T45" i="10" l="1"/>
  <c r="AI46" i="12"/>
  <c r="AI47" i="12" l="1"/>
  <c r="T46" i="10"/>
  <c r="AI17" i="13"/>
  <c r="AI48" i="12" l="1"/>
  <c r="T47" i="10"/>
  <c r="AI49" i="12" l="1"/>
  <c r="T48" i="10"/>
  <c r="AI50" i="12" l="1"/>
  <c r="T49" i="10"/>
  <c r="AI51" i="12" l="1"/>
  <c r="T50" i="10"/>
  <c r="AI18" i="13"/>
  <c r="T51" i="10" l="1"/>
  <c r="AI52" i="12"/>
  <c r="AI53" i="12" s="1"/>
  <c r="AI54" i="12" s="1"/>
  <c r="AI55" i="12" s="1"/>
  <c r="AI19" i="13"/>
  <c r="AI56" i="12" l="1"/>
  <c r="AI57" i="12" s="1"/>
  <c r="AI58" i="12" s="1"/>
  <c r="AI59" i="12" s="1"/>
  <c r="AI20" i="13"/>
  <c r="AI60" i="12" l="1"/>
  <c r="AI61" i="12" s="1"/>
  <c r="AI62" i="12" s="1"/>
  <c r="AI63" i="12" s="1"/>
  <c r="AI21" i="13"/>
  <c r="AI64" i="12" l="1"/>
  <c r="AI65" i="12" s="1"/>
  <c r="AI66" i="12" s="1"/>
  <c r="AI67" i="12" s="1"/>
  <c r="AI22" i="13"/>
  <c r="AI68" i="12" l="1"/>
  <c r="AI69" i="12" s="1"/>
  <c r="AI70" i="12" s="1"/>
  <c r="AI71" i="12" s="1"/>
  <c r="AI23" i="13"/>
  <c r="AI72" i="12" l="1"/>
  <c r="AI73" i="12" s="1"/>
  <c r="AI74" i="12" s="1"/>
  <c r="AI75" i="12" s="1"/>
  <c r="AI24" i="1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Bott, Mark</author>
  </authors>
  <commentList>
    <comment ref="E59" authorId="0" shapeId="0" xr:uid="{00000000-0006-0000-0000-000001000000}">
      <text>
        <r>
          <rPr>
            <b/>
            <sz val="9"/>
            <color indexed="81"/>
            <rFont val="Tahoma"/>
            <family val="2"/>
          </rPr>
          <t>Author:
All persons, average weekly ordinary time earnings (original survey basis)</t>
        </r>
      </text>
    </comment>
    <comment ref="G59" authorId="0" shapeId="0" xr:uid="{00000000-0006-0000-0000-000002000000}">
      <text>
        <r>
          <rPr>
            <b/>
            <sz val="9"/>
            <color indexed="81"/>
            <rFont val="Tahoma"/>
            <family val="2"/>
          </rPr>
          <t>Author:
Total average weekly earnings (seasonly adjusted basis)</t>
        </r>
      </text>
    </comment>
    <comment ref="I59" authorId="0" shapeId="0" xr:uid="{00000000-0006-0000-0000-000003000000}">
      <text>
        <r>
          <rPr>
            <b/>
            <sz val="9"/>
            <color indexed="81"/>
            <rFont val="Tahoma"/>
            <family val="2"/>
          </rPr>
          <t>Author:
Average weekly ordinary time earnings (seasonly adjusted basis)</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Bott, Mark</author>
    <author>Li, Taike</author>
    <author>Thompson, Alyse</author>
    <author>Ledda, Daniel</author>
  </authors>
  <commentList>
    <comment ref="A4" authorId="0" shapeId="0" xr:uid="{00000000-0006-0000-0100-000001000000}">
      <text>
        <r>
          <rPr>
            <b/>
            <sz val="9"/>
            <color indexed="81"/>
            <rFont val="Tahoma"/>
            <family val="2"/>
          </rPr>
          <t>Author:</t>
        </r>
        <r>
          <rPr>
            <sz val="9"/>
            <color indexed="81"/>
            <rFont val="Tahoma"/>
            <family val="2"/>
          </rPr>
          <t xml:space="preserve">
Date on release of CPI publication. Catalogue 6401.0 Weighted Average of  EightCapital Cities</t>
        </r>
      </text>
    </comment>
    <comment ref="B4" authorId="1" shapeId="0" xr:uid="{00000000-0006-0000-0100-000002000000}">
      <text>
        <r>
          <rPr>
            <b/>
            <sz val="9"/>
            <color indexed="81"/>
            <rFont val="Tahoma"/>
            <family val="2"/>
          </rPr>
          <t>Author:</t>
        </r>
        <r>
          <rPr>
            <sz val="9"/>
            <color indexed="81"/>
            <rFont val="Tahoma"/>
            <family val="2"/>
          </rPr>
          <t xml:space="preserve">
This series includes any revisions to the first published series. This series are not used for indexation of parameters.</t>
        </r>
      </text>
    </comment>
    <comment ref="D4" authorId="1" shapeId="0" xr:uid="{00000000-0006-0000-0100-000003000000}">
      <text>
        <r>
          <rPr>
            <b/>
            <sz val="9"/>
            <color indexed="81"/>
            <rFont val="Tahoma"/>
            <family val="2"/>
          </rPr>
          <t>Author:</t>
        </r>
        <r>
          <rPr>
            <sz val="9"/>
            <color indexed="81"/>
            <rFont val="Tahoma"/>
            <family val="2"/>
          </rPr>
          <t xml:space="preserve">
This is first published, meaning any future revisions are not taken into account. This is used for indexation purposes.
</t>
        </r>
      </text>
    </comment>
    <comment ref="F5" authorId="2" shapeId="0" xr:uid="{00000000-0006-0000-0100-000004000000}">
      <text>
        <r>
          <rPr>
            <b/>
            <sz val="9"/>
            <color indexed="81"/>
            <rFont val="Tahoma"/>
            <family val="2"/>
          </rPr>
          <t>Author:</t>
        </r>
        <r>
          <rPr>
            <sz val="9"/>
            <color indexed="81"/>
            <rFont val="Tahoma"/>
            <family val="2"/>
          </rPr>
          <t xml:space="preserve">
Source: ABS catalogue 6401.0, DED Taxation Parameter Forecasts
CPI: All groups: Weighted average eight capital cities
</t>
        </r>
      </text>
    </comment>
    <comment ref="C7" authorId="1" shapeId="0" xr:uid="{00000000-0006-0000-0100-000005000000}">
      <text>
        <r>
          <rPr>
            <b/>
            <sz val="9"/>
            <color indexed="81"/>
            <rFont val="Tahoma"/>
            <family val="2"/>
          </rPr>
          <t>Author:</t>
        </r>
        <r>
          <rPr>
            <sz val="9"/>
            <color indexed="81"/>
            <rFont val="Tahoma"/>
            <family val="2"/>
          </rPr>
          <t xml:space="preserve">
Assume 2.50% pa inflation in accordance with RBA target inflation band beyond the forecast period.</t>
        </r>
      </text>
    </comment>
    <comment ref="E7" authorId="1" shapeId="0" xr:uid="{00000000-0006-0000-0100-000006000000}">
      <text>
        <r>
          <rPr>
            <b/>
            <sz val="9"/>
            <color indexed="81"/>
            <rFont val="Tahoma"/>
            <family val="2"/>
          </rPr>
          <t>Author:</t>
        </r>
        <r>
          <rPr>
            <sz val="9"/>
            <color indexed="81"/>
            <rFont val="Tahoma"/>
            <family val="2"/>
          </rPr>
          <t xml:space="preserve">
Assume 2.50% pa inflation in accordance with RBA target inflation band beyond the forecast period.</t>
        </r>
      </text>
    </comment>
    <comment ref="B111" authorId="3" shapeId="0" xr:uid="{00000000-0006-0000-0100-000007000000}">
      <text>
        <r>
          <rPr>
            <b/>
            <sz val="9"/>
            <color indexed="81"/>
            <rFont val="Tahoma"/>
            <family val="2"/>
          </rPr>
          <t>Author:</t>
        </r>
        <r>
          <rPr>
            <sz val="9"/>
            <color indexed="81"/>
            <rFont val="Tahoma"/>
            <family val="2"/>
          </rPr>
          <t xml:space="preserve">
Updated for June 2017 CPI  - released 26/07/2017
</t>
        </r>
      </text>
    </comment>
    <comment ref="D111" authorId="3" shapeId="0" xr:uid="{00000000-0006-0000-0100-000008000000}">
      <text>
        <r>
          <rPr>
            <b/>
            <sz val="9"/>
            <color indexed="81"/>
            <rFont val="Tahoma"/>
            <family val="2"/>
          </rPr>
          <t>Author:</t>
        </r>
        <r>
          <rPr>
            <sz val="9"/>
            <color indexed="81"/>
            <rFont val="Tahoma"/>
            <family val="2"/>
          </rPr>
          <t xml:space="preserve">
Updated for June 2017 CPI release - released 26/07/2017
</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Bott, Mark</author>
    <author>Thompson, Alyse</author>
    <author>Pineda, Virginia</author>
    <author>Ledda, Daniel</author>
  </authors>
  <commentList>
    <comment ref="A5" authorId="0" shapeId="0" xr:uid="{00000000-0006-0000-0200-000001000000}">
      <text>
        <r>
          <rPr>
            <b/>
            <sz val="9"/>
            <color indexed="81"/>
            <rFont val="Tahoma"/>
            <family val="2"/>
          </rPr>
          <t>Author:
Financial year.</t>
        </r>
      </text>
    </comment>
    <comment ref="F6" authorId="1" shapeId="0" xr:uid="{00000000-0006-0000-0200-000002000000}">
      <text>
        <r>
          <rPr>
            <b/>
            <sz val="9"/>
            <color indexed="81"/>
            <rFont val="Tahoma"/>
            <family val="2"/>
          </rPr>
          <t>Author:</t>
        </r>
        <r>
          <rPr>
            <sz val="9"/>
            <color indexed="81"/>
            <rFont val="Tahoma"/>
            <family val="2"/>
          </rPr>
          <t xml:space="preserve">
Source: ABS catalogue 6401.0, DED Taxation Parameter Forecasts
CPI: All groups: Weighted average eight capital cities</t>
        </r>
      </text>
    </comment>
    <comment ref="A7" authorId="2" shapeId="0" xr:uid="{00000000-0006-0000-0200-000003000000}">
      <text>
        <r>
          <rPr>
            <b/>
            <sz val="9"/>
            <color indexed="81"/>
            <rFont val="Tahoma"/>
            <family val="2"/>
          </rPr>
          <t>Author:</t>
        </r>
        <r>
          <rPr>
            <sz val="9"/>
            <color indexed="81"/>
            <rFont val="Tahoma"/>
            <family val="2"/>
          </rPr>
          <t xml:space="preserve">
Financiial year, eg 1/06/1992 refers to 1991-92</t>
        </r>
      </text>
    </comment>
    <comment ref="B33" authorId="3" shapeId="0" xr:uid="{00000000-0006-0000-0200-000004000000}">
      <text>
        <r>
          <rPr>
            <b/>
            <sz val="9"/>
            <color indexed="81"/>
            <rFont val="Tahoma"/>
            <family val="2"/>
          </rPr>
          <t>Author:</t>
        </r>
        <r>
          <rPr>
            <sz val="9"/>
            <color indexed="81"/>
            <rFont val="Tahoma"/>
            <family val="2"/>
          </rPr>
          <t xml:space="preserve">
Updated for June 2017 CPI release - released 26/07/2017
</t>
        </r>
      </text>
    </comment>
    <comment ref="D33" authorId="3" shapeId="0" xr:uid="{00000000-0006-0000-0200-000005000000}">
      <text>
        <r>
          <rPr>
            <b/>
            <sz val="9"/>
            <color indexed="81"/>
            <rFont val="Tahoma"/>
            <family val="2"/>
          </rPr>
          <t>Author:</t>
        </r>
        <r>
          <rPr>
            <sz val="9"/>
            <color indexed="81"/>
            <rFont val="Tahoma"/>
            <family val="2"/>
          </rPr>
          <t xml:space="preserve">
Updated for June 2017 CPI release - released 26/07/2017
</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Bott, Mark</author>
    <author>Thompson, Alyse</author>
    <author>Li, Taike</author>
    <author>Ledda, Daniel</author>
  </authors>
  <commentList>
    <comment ref="B3" authorId="0" shapeId="0" xr:uid="{00000000-0006-0000-0300-000001000000}">
      <text>
        <r>
          <rPr>
            <b/>
            <sz val="9"/>
            <color indexed="81"/>
            <rFont val="Tahoma"/>
            <family val="2"/>
          </rPr>
          <t>Author:</t>
        </r>
        <r>
          <rPr>
            <sz val="9"/>
            <color indexed="81"/>
            <rFont val="Tahoma"/>
            <family val="2"/>
          </rPr>
          <t xml:space="preserve">
Numbers estimated from the survey, without any adjustment to account for seasonal variability or survey error.</t>
        </r>
      </text>
    </comment>
    <comment ref="J3" authorId="0" shapeId="0" xr:uid="{00000000-0006-0000-0300-000002000000}">
      <text>
        <r>
          <rPr>
            <b/>
            <sz val="9"/>
            <color indexed="81"/>
            <rFont val="Tahoma"/>
            <family val="2"/>
          </rPr>
          <t>Author:</t>
        </r>
        <r>
          <rPr>
            <sz val="9"/>
            <color indexed="81"/>
            <rFont val="Tahoma"/>
            <family val="2"/>
          </rPr>
          <t xml:space="preserve">
Survey estimates here are adjusted to smooth out seasonal variability in the series.</t>
        </r>
      </text>
    </comment>
    <comment ref="B4" authorId="1" shapeId="0" xr:uid="{00000000-0006-0000-0300-000003000000}">
      <text>
        <r>
          <rPr>
            <b/>
            <sz val="9"/>
            <color indexed="81"/>
            <rFont val="Tahoma"/>
            <family val="2"/>
          </rPr>
          <t>Author:</t>
        </r>
        <r>
          <rPr>
            <sz val="9"/>
            <color indexed="81"/>
            <rFont val="Tahoma"/>
            <family val="2"/>
          </rPr>
          <t xml:space="preserve">
ABS Catalogoue 6302.0, DED taxation parameter forecasts</t>
        </r>
      </text>
    </comment>
    <comment ref="F4" authorId="1" shapeId="0" xr:uid="{00000000-0006-0000-0300-000004000000}">
      <text>
        <r>
          <rPr>
            <b/>
            <sz val="9"/>
            <color indexed="81"/>
            <rFont val="Tahoma"/>
            <family val="2"/>
          </rPr>
          <t>Author:</t>
        </r>
        <r>
          <rPr>
            <sz val="9"/>
            <color indexed="81"/>
            <rFont val="Tahoma"/>
            <family val="2"/>
          </rPr>
          <t xml:space="preserve">
ABS Catalogoue 6302.0, DED taxation parameter forecasts</t>
        </r>
      </text>
    </comment>
    <comment ref="H4" authorId="1" shapeId="0" xr:uid="{00000000-0006-0000-0300-000005000000}">
      <text>
        <r>
          <rPr>
            <b/>
            <sz val="9"/>
            <color indexed="81"/>
            <rFont val="Tahoma"/>
            <family val="2"/>
          </rPr>
          <t>Author:</t>
        </r>
        <r>
          <rPr>
            <sz val="9"/>
            <color indexed="81"/>
            <rFont val="Tahoma"/>
            <family val="2"/>
          </rPr>
          <t xml:space="preserve">
ABS Catalogoue 6302.0, DED taxation parameter forecasts</t>
        </r>
      </text>
    </comment>
    <comment ref="J4" authorId="1" shapeId="0" xr:uid="{00000000-0006-0000-0300-000006000000}">
      <text>
        <r>
          <rPr>
            <b/>
            <sz val="9"/>
            <color indexed="81"/>
            <rFont val="Tahoma"/>
            <family val="2"/>
          </rPr>
          <t>Author:</t>
        </r>
        <r>
          <rPr>
            <sz val="9"/>
            <color indexed="81"/>
            <rFont val="Tahoma"/>
            <family val="2"/>
          </rPr>
          <t xml:space="preserve">
ABS Catalogoue 6302.0, DED taxation parameter forecasts.
</t>
        </r>
        <r>
          <rPr>
            <b/>
            <sz val="9"/>
            <color indexed="81"/>
            <rFont val="Tahoma"/>
            <family val="2"/>
          </rPr>
          <t>Author:</t>
        </r>
        <r>
          <rPr>
            <sz val="9"/>
            <color indexed="81"/>
            <rFont val="Tahoma"/>
            <family val="2"/>
          </rPr>
          <t xml:space="preserve"> New seasonal adjustment methodology used from Nov 2012. Please take care using this broken series. </t>
        </r>
      </text>
    </comment>
    <comment ref="B5" authorId="1" shapeId="0" xr:uid="{00000000-0006-0000-0300-000007000000}">
      <text>
        <r>
          <rPr>
            <b/>
            <sz val="9"/>
            <color indexed="81"/>
            <rFont val="Tahoma"/>
            <family val="2"/>
          </rPr>
          <t>Author:</t>
        </r>
        <r>
          <rPr>
            <sz val="9"/>
            <color indexed="81"/>
            <rFont val="Tahoma"/>
            <family val="2"/>
          </rPr>
          <t xml:space="preserve">
MTAWE is a weekly amount</t>
        </r>
      </text>
    </comment>
    <comment ref="F5" authorId="1" shapeId="0" xr:uid="{00000000-0006-0000-0300-000008000000}">
      <text>
        <r>
          <rPr>
            <b/>
            <sz val="9"/>
            <color indexed="81"/>
            <rFont val="Tahoma"/>
            <family val="2"/>
          </rPr>
          <t>Author:</t>
        </r>
        <r>
          <rPr>
            <sz val="9"/>
            <color indexed="81"/>
            <rFont val="Tahoma"/>
            <family val="2"/>
          </rPr>
          <t xml:space="preserve">
This is a weekly amount</t>
        </r>
      </text>
    </comment>
    <comment ref="H5" authorId="1" shapeId="0" xr:uid="{00000000-0006-0000-0300-000009000000}">
      <text>
        <r>
          <rPr>
            <b/>
            <sz val="9"/>
            <color indexed="81"/>
            <rFont val="Tahoma"/>
            <family val="2"/>
          </rPr>
          <t>Author:</t>
        </r>
        <r>
          <rPr>
            <sz val="9"/>
            <color indexed="81"/>
            <rFont val="Tahoma"/>
            <family val="2"/>
          </rPr>
          <t xml:space="preserve">
AWOTE is a weekly amount</t>
        </r>
      </text>
    </comment>
    <comment ref="J5" authorId="1" shapeId="0" xr:uid="{00000000-0006-0000-0300-00000A000000}">
      <text>
        <r>
          <rPr>
            <b/>
            <sz val="9"/>
            <color indexed="81"/>
            <rFont val="Tahoma"/>
            <family val="2"/>
          </rPr>
          <t>Author:
This is a weekly amount</t>
        </r>
      </text>
    </comment>
    <comment ref="L5" authorId="1" shapeId="0" xr:uid="{00000000-0006-0000-0300-00000B000000}">
      <text>
        <r>
          <rPr>
            <b/>
            <sz val="9"/>
            <color indexed="81"/>
            <rFont val="Tahoma"/>
            <family val="2"/>
          </rPr>
          <t>Author:</t>
        </r>
        <r>
          <rPr>
            <sz val="9"/>
            <color indexed="81"/>
            <rFont val="Tahoma"/>
            <family val="2"/>
          </rPr>
          <t xml:space="preserve">
This is a weekly amount</t>
        </r>
      </text>
    </comment>
    <comment ref="C6" authorId="2" shapeId="0" xr:uid="{00000000-0006-0000-0300-00000C000000}">
      <text>
        <r>
          <rPr>
            <b/>
            <sz val="9"/>
            <color indexed="81"/>
            <rFont val="Tahoma"/>
            <family val="2"/>
          </rPr>
          <t>Author:</t>
        </r>
        <r>
          <rPr>
            <sz val="9"/>
            <color indexed="81"/>
            <rFont val="Tahoma"/>
            <family val="2"/>
          </rPr>
          <t xml:space="preserve">
CPI and productivity growth.</t>
        </r>
      </text>
    </comment>
    <comment ref="G6" authorId="2" shapeId="0" xr:uid="{00000000-0006-0000-0300-00000D000000}">
      <text>
        <r>
          <rPr>
            <b/>
            <sz val="9"/>
            <color indexed="81"/>
            <rFont val="Tahoma"/>
            <family val="2"/>
          </rPr>
          <t>Author:</t>
        </r>
        <r>
          <rPr>
            <sz val="9"/>
            <color indexed="81"/>
            <rFont val="Tahoma"/>
            <family val="2"/>
          </rPr>
          <t xml:space="preserve">
CPI and productivity growth.</t>
        </r>
      </text>
    </comment>
    <comment ref="I6" authorId="2" shapeId="0" xr:uid="{00000000-0006-0000-0300-00000E000000}">
      <text>
        <r>
          <rPr>
            <b/>
            <sz val="9"/>
            <color indexed="81"/>
            <rFont val="Tahoma"/>
            <family val="2"/>
          </rPr>
          <t>Author:</t>
        </r>
        <r>
          <rPr>
            <sz val="9"/>
            <color indexed="81"/>
            <rFont val="Tahoma"/>
            <family val="2"/>
          </rPr>
          <t xml:space="preserve">
CPI and productivity growth.</t>
        </r>
      </text>
    </comment>
    <comment ref="K6" authorId="2" shapeId="0" xr:uid="{00000000-0006-0000-0300-00000F000000}">
      <text>
        <r>
          <rPr>
            <b/>
            <sz val="9"/>
            <color indexed="81"/>
            <rFont val="Tahoma"/>
            <family val="2"/>
          </rPr>
          <t>Author:</t>
        </r>
        <r>
          <rPr>
            <sz val="9"/>
            <color indexed="81"/>
            <rFont val="Tahoma"/>
            <family val="2"/>
          </rPr>
          <t xml:space="preserve">
CPI and productivity growth.</t>
        </r>
      </text>
    </comment>
    <comment ref="M6" authorId="2" shapeId="0" xr:uid="{00000000-0006-0000-0300-000010000000}">
      <text>
        <r>
          <rPr>
            <b/>
            <sz val="9"/>
            <color indexed="81"/>
            <rFont val="Tahoma"/>
            <family val="2"/>
          </rPr>
          <t>Author:</t>
        </r>
        <r>
          <rPr>
            <sz val="9"/>
            <color indexed="81"/>
            <rFont val="Tahoma"/>
            <family val="2"/>
          </rPr>
          <t xml:space="preserve">
CPI and productivity growth.</t>
        </r>
      </text>
    </comment>
    <comment ref="C7" authorId="2" shapeId="0" xr:uid="{00000000-0006-0000-0300-000011000000}">
      <text>
        <r>
          <rPr>
            <b/>
            <sz val="9"/>
            <color indexed="81"/>
            <rFont val="Tahoma"/>
            <family val="2"/>
          </rPr>
          <t>Author:</t>
        </r>
        <r>
          <rPr>
            <sz val="9"/>
            <color indexed="81"/>
            <rFont val="Tahoma"/>
            <family val="2"/>
          </rPr>
          <t xml:space="preserve">
Assume growth beyond forecast period to be at rate of CPI and productivity growth.</t>
        </r>
      </text>
    </comment>
    <comment ref="G7" authorId="2" shapeId="0" xr:uid="{00000000-0006-0000-0300-000012000000}">
      <text>
        <r>
          <rPr>
            <b/>
            <sz val="9"/>
            <color indexed="81"/>
            <rFont val="Tahoma"/>
            <family val="2"/>
          </rPr>
          <t>Author:</t>
        </r>
        <r>
          <rPr>
            <sz val="9"/>
            <color indexed="81"/>
            <rFont val="Tahoma"/>
            <family val="2"/>
          </rPr>
          <t xml:space="preserve">
Assume growth beyond forecast period to be at rate of CPI and productivity growth.</t>
        </r>
      </text>
    </comment>
    <comment ref="I7" authorId="2" shapeId="0" xr:uid="{00000000-0006-0000-0300-000013000000}">
      <text>
        <r>
          <rPr>
            <b/>
            <sz val="9"/>
            <color indexed="81"/>
            <rFont val="Tahoma"/>
            <family val="2"/>
          </rPr>
          <t>Author:</t>
        </r>
        <r>
          <rPr>
            <sz val="9"/>
            <color indexed="81"/>
            <rFont val="Tahoma"/>
            <family val="2"/>
          </rPr>
          <t xml:space="preserve">
Assume growth beyond forecast period to be at rate of CPI and productivity growth.</t>
        </r>
      </text>
    </comment>
    <comment ref="J7" authorId="2" shapeId="0" xr:uid="{00000000-0006-0000-0300-000014000000}">
      <text>
        <r>
          <rPr>
            <b/>
            <sz val="9"/>
            <color indexed="81"/>
            <rFont val="Tahoma"/>
            <family val="2"/>
          </rPr>
          <t>Author:</t>
        </r>
        <r>
          <rPr>
            <sz val="9"/>
            <color indexed="81"/>
            <rFont val="Tahoma"/>
            <family val="2"/>
          </rPr>
          <t xml:space="preserve">
No forecast available.</t>
        </r>
      </text>
    </comment>
    <comment ref="K7" authorId="2" shapeId="0" xr:uid="{00000000-0006-0000-0300-000015000000}">
      <text>
        <r>
          <rPr>
            <b/>
            <sz val="9"/>
            <color indexed="81"/>
            <rFont val="Tahoma"/>
            <family val="2"/>
          </rPr>
          <t>Author:</t>
        </r>
        <r>
          <rPr>
            <sz val="9"/>
            <color indexed="81"/>
            <rFont val="Tahoma"/>
            <family val="2"/>
          </rPr>
          <t xml:space="preserve">
Assume growth over the forecast period to be growth of Original series, and growth beyond the forecast period to be at rate of CPI and productivity growth.</t>
        </r>
      </text>
    </comment>
    <comment ref="M7" authorId="2" shapeId="0" xr:uid="{00000000-0006-0000-0300-000016000000}">
      <text>
        <r>
          <rPr>
            <b/>
            <sz val="9"/>
            <color indexed="81"/>
            <rFont val="Tahoma"/>
            <family val="2"/>
          </rPr>
          <t>Author:</t>
        </r>
        <r>
          <rPr>
            <sz val="9"/>
            <color indexed="81"/>
            <rFont val="Tahoma"/>
            <family val="2"/>
          </rPr>
          <t xml:space="preserve">
Assume growth beyond forecast period to be at rate of CPI and productivity growth.</t>
        </r>
      </text>
    </comment>
    <comment ref="J93" authorId="2" shapeId="0" xr:uid="{00000000-0006-0000-0300-000017000000}">
      <text>
        <r>
          <rPr>
            <b/>
            <sz val="9"/>
            <color indexed="81"/>
            <rFont val="Tahoma"/>
            <family val="2"/>
          </rPr>
          <t>Author:</t>
        </r>
        <r>
          <rPr>
            <sz val="9"/>
            <color indexed="81"/>
            <rFont val="Tahoma"/>
            <family val="2"/>
          </rPr>
          <t xml:space="preserve">
New methodology is used from this time for seasonal adjustment.
http://www.abs.gov.au/Ausstats/abs%40.nsf/exnote/6302.0 </t>
        </r>
      </text>
    </comment>
    <comment ref="L93" authorId="2" shapeId="0" xr:uid="{00000000-0006-0000-0300-000018000000}">
      <text>
        <r>
          <rPr>
            <b/>
            <sz val="9"/>
            <color indexed="81"/>
            <rFont val="Tahoma"/>
            <family val="2"/>
          </rPr>
          <t>Author:</t>
        </r>
        <r>
          <rPr>
            <sz val="9"/>
            <color indexed="81"/>
            <rFont val="Tahoma"/>
            <family val="2"/>
          </rPr>
          <t xml:space="preserve">
New methodology is used from this time for seasonal adjustment.
http://www.abs.gov.au/Ausstats/abs%40.nsf/exnote/6302.0 </t>
        </r>
      </text>
    </comment>
    <comment ref="B111" authorId="3" shapeId="0" xr:uid="{00000000-0006-0000-0300-000019000000}">
      <text>
        <r>
          <rPr>
            <b/>
            <sz val="9"/>
            <color indexed="81"/>
            <rFont val="Tahoma"/>
            <family val="2"/>
          </rPr>
          <t>Author:</t>
        </r>
        <r>
          <rPr>
            <sz val="9"/>
            <color indexed="81"/>
            <rFont val="Tahoma"/>
            <family val="2"/>
          </rPr>
          <t xml:space="preserve">
Updated for May 2017 actual - released 17/08/2017</t>
        </r>
      </text>
    </comment>
    <comment ref="F111" authorId="3" shapeId="0" xr:uid="{00000000-0006-0000-0300-00001A000000}">
      <text>
        <r>
          <rPr>
            <b/>
            <sz val="9"/>
            <color indexed="81"/>
            <rFont val="Tahoma"/>
            <family val="2"/>
          </rPr>
          <t>Author:</t>
        </r>
        <r>
          <rPr>
            <sz val="9"/>
            <color indexed="81"/>
            <rFont val="Tahoma"/>
            <family val="2"/>
          </rPr>
          <t xml:space="preserve">
Updated for May 2017 actual - released 17/08/2017</t>
        </r>
      </text>
    </comment>
    <comment ref="H111" authorId="3" shapeId="0" xr:uid="{00000000-0006-0000-0300-00001B000000}">
      <text>
        <r>
          <rPr>
            <b/>
            <sz val="9"/>
            <color indexed="81"/>
            <rFont val="Tahoma"/>
            <family val="2"/>
          </rPr>
          <t>Author:</t>
        </r>
        <r>
          <rPr>
            <sz val="9"/>
            <color indexed="81"/>
            <rFont val="Tahoma"/>
            <family val="2"/>
          </rPr>
          <t xml:space="preserve">
Updated for May 2017 actual - released 17/08/2017</t>
        </r>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Pineda, Virginia</author>
    <author>Bott, Mark</author>
    <author>Thompson, Alyse</author>
    <author>Ledda, Daniel</author>
  </authors>
  <commentList>
    <comment ref="A4" authorId="0" shapeId="0" xr:uid="{00000000-0006-0000-0400-000001000000}">
      <text>
        <r>
          <rPr>
            <b/>
            <sz val="9"/>
            <color indexed="81"/>
            <rFont val="Tahoma"/>
            <family val="2"/>
          </rPr>
          <t>Author:</t>
        </r>
        <r>
          <rPr>
            <sz val="9"/>
            <color indexed="81"/>
            <rFont val="Tahoma"/>
            <family val="2"/>
          </rPr>
          <t xml:space="preserve">
All hardcoded historical figures are from the DED parameters spreadsheet provided at Budget/MYEFO</t>
        </r>
      </text>
    </comment>
    <comment ref="J4" authorId="1" shapeId="0" xr:uid="{00000000-0006-0000-0400-000002000000}">
      <text>
        <r>
          <rPr>
            <b/>
            <sz val="9"/>
            <color indexed="81"/>
            <rFont val="Tahoma"/>
            <family val="2"/>
          </rPr>
          <t>Author:</t>
        </r>
        <r>
          <rPr>
            <sz val="9"/>
            <color indexed="81"/>
            <rFont val="Tahoma"/>
            <family val="2"/>
          </rPr>
          <t xml:space="preserve">
Survey estimates here are adjusted to smooth out seasonal variability in the series.</t>
        </r>
      </text>
    </comment>
    <comment ref="B5" authorId="2" shapeId="0" xr:uid="{00000000-0006-0000-0400-000003000000}">
      <text>
        <r>
          <rPr>
            <b/>
            <sz val="9"/>
            <color indexed="81"/>
            <rFont val="Tahoma"/>
            <family val="2"/>
          </rPr>
          <t>Author:</t>
        </r>
        <r>
          <rPr>
            <sz val="9"/>
            <color indexed="81"/>
            <rFont val="Tahoma"/>
            <family val="2"/>
          </rPr>
          <t xml:space="preserve">
ABS Catalogoue 6302.0, DED taxation parameter forecasts</t>
        </r>
      </text>
    </comment>
    <comment ref="F5" authorId="2" shapeId="0" xr:uid="{00000000-0006-0000-0400-000004000000}">
      <text>
        <r>
          <rPr>
            <b/>
            <sz val="9"/>
            <color indexed="81"/>
            <rFont val="Tahoma"/>
            <family val="2"/>
          </rPr>
          <t>Author:</t>
        </r>
        <r>
          <rPr>
            <sz val="9"/>
            <color indexed="81"/>
            <rFont val="Tahoma"/>
            <family val="2"/>
          </rPr>
          <t xml:space="preserve">
ABS Catalogoue 6302.0, DED taxation parameter forecasts</t>
        </r>
      </text>
    </comment>
    <comment ref="H5" authorId="2" shapeId="0" xr:uid="{00000000-0006-0000-0400-000005000000}">
      <text>
        <r>
          <rPr>
            <b/>
            <sz val="9"/>
            <color indexed="81"/>
            <rFont val="Tahoma"/>
            <family val="2"/>
          </rPr>
          <t>Author:</t>
        </r>
        <r>
          <rPr>
            <sz val="9"/>
            <color indexed="81"/>
            <rFont val="Tahoma"/>
            <family val="2"/>
          </rPr>
          <t xml:space="preserve">
ABS Catalogoue 6302.0, DED taxation parameter forecasts</t>
        </r>
      </text>
    </comment>
    <comment ref="J5" authorId="2" shapeId="0" xr:uid="{00000000-0006-0000-0400-000006000000}">
      <text>
        <r>
          <rPr>
            <b/>
            <sz val="9"/>
            <color indexed="81"/>
            <rFont val="Tahoma"/>
            <family val="2"/>
          </rPr>
          <t>Author:</t>
        </r>
        <r>
          <rPr>
            <sz val="9"/>
            <color indexed="81"/>
            <rFont val="Tahoma"/>
            <family val="2"/>
          </rPr>
          <t xml:space="preserve">
ABS Catalogoue 6302.0, DED taxation parameter forecasts</t>
        </r>
      </text>
    </comment>
    <comment ref="L5" authorId="2" shapeId="0" xr:uid="{00000000-0006-0000-0400-000007000000}">
      <text>
        <r>
          <rPr>
            <b/>
            <sz val="9"/>
            <color indexed="81"/>
            <rFont val="Tahoma"/>
            <family val="2"/>
          </rPr>
          <t>Author:</t>
        </r>
        <r>
          <rPr>
            <sz val="9"/>
            <color indexed="81"/>
            <rFont val="Tahoma"/>
            <family val="2"/>
          </rPr>
          <t xml:space="preserve">
ABS Catalogoue 6302.0, DED taxation parameter forecasts</t>
        </r>
      </text>
    </comment>
    <comment ref="A7" authorId="0" shapeId="0" xr:uid="{00000000-0006-0000-0400-000008000000}">
      <text>
        <r>
          <rPr>
            <b/>
            <sz val="9"/>
            <color indexed="81"/>
            <rFont val="Tahoma"/>
            <family val="2"/>
          </rPr>
          <t>Author:</t>
        </r>
        <r>
          <rPr>
            <sz val="9"/>
            <color indexed="81"/>
            <rFont val="Tahoma"/>
            <family val="2"/>
          </rPr>
          <t xml:space="preserve">
Financiial year, eg 1/06/1992 refers to 1991-92</t>
        </r>
      </text>
    </comment>
    <comment ref="J30" authorId="0" shapeId="0" xr:uid="{00000000-0006-0000-0400-000009000000}">
      <text>
        <r>
          <rPr>
            <b/>
            <sz val="9"/>
            <color indexed="81"/>
            <rFont val="Tahoma"/>
            <family val="2"/>
          </rPr>
          <t>Author:</t>
        </r>
        <r>
          <rPr>
            <sz val="9"/>
            <color indexed="81"/>
            <rFont val="Tahoma"/>
            <family val="2"/>
          </rPr>
          <t xml:space="preserve">
quarterly series is same as that of AWE All persons (orig) from this period</t>
        </r>
      </text>
    </comment>
    <comment ref="B33" authorId="3" shapeId="0" xr:uid="{00000000-0006-0000-0400-00000A000000}">
      <text>
        <r>
          <rPr>
            <b/>
            <sz val="9"/>
            <color indexed="81"/>
            <rFont val="Tahoma"/>
            <family val="2"/>
          </rPr>
          <t>Author:</t>
        </r>
        <r>
          <rPr>
            <sz val="9"/>
            <color indexed="81"/>
            <rFont val="Tahoma"/>
            <family val="2"/>
          </rPr>
          <t xml:space="preserve">
Updated for May 2017 actual - released 17/08/2017</t>
        </r>
      </text>
    </comment>
    <comment ref="F33" authorId="3" shapeId="0" xr:uid="{00000000-0006-0000-0400-00000B000000}">
      <text>
        <r>
          <rPr>
            <b/>
            <sz val="9"/>
            <color indexed="81"/>
            <rFont val="Tahoma"/>
            <family val="2"/>
          </rPr>
          <t>Author:</t>
        </r>
        <r>
          <rPr>
            <sz val="9"/>
            <color indexed="81"/>
            <rFont val="Tahoma"/>
            <family val="2"/>
          </rPr>
          <t xml:space="preserve">
Updated for May 2017 actual - released 17/08/2017</t>
        </r>
      </text>
    </comment>
    <comment ref="H33" authorId="3" shapeId="0" xr:uid="{00000000-0006-0000-0400-00000C000000}">
      <text>
        <r>
          <rPr>
            <b/>
            <sz val="9"/>
            <color indexed="81"/>
            <rFont val="Tahoma"/>
            <family val="2"/>
          </rPr>
          <t>Author:</t>
        </r>
        <r>
          <rPr>
            <sz val="9"/>
            <color indexed="81"/>
            <rFont val="Tahoma"/>
            <family val="2"/>
          </rPr>
          <t xml:space="preserve">
Updated for May 2017 actual - released 17/08/2017</t>
        </r>
      </text>
    </comment>
    <comment ref="L33" authorId="3" shapeId="0" xr:uid="{00000000-0006-0000-0400-00000D000000}">
      <text>
        <r>
          <rPr>
            <b/>
            <sz val="9"/>
            <color indexed="81"/>
            <rFont val="Tahoma"/>
            <family val="2"/>
          </rPr>
          <t>Author:</t>
        </r>
        <r>
          <rPr>
            <sz val="9"/>
            <color indexed="81"/>
            <rFont val="Tahoma"/>
            <family val="2"/>
          </rPr>
          <t xml:space="preserve">
Updated for May 2017 actual - released 17/08/2017</t>
        </r>
      </text>
    </comment>
  </commentList>
</comments>
</file>

<file path=xl/comments6.xml><?xml version="1.0" encoding="utf-8"?>
<comments xmlns="http://schemas.openxmlformats.org/spreadsheetml/2006/main" xmlns:mc="http://schemas.openxmlformats.org/markup-compatibility/2006" xmlns:xr="http://schemas.microsoft.com/office/spreadsheetml/2014/revision" mc:Ignorable="xr">
  <authors>
    <author>Bott, Mark</author>
    <author>Ledda, Daniel</author>
  </authors>
  <commentList>
    <comment ref="A4" authorId="0" shapeId="0" xr:uid="{00000000-0006-0000-0500-000001000000}">
      <text>
        <r>
          <rPr>
            <b/>
            <sz val="9"/>
            <color indexed="81"/>
            <rFont val="Tahoma"/>
            <family val="2"/>
          </rPr>
          <t>Author:</t>
        </r>
        <r>
          <rPr>
            <sz val="9"/>
            <color indexed="81"/>
            <rFont val="Tahoma"/>
            <family val="2"/>
          </rPr>
          <t xml:space="preserve">
Date on release of PBLCI publication.</t>
        </r>
      </text>
    </comment>
    <comment ref="B4" authorId="0" shapeId="0" xr:uid="{00000000-0006-0000-0500-000002000000}">
      <text>
        <r>
          <rPr>
            <b/>
            <sz val="9"/>
            <color indexed="81"/>
            <rFont val="Tahoma"/>
            <family val="2"/>
          </rPr>
          <t>Author:</t>
        </r>
        <r>
          <rPr>
            <sz val="9"/>
            <color indexed="81"/>
            <rFont val="Tahoma"/>
            <family val="2"/>
          </rPr>
          <t xml:space="preserve">
Series 'Index Numbers', Table 1, Catalogue 6467.0. (See under "main contributors to change" link on right)
Indexation of Government payments is based on originally published numbers, so DO NOT update for ABS revisions to this series. 
Column C is used to project into the future. </t>
        </r>
      </text>
    </comment>
    <comment ref="B47" authorId="1" shapeId="0" xr:uid="{00000000-0006-0000-0500-000003000000}">
      <text>
        <r>
          <rPr>
            <b/>
            <sz val="9"/>
            <color indexed="81"/>
            <rFont val="Tahoma"/>
            <family val="2"/>
          </rPr>
          <t>Author:</t>
        </r>
        <r>
          <rPr>
            <sz val="9"/>
            <color indexed="81"/>
            <rFont val="Tahoma"/>
            <family val="2"/>
          </rPr>
          <t xml:space="preserve">
Updated with June Q 2017 reslease of ABS 6467.0.</t>
        </r>
      </text>
    </comment>
  </commentList>
</comments>
</file>

<file path=xl/comments7.xml><?xml version="1.0" encoding="utf-8"?>
<comments xmlns="http://schemas.openxmlformats.org/spreadsheetml/2006/main" xmlns:mc="http://schemas.openxmlformats.org/markup-compatibility/2006" xmlns:xr="http://schemas.microsoft.com/office/spreadsheetml/2014/revision" mc:Ignorable="xr">
  <authors>
    <author>Bott, Mark</author>
    <author>Pineda, Virginia</author>
  </authors>
  <commentList>
    <comment ref="A5" authorId="0" shapeId="0" xr:uid="{00000000-0006-0000-0600-000001000000}">
      <text>
        <r>
          <rPr>
            <b/>
            <sz val="9"/>
            <color indexed="81"/>
            <rFont val="Tahoma"/>
            <family val="2"/>
          </rPr>
          <t>Author:
Date on release of PBLCI publication.</t>
        </r>
      </text>
    </comment>
    <comment ref="B5" authorId="0" shapeId="0" xr:uid="{00000000-0006-0000-0600-000002000000}">
      <text>
        <r>
          <rPr>
            <b/>
            <sz val="9"/>
            <color indexed="81"/>
            <rFont val="Tahoma"/>
            <family val="2"/>
          </rPr>
          <t>Author:</t>
        </r>
        <r>
          <rPr>
            <sz val="9"/>
            <color indexed="81"/>
            <rFont val="Tahoma"/>
            <family val="2"/>
          </rPr>
          <t xml:space="preserve">
Series 'Index Numbers', Table 1, Catalogue 6467.0. (See under "main contributors to change" link on right)
Indexation of Government payments is based on originally published numbers, so DO NOT update for ABS revisions to this series. 
Column C is used to project into the future. </t>
        </r>
      </text>
    </comment>
    <comment ref="A7" authorId="1" shapeId="0" xr:uid="{00000000-0006-0000-0600-000003000000}">
      <text>
        <r>
          <rPr>
            <b/>
            <sz val="9"/>
            <color indexed="81"/>
            <rFont val="Tahoma"/>
            <family val="2"/>
          </rPr>
          <t>Author:</t>
        </r>
        <r>
          <rPr>
            <sz val="9"/>
            <color indexed="81"/>
            <rFont val="Tahoma"/>
            <family val="2"/>
          </rPr>
          <t xml:space="preserve">
Financiial year, eg 1/06/1992 refers to 1991-92</t>
        </r>
      </text>
    </comment>
  </commentList>
</comments>
</file>

<file path=xl/comments8.xml><?xml version="1.0" encoding="utf-8"?>
<comments xmlns="http://schemas.openxmlformats.org/spreadsheetml/2006/main" xmlns:mc="http://schemas.openxmlformats.org/markup-compatibility/2006" xmlns:xr="http://schemas.microsoft.com/office/spreadsheetml/2014/revision" mc:Ignorable="xr">
  <authors>
    <author>Bott, Mark</author>
    <author>Black, Belinda</author>
    <author>Young, William</author>
    <author>Bullen, Jared</author>
    <author>Pineda, Virginia</author>
    <author>Ledda, Daniel</author>
  </authors>
  <commentList>
    <comment ref="P1" authorId="0" shapeId="0" xr:uid="{00000000-0006-0000-0700-000001000000}">
      <text>
        <r>
          <rPr>
            <b/>
            <sz val="9"/>
            <color indexed="81"/>
            <rFont val="Tahoma"/>
            <family val="2"/>
          </rPr>
          <t>Author:
Annual Ceiling rate specified in clause SCH6-A4 VEA 1986. ISS customers cannot receive any payment in excess of this amount.
Since 20th September 2002, this rate has been adjusted in line with the pension maximum basic rate, as per s59LA VEA1986.
This is an annual rate.   ( Note that in the DVA Factsheet IS30 it is specified as a fortnightly figure)</t>
        </r>
      </text>
    </comment>
    <comment ref="Q1" authorId="0" shapeId="0" xr:uid="{00000000-0006-0000-0700-000002000000}">
      <text>
        <r>
          <rPr>
            <b/>
            <sz val="9"/>
            <color indexed="81"/>
            <rFont val="Tahoma"/>
            <family val="2"/>
          </rPr>
          <t>Author:
Service Pensioners have their rate of RA decreased for any disability pension that they have in excess of a threshold.</t>
        </r>
      </text>
    </comment>
    <comment ref="T1" authorId="1" shapeId="0" xr:uid="{00000000-0006-0000-0700-000003000000}">
      <text>
        <r>
          <rPr>
            <b/>
            <sz val="9"/>
            <color indexed="81"/>
            <rFont val="Tahoma"/>
            <family val="2"/>
          </rPr>
          <t>Author:
The DVA Age Pension is 5 years less than general (Centrelink) Age Pension. Refer to Veterans' Entitlement Act 1986, Volume 1, Part 1, Section 5QA.  See also http://www.dva.gov.au/pensions_and_compensation/pensions_and_rates/Pages/service%20pension.aspx</t>
        </r>
      </text>
    </comment>
    <comment ref="K2" authorId="0" shapeId="0" xr:uid="{00000000-0006-0000-0700-000004000000}">
      <text>
        <r>
          <rPr>
            <b/>
            <sz val="9"/>
            <color indexed="81"/>
            <rFont val="Tahoma"/>
            <family val="2"/>
          </rPr>
          <t>Author:
Rate of pension payable under s30 VEA1986.</t>
        </r>
      </text>
    </comment>
    <comment ref="Q2" authorId="0" shapeId="0" xr:uid="{00000000-0006-0000-0700-000005000000}">
      <text>
        <r>
          <rPr>
            <b/>
            <sz val="9"/>
            <color indexed="81"/>
            <rFont val="Tahoma"/>
            <family val="2"/>
          </rPr>
          <t>Author:
These are the rates in the table at clause SCH6-C15 in Schedule 6 of VEA1986.
As per s59GA, these amount are set equal to the income free areas for the pension income test.
These are fortnightly rates.</t>
        </r>
      </text>
    </comment>
    <comment ref="S2" authorId="0" shapeId="0" xr:uid="{00000000-0006-0000-0700-000006000000}">
      <text>
        <r>
          <rPr>
            <b/>
            <sz val="9"/>
            <color indexed="81"/>
            <rFont val="Tahoma"/>
            <family val="2"/>
          </rPr>
          <t>Author:
This is the factor at Step 6 of the method statement in SCH6-C14B of Schedule 6 to VEA1986.</t>
        </r>
      </text>
    </comment>
    <comment ref="C4" authorId="0" shapeId="0" xr:uid="{00000000-0006-0000-0700-000007000000}">
      <text>
        <r>
          <rPr>
            <b/>
            <sz val="9"/>
            <color indexed="81"/>
            <rFont val="Tahoma"/>
            <family val="2"/>
          </rPr>
          <t xml:space="preserve">Author:
Fortnighly amount specified at s24(4) VEA 1986.
Indexed each March and September as per method statement a s198(5E)
</t>
        </r>
      </text>
    </comment>
    <comment ref="E4" authorId="0" shapeId="0" xr:uid="{00000000-0006-0000-0700-000008000000}">
      <text>
        <r>
          <rPr>
            <b/>
            <sz val="9"/>
            <color indexed="81"/>
            <rFont val="Tahoma"/>
            <family val="2"/>
          </rPr>
          <t>Author:
Fortnighly amount specified at s23(4) VEA 1986.
Indexed each March and September as per method statement a s198(5E)</t>
        </r>
      </text>
    </comment>
    <comment ref="G4" authorId="0" shapeId="0" xr:uid="{00000000-0006-0000-0700-000009000000}">
      <text>
        <r>
          <rPr>
            <b/>
            <sz val="9"/>
            <color indexed="81"/>
            <rFont val="Tahoma"/>
            <family val="2"/>
          </rPr>
          <t>Author:
Fortnighly amount specified at s22(4) VEA 1986.
Indexed each March and September as per method statement a s198(5E)</t>
        </r>
      </text>
    </comment>
    <comment ref="I4" authorId="0" shapeId="0" xr:uid="{00000000-0006-0000-0700-00000A000000}">
      <text>
        <r>
          <rPr>
            <b/>
            <sz val="9"/>
            <color indexed="81"/>
            <rFont val="Tahoma"/>
            <family val="2"/>
          </rPr>
          <t>Author:
This is the fortnightly rate specified at s22(3) VEA1986.
Indexed each March and September as per s198(5DA).</t>
        </r>
      </text>
    </comment>
    <comment ref="K4" authorId="1" shapeId="0" xr:uid="{00000000-0006-0000-0700-00000B000000}">
      <text>
        <r>
          <rPr>
            <b/>
            <sz val="9"/>
            <color indexed="81"/>
            <rFont val="Tahoma"/>
            <family val="2"/>
          </rPr>
          <t xml:space="preserve">Author:
DVA website does not list these parms seperately, only as a total.
</t>
        </r>
      </text>
    </comment>
    <comment ref="O4" authorId="2" shapeId="0" xr:uid="{00000000-0006-0000-0700-00000C000000}">
      <text>
        <r>
          <rPr>
            <b/>
            <sz val="9"/>
            <color indexed="81"/>
            <rFont val="Tahoma"/>
            <family val="2"/>
          </rPr>
          <t>Author:
This is a fortnightly rate.</t>
        </r>
      </text>
    </comment>
    <comment ref="R4" authorId="1" shapeId="0" xr:uid="{00000000-0006-0000-0700-00000D000000}">
      <text>
        <r>
          <rPr>
            <b/>
            <sz val="9"/>
            <color indexed="81"/>
            <rFont val="Tahoma"/>
            <family val="2"/>
          </rPr>
          <t>Author:
amount is per person in the couple.</t>
        </r>
      </text>
    </comment>
    <comment ref="C5" authorId="1" shapeId="0" xr:uid="{00000000-0006-0000-0700-00000E000000}">
      <text>
        <r>
          <rPr>
            <b/>
            <sz val="9"/>
            <color indexed="81"/>
            <rFont val="Tahoma"/>
            <family val="2"/>
          </rPr>
          <t>Author:</t>
        </r>
        <r>
          <rPr>
            <sz val="9"/>
            <color indexed="81"/>
            <rFont val="Tahoma"/>
            <family val="2"/>
          </rPr>
          <t xml:space="preserve">
rounding base of $0.10 per 6 months - Veterans' Entitlement Act 1986 - s198G, Table A</t>
        </r>
      </text>
    </comment>
    <comment ref="D5" authorId="1" shapeId="0" xr:uid="{00000000-0006-0000-0700-00000F000000}">
      <text>
        <r>
          <rPr>
            <b/>
            <sz val="9"/>
            <color indexed="81"/>
            <rFont val="Tahoma"/>
            <family val="2"/>
          </rPr>
          <t>Author:</t>
        </r>
        <r>
          <rPr>
            <sz val="9"/>
            <color indexed="81"/>
            <rFont val="Tahoma"/>
            <family val="2"/>
          </rPr>
          <t xml:space="preserve">
Rounding base of $0.10 per 6 months. </t>
        </r>
      </text>
    </comment>
    <comment ref="E5" authorId="1" shapeId="0" xr:uid="{00000000-0006-0000-0700-000010000000}">
      <text>
        <r>
          <rPr>
            <b/>
            <sz val="9"/>
            <color indexed="81"/>
            <rFont val="Tahoma"/>
            <family val="2"/>
          </rPr>
          <t>Author:
rounding base of $0.10 per 6 months - Veterans' Entitlement Act 1986 - s198G, Table A</t>
        </r>
      </text>
    </comment>
    <comment ref="F5" authorId="1" shapeId="0" xr:uid="{00000000-0006-0000-0700-000011000000}">
      <text>
        <r>
          <rPr>
            <b/>
            <sz val="9"/>
            <color indexed="81"/>
            <rFont val="Tahoma"/>
            <family val="2"/>
          </rPr>
          <t xml:space="preserve">Author:
Rounding base of $0.10 per 6 months. </t>
        </r>
      </text>
    </comment>
    <comment ref="G5" authorId="1" shapeId="0" xr:uid="{00000000-0006-0000-0700-000012000000}">
      <text>
        <r>
          <rPr>
            <b/>
            <sz val="9"/>
            <color indexed="81"/>
            <rFont val="Tahoma"/>
            <family val="2"/>
          </rPr>
          <t>Author:
rounding base of $0.10 per 6 months - Veterans' Entitlement Act 1986 - s198G, Table A</t>
        </r>
      </text>
    </comment>
    <comment ref="H5" authorId="1" shapeId="0" xr:uid="{00000000-0006-0000-0700-000013000000}">
      <text>
        <r>
          <rPr>
            <b/>
            <sz val="9"/>
            <color indexed="81"/>
            <rFont val="Tahoma"/>
            <family val="2"/>
          </rPr>
          <t xml:space="preserve">Author:
Rounding base of $0.10 per 6 months. </t>
        </r>
      </text>
    </comment>
    <comment ref="I5" authorId="1" shapeId="0" xr:uid="{00000000-0006-0000-0700-000014000000}">
      <text>
        <r>
          <rPr>
            <b/>
            <sz val="9"/>
            <color indexed="81"/>
            <rFont val="Tahoma"/>
            <family val="2"/>
          </rPr>
          <t>Author:
rounding base of $0.10 per 6 months - Veterans' Entitlement Act 1986 - s198G, Table A</t>
        </r>
      </text>
    </comment>
    <comment ref="J5" authorId="1" shapeId="0" xr:uid="{00000000-0006-0000-0700-000015000000}">
      <text>
        <r>
          <rPr>
            <b/>
            <sz val="9"/>
            <color indexed="81"/>
            <rFont val="Tahoma"/>
            <family val="2"/>
          </rPr>
          <t xml:space="preserve">Author:
Rounding base of $0.10 per 6 months. </t>
        </r>
      </text>
    </comment>
    <comment ref="K5" authorId="0" shapeId="0" xr:uid="{00000000-0006-0000-0700-000016000000}">
      <text>
        <r>
          <rPr>
            <b/>
            <sz val="9"/>
            <color indexed="81"/>
            <rFont val="Tahoma"/>
            <family val="2"/>
          </rPr>
          <t>Author:
Rate specified at s30(1)(a). 1/26th of the annual maximum basic pension rate.
This is a fortnightly rate.</t>
        </r>
      </text>
    </comment>
    <comment ref="L5" authorId="0" shapeId="0" xr:uid="{00000000-0006-0000-0700-000017000000}">
      <text>
        <r>
          <rPr>
            <b/>
            <sz val="9"/>
            <color indexed="81"/>
            <rFont val="Tahoma"/>
            <family val="2"/>
          </rPr>
          <t>Author:
Prior to 20 September 2009, equal to the GST supplement. Thereafter amount specified at s30(1)(b).
Indexed each March and September by CPI as per s198 (4) VEA 1986
This is a fortnightly rate.</t>
        </r>
      </text>
    </comment>
    <comment ref="M5" authorId="0" shapeId="0" xr:uid="{00000000-0006-0000-0700-000018000000}">
      <text>
        <r>
          <rPr>
            <b/>
            <sz val="9"/>
            <color indexed="81"/>
            <rFont val="Tahoma"/>
            <family val="2"/>
          </rPr>
          <t>Author:
Amount at s30(1)(c)
From 20 March 2008, indexed each September and March as per s198 (8A).
This is a fortnightly rate.</t>
        </r>
      </text>
    </comment>
    <comment ref="N5" authorId="1" shapeId="0" xr:uid="{00000000-0006-0000-0700-000019000000}">
      <text>
        <r>
          <rPr>
            <b/>
            <sz val="9"/>
            <color indexed="81"/>
            <rFont val="Tahoma"/>
            <family val="2"/>
          </rPr>
          <t xml:space="preserve">Author:
Rounding base of $0.10 per 6 months. </t>
        </r>
      </text>
    </comment>
    <comment ref="I8" authorId="0" shapeId="0" xr:uid="{00000000-0006-0000-0700-00001A000000}">
      <text>
        <r>
          <rPr>
            <b/>
            <sz val="9"/>
            <color indexed="81"/>
            <rFont val="Tahoma"/>
            <family val="2"/>
          </rPr>
          <t>Author:
Prior to 20 March 2008, this rate was simply indexed by CPI.</t>
        </r>
      </text>
    </comment>
    <comment ref="I11" authorId="0" shapeId="0" xr:uid="{00000000-0006-0000-0700-00001B000000}">
      <text>
        <r>
          <rPr>
            <b/>
            <sz val="9"/>
            <color indexed="81"/>
            <rFont val="Tahoma"/>
            <family val="2"/>
          </rPr>
          <t>Author:
Some kind of post ANTS clawback occurred here.</t>
        </r>
      </text>
    </comment>
    <comment ref="P17" authorId="0" shapeId="0" xr:uid="{00000000-0006-0000-0700-00001C000000}">
      <text>
        <r>
          <rPr>
            <b/>
            <sz val="9"/>
            <color indexed="81"/>
            <rFont val="Tahoma"/>
            <family val="2"/>
          </rPr>
          <t>Author:
Indexation begins</t>
        </r>
      </text>
    </comment>
    <comment ref="G23" authorId="0" shapeId="0" xr:uid="{00000000-0006-0000-0700-00001D000000}">
      <text>
        <r>
          <rPr>
            <b/>
            <sz val="9"/>
            <color indexed="81"/>
            <rFont val="Tahoma"/>
            <family val="2"/>
          </rPr>
          <t>Author:
Current indexation method begins here.</t>
        </r>
      </text>
    </comment>
    <comment ref="C36" authorId="0" shapeId="0" xr:uid="{00000000-0006-0000-0700-00001E000000}">
      <text>
        <r>
          <rPr>
            <b/>
            <sz val="9"/>
            <color indexed="81"/>
            <rFont val="Tahoma"/>
            <family val="2"/>
          </rPr>
          <t>Author:
Rate increased on 1st July 2007. This is the rate that appears in the legislation.</t>
        </r>
      </text>
    </comment>
    <comment ref="E36" authorId="0" shapeId="0" xr:uid="{00000000-0006-0000-0700-00001F000000}">
      <text>
        <r>
          <rPr>
            <b/>
            <sz val="9"/>
            <color indexed="81"/>
            <rFont val="Tahoma"/>
            <family val="2"/>
          </rPr>
          <t>Author:
Rate increased on 1st July 2007. This is the rate that appears in the legislation.</t>
        </r>
      </text>
    </comment>
    <comment ref="G39" authorId="0" shapeId="0" xr:uid="{00000000-0006-0000-0700-000020000000}">
      <text>
        <r>
          <rPr>
            <b/>
            <sz val="9"/>
            <color indexed="81"/>
            <rFont val="Tahoma"/>
            <family val="2"/>
          </rPr>
          <t>Author:
Prior to indexation on this date, the rate was increased by $15.
The pre indexed amount is the $510.40 metioned at s22(4).</t>
        </r>
      </text>
    </comment>
    <comment ref="I39" authorId="0" shapeId="0" xr:uid="{00000000-0006-0000-0700-000021000000}">
      <text>
        <r>
          <rPr>
            <b/>
            <sz val="9"/>
            <color indexed="81"/>
            <rFont val="Tahoma"/>
            <family val="2"/>
          </rPr>
          <t>Author:
There was a reform here. Prior to indexation, this amount is the $338.94 mentioned at s22(3).
This is where the current indexation method begins.</t>
        </r>
      </text>
    </comment>
    <comment ref="M39" authorId="0" shapeId="0" xr:uid="{00000000-0006-0000-0700-000022000000}">
      <text>
        <r>
          <rPr>
            <b/>
            <sz val="9"/>
            <color indexed="81"/>
            <rFont val="Tahoma"/>
            <family val="2"/>
          </rPr>
          <t xml:space="preserve">Author:
Current method starts here. (This is the $35 mentioned in the legislation, then indexed.) </t>
        </r>
      </text>
    </comment>
    <comment ref="C45" authorId="0" shapeId="0" xr:uid="{00000000-0006-0000-0700-000023000000}">
      <text>
        <r>
          <rPr>
            <b/>
            <sz val="9"/>
            <color indexed="81"/>
            <rFont val="Tahoma"/>
            <family val="2"/>
          </rPr>
          <t>Author:
Do not include $1,560 annual increase to pension MBR when calculating indexation.</t>
        </r>
      </text>
    </comment>
    <comment ref="E45" authorId="0" shapeId="0" xr:uid="{00000000-0006-0000-0700-000024000000}">
      <text>
        <r>
          <rPr>
            <b/>
            <sz val="9"/>
            <color indexed="81"/>
            <rFont val="Tahoma"/>
            <family val="2"/>
          </rPr>
          <t>Author:
Do not include $1,560 annual increase to pension MBR when calculating indexation.</t>
        </r>
      </text>
    </comment>
    <comment ref="G45" authorId="0" shapeId="0" xr:uid="{00000000-0006-0000-0700-000025000000}">
      <text>
        <r>
          <rPr>
            <b/>
            <sz val="9"/>
            <color indexed="81"/>
            <rFont val="Tahoma"/>
            <family val="2"/>
          </rPr>
          <t>Author:
Do not include $1,560 annual increase to pension MBR when calculating indexation.</t>
        </r>
      </text>
    </comment>
    <comment ref="I45" authorId="0" shapeId="0" xr:uid="{00000000-0006-0000-0700-000026000000}">
      <text>
        <r>
          <rPr>
            <b/>
            <sz val="9"/>
            <color indexed="81"/>
            <rFont val="Tahoma"/>
            <family val="2"/>
          </rPr>
          <t>Author:
Do not include $1,560 annual increase to pension MBR when calculating indexation.</t>
        </r>
      </text>
    </comment>
    <comment ref="K45" authorId="3" shapeId="0" xr:uid="{00000000-0006-0000-0700-000027000000}">
      <text>
        <r>
          <rPr>
            <b/>
            <sz val="9"/>
            <color indexed="81"/>
            <rFont val="Tahoma"/>
            <family val="2"/>
          </rPr>
          <t>Author:
New treatment here. Payment is now sum of three components.</t>
        </r>
      </text>
    </comment>
    <comment ref="L45" authorId="0" shapeId="0" xr:uid="{00000000-0006-0000-0700-000028000000}">
      <text>
        <r>
          <rPr>
            <b/>
            <sz val="9"/>
            <color indexed="81"/>
            <rFont val="Tahoma"/>
            <family val="2"/>
          </rPr>
          <t>Author:
Change in amount.</t>
        </r>
      </text>
    </comment>
    <comment ref="M45" authorId="0" shapeId="0" xr:uid="{00000000-0006-0000-0700-000029000000}">
      <text>
        <r>
          <rPr>
            <b/>
            <sz val="9"/>
            <color indexed="81"/>
            <rFont val="Tahoma"/>
            <family val="2"/>
          </rPr>
          <t>Author:
Do not include increase in single MBR when calculating indexation.</t>
        </r>
      </text>
    </comment>
    <comment ref="P45" authorId="0" shapeId="0" xr:uid="{00000000-0006-0000-0700-00002A000000}">
      <text>
        <r>
          <rPr>
            <b/>
            <sz val="9"/>
            <color indexed="81"/>
            <rFont val="Tahoma"/>
            <family val="2"/>
          </rPr>
          <t xml:space="preserve">Author:
With introduction in Harmer pension, increased as per the method statement in s198FB (2), VEA 1986. </t>
        </r>
      </text>
    </comment>
    <comment ref="S45" authorId="0" shapeId="0" xr:uid="{00000000-0006-0000-0700-00002B000000}">
      <text>
        <r>
          <rPr>
            <b/>
            <sz val="9"/>
            <color indexed="81"/>
            <rFont val="Tahoma"/>
            <family val="2"/>
          </rPr>
          <t xml:space="preserve">Author:
Changed to 50% with introduction of Harmer pension. </t>
        </r>
      </text>
    </comment>
    <comment ref="L47" authorId="0" shapeId="0" xr:uid="{00000000-0006-0000-0700-00002C000000}">
      <text>
        <r>
          <rPr>
            <b/>
            <sz val="9"/>
            <color indexed="81"/>
            <rFont val="Tahoma"/>
            <family val="2"/>
          </rPr>
          <t>Author:
First indexation here.</t>
        </r>
      </text>
    </comment>
    <comment ref="L59" authorId="0" shapeId="0" xr:uid="{00000000-0006-0000-0700-00002D000000}">
      <text>
        <r>
          <rPr>
            <b/>
            <sz val="9"/>
            <color indexed="81"/>
            <rFont val="Tahoma"/>
            <family val="2"/>
          </rPr>
          <t>Author:
Indexation factor reduced by 0.007 as per s195(5)(c) VEA 1986.</t>
        </r>
      </text>
    </comment>
    <comment ref="H63" authorId="4" shapeId="0" xr:uid="{00000000-0006-0000-0700-00002E000000}">
      <text>
        <r>
          <rPr>
            <b/>
            <sz val="9"/>
            <color indexed="81"/>
            <rFont val="Tahoma"/>
            <family val="2"/>
          </rPr>
          <t>Author:
 Incorrect indexation by DVA. Should be $11.70. Changed to DVA rates.</t>
        </r>
      </text>
    </comment>
    <comment ref="D66" authorId="1" shapeId="0" xr:uid="{00000000-0006-0000-0700-00002F000000}">
      <text>
        <r>
          <rPr>
            <b/>
            <sz val="9"/>
            <color indexed="81"/>
            <rFont val="Tahoma"/>
            <family val="2"/>
          </rPr>
          <t xml:space="preserve">Author:
Budget 2014-15, BP2 (pg191) - Cease Indexation of all CES payments. 
</t>
        </r>
      </text>
    </comment>
    <comment ref="F66" authorId="1" shapeId="0" xr:uid="{00000000-0006-0000-0700-000030000000}">
      <text>
        <r>
          <rPr>
            <b/>
            <sz val="9"/>
            <color indexed="81"/>
            <rFont val="Tahoma"/>
            <family val="2"/>
          </rPr>
          <t xml:space="preserve">Author:
Budget 2014-15, BP2 (pg191) - Cease Indexation of all CES payments. </t>
        </r>
      </text>
    </comment>
    <comment ref="H66" authorId="1" shapeId="0" xr:uid="{00000000-0006-0000-0700-000031000000}">
      <text>
        <r>
          <rPr>
            <b/>
            <sz val="9"/>
            <color indexed="81"/>
            <rFont val="Tahoma"/>
            <family val="2"/>
          </rPr>
          <t xml:space="preserve">Author:
Budget 2014-15, BP2 (pg191) - Cease Indexation of all CES payments. </t>
        </r>
      </text>
    </comment>
    <comment ref="J66" authorId="1" shapeId="0" xr:uid="{00000000-0006-0000-0700-000032000000}">
      <text>
        <r>
          <rPr>
            <b/>
            <sz val="9"/>
            <color indexed="81"/>
            <rFont val="Tahoma"/>
            <family val="2"/>
          </rPr>
          <t xml:space="preserve">Author:
Budget 2014-15, BP2 (pg191) - Cease Indexation of all CES payments. </t>
        </r>
      </text>
    </comment>
    <comment ref="N66" authorId="1" shapeId="0" xr:uid="{00000000-0006-0000-0700-000033000000}">
      <text>
        <r>
          <rPr>
            <b/>
            <sz val="9"/>
            <color indexed="81"/>
            <rFont val="Tahoma"/>
            <family val="2"/>
          </rPr>
          <t xml:space="preserve">Author:
Budget 2014-15, BP2 (pg191) - Cease Indexation of all CES payments. </t>
        </r>
      </text>
    </comment>
    <comment ref="C76" authorId="1" shapeId="0" xr:uid="{00000000-0006-0000-0700-000034000000}">
      <text>
        <r>
          <rPr>
            <b/>
            <sz val="9"/>
            <color indexed="81"/>
            <rFont val="Tahoma"/>
            <family val="2"/>
          </rPr>
          <t xml:space="preserve">Author:
Budget 2014-15, BP2 (pg203) - change in indexation to CPI, effective 1 September 2017.
Budget 2015-16, BP2 (p170) - the change in indexation was backed out of. Payment will continue as previously to be indexed by the higher of CPI, PBLCI and benchmarked to MTAWE. </t>
        </r>
      </text>
    </comment>
    <comment ref="E76" authorId="1" shapeId="0" xr:uid="{00000000-0006-0000-0700-000035000000}">
      <text>
        <r>
          <rPr>
            <b/>
            <sz val="9"/>
            <color indexed="81"/>
            <rFont val="Tahoma"/>
            <family val="2"/>
          </rPr>
          <t xml:space="preserve">Author:
Budget 2014-15, BP2 (pg203) - change in indexation to CPI, effective 1 September 2017.
Budget 2015-16, BP2 (p170) - the change in indexation was backed out of. Payment will continue as previously to be indexed by the higher of CPI, PBLCI and benchmarked to MTAWE. </t>
        </r>
      </text>
    </comment>
    <comment ref="G76" authorId="1" shapeId="0" xr:uid="{00000000-0006-0000-0700-000036000000}">
      <text>
        <r>
          <rPr>
            <b/>
            <sz val="9"/>
            <color indexed="81"/>
            <rFont val="Tahoma"/>
            <family val="2"/>
          </rPr>
          <t xml:space="preserve">Author:
Budget 2014-15, BP2 (pg203) - change in indexation to CPI, effective 1 September 2017.
Budget 2015-16, BP2 (p170) - the change in indexation was backed out of. Payment will continue as previously to be indexed by the higher of CPI, PBLCI and benchmarked to MTAWE. </t>
        </r>
      </text>
    </comment>
    <comment ref="I76" authorId="1" shapeId="0" xr:uid="{00000000-0006-0000-0700-000037000000}">
      <text>
        <r>
          <rPr>
            <b/>
            <sz val="9"/>
            <color indexed="81"/>
            <rFont val="Tahoma"/>
            <family val="2"/>
          </rPr>
          <t xml:space="preserve">Author:
Budget 2014-15, BP2 (pg203) - change in indexation to CPI, effective 1 September 2017.
Budget 2015-16, BP2 (p170) - the change in indexation was backed out of. Payment will continue as previously to be indexed by the higher of CPI, PBLCI and benchmarked to MTAWE. </t>
        </r>
      </text>
    </comment>
    <comment ref="K76" authorId="1" shapeId="0" xr:uid="{00000000-0006-0000-0700-000038000000}">
      <text>
        <r>
          <rPr>
            <b/>
            <sz val="9"/>
            <color indexed="81"/>
            <rFont val="Tahoma"/>
            <family val="2"/>
          </rPr>
          <t xml:space="preserve">Author:
Budget 2014-15, BP2 (pg203) - change in indexation to CPI, effective 1 September 2017.
Budget 2015-16, BP2 (p170) - the change in indexation was backed out of. Payment will continue as previously to be indexed by the higher of CPI, PBLCI and benchmarked to MTAWE. </t>
        </r>
      </text>
    </comment>
    <comment ref="M76" authorId="1" shapeId="0" xr:uid="{00000000-0006-0000-0700-000039000000}">
      <text>
        <r>
          <rPr>
            <b/>
            <sz val="9"/>
            <color indexed="81"/>
            <rFont val="Tahoma"/>
            <family val="2"/>
          </rPr>
          <t xml:space="preserve">Author:
Budget 2014-15, BP2 (pg203) - change in indexation to CPI, effective 1 September 2017.
Budget 2015-16, BP2 (p170) - the change in indexation was backed out of. Payment will continue as previously to be indexed by the higher of CPI, PBLCI and benchmarked to MTAWE. </t>
        </r>
      </text>
    </comment>
    <comment ref="P76" authorId="1" shapeId="0" xr:uid="{00000000-0006-0000-0700-00003A000000}">
      <text>
        <r>
          <rPr>
            <b/>
            <sz val="9"/>
            <color indexed="81"/>
            <rFont val="Tahoma"/>
            <family val="2"/>
          </rPr>
          <t xml:space="preserve">Author:
Budget 2014-15, BP2 (pg203) - change in indexation to CPI, effective 1 September 2017.
Budget 2015-16, BP2 (p171) - the change in indexation was backed out of. Payment will continue as previously to be indexed by the higher of CPI, PBLCI and benchmarked to MTAWE. </t>
        </r>
      </text>
    </comment>
    <comment ref="D77" authorId="5" shapeId="0" xr:uid="{00000000-0006-0000-0700-00003B000000}">
      <text>
        <r>
          <rPr>
            <b/>
            <sz val="9"/>
            <color indexed="81"/>
            <rFont val="Tahoma"/>
            <family val="2"/>
          </rPr>
          <t xml:space="preserve">Author:
Removal of energy supplement with grandfathering for Income Support Payments (measure from 1617 Budget) to commence 20 Sep 2017 (slipped from 20 Sep 2016), however the grandfathering date remains at 20 Sep 2016. 
Advice provided by DSS. Changes made to CAPITA code. 
</t>
        </r>
      </text>
    </comment>
    <comment ref="F77" authorId="5" shapeId="0" xr:uid="{00000000-0006-0000-0700-00003C000000}">
      <text>
        <r>
          <rPr>
            <b/>
            <sz val="9"/>
            <color indexed="81"/>
            <rFont val="Tahoma"/>
            <family val="2"/>
          </rPr>
          <t xml:space="preserve">Author:
Removal of energy supplement with grandfathering for Income Support Payments (measure from 1617 Budget) to commence 20 Sep 2017 (slipped from 20 Sep 2016), however the grandfathering date remains at 20 Sep 2016. 
Advice provided by DSS. Changes made to CAPITA code. 
</t>
        </r>
      </text>
    </comment>
    <comment ref="H77" authorId="5" shapeId="0" xr:uid="{00000000-0006-0000-0700-00003D000000}">
      <text>
        <r>
          <rPr>
            <b/>
            <sz val="9"/>
            <color indexed="81"/>
            <rFont val="Tahoma"/>
            <family val="2"/>
          </rPr>
          <t xml:space="preserve">Author:
Removal of energy supplement with grandfathering for Income Support Payments (measure from 1617 Budget) to commence 20 Sep 2017 (slipped from 20 Sep 2016), however the grandfathering date remains at 20 Sep 2016. 
Advice provided by DSS. Changes made to CAPITA code. 
</t>
        </r>
      </text>
    </comment>
    <comment ref="J77" authorId="5" shapeId="0" xr:uid="{00000000-0006-0000-0700-00003E000000}">
      <text>
        <r>
          <rPr>
            <b/>
            <sz val="9"/>
            <color indexed="81"/>
            <rFont val="Tahoma"/>
            <family val="2"/>
          </rPr>
          <t xml:space="preserve">Author:
Removal of energy supplement with grandfathering for Income Support Payments (measure from 1617 Budget) to commence 20 Sep 2017 (slipped from 20 Sep 2016), however the grandfathering date remains at 20 Sep 2016. 
Advice provided by DSS. Changes made to CAPITA code. 
</t>
        </r>
      </text>
    </comment>
    <comment ref="N77" authorId="5" shapeId="0" xr:uid="{00000000-0006-0000-0700-00003F000000}">
      <text>
        <r>
          <rPr>
            <b/>
            <sz val="9"/>
            <color indexed="81"/>
            <rFont val="Tahoma"/>
            <family val="2"/>
          </rPr>
          <t xml:space="preserve">Author:
Removal of energy supplement with grandfathering for Income Support Payments (measure from 1617 Budget) to commence 20 Sep 2017 (slipped from 20 Sep 2016), however the grandfathering date remains at 20 Sep 2016. 
Advice provided by DSS. Changes made to CAPITA code. 
</t>
        </r>
      </text>
    </comment>
  </commentList>
</comments>
</file>

<file path=xl/comments9.xml><?xml version="1.0" encoding="utf-8"?>
<comments xmlns="http://schemas.openxmlformats.org/spreadsheetml/2006/main" xmlns:mc="http://schemas.openxmlformats.org/markup-compatibility/2006" xmlns:xr="http://schemas.microsoft.com/office/spreadsheetml/2014/revision" mc:Ignorable="xr">
  <authors>
    <author>Bott, Mark</author>
    <author>Young, William</author>
  </authors>
  <commentList>
    <comment ref="P1" authorId="0" shapeId="0" xr:uid="{00000000-0006-0000-0800-000001000000}">
      <text>
        <r>
          <rPr>
            <b/>
            <sz val="9"/>
            <color indexed="81"/>
            <rFont val="Tahoma"/>
            <family val="2"/>
          </rPr>
          <t>Author:
Annual Ceiling rate specified in clause SCH6-A4 VEA 1986. ISS customers cannot receive any payment in excess of this amount.
Since 20th September 2002, this rate has been adjusted in line with the pension maximum basic rate, as per s59LA VEA1986.
This is an annual rate.</t>
        </r>
      </text>
    </comment>
    <comment ref="Q1" authorId="0" shapeId="0" xr:uid="{00000000-0006-0000-0800-000002000000}">
      <text>
        <r>
          <rPr>
            <b/>
            <sz val="9"/>
            <color indexed="81"/>
            <rFont val="Tahoma"/>
            <family val="2"/>
          </rPr>
          <t>Author:
Service Pensioners have their rate of RA decreased for any disability pension that they have in excess of a threshold.</t>
        </r>
      </text>
    </comment>
    <comment ref="K2" authorId="0" shapeId="0" xr:uid="{00000000-0006-0000-0800-000003000000}">
      <text>
        <r>
          <rPr>
            <b/>
            <sz val="9"/>
            <color indexed="81"/>
            <rFont val="Tahoma"/>
            <family val="2"/>
          </rPr>
          <t>Author:
Rate of pension payable under s30 VEA1986.</t>
        </r>
      </text>
    </comment>
    <comment ref="Q2" authorId="0" shapeId="0" xr:uid="{00000000-0006-0000-0800-000004000000}">
      <text>
        <r>
          <rPr>
            <b/>
            <sz val="9"/>
            <color indexed="81"/>
            <rFont val="Tahoma"/>
            <family val="2"/>
          </rPr>
          <t>Author:
These are the rates in the table at clause SCH6-C15 in Schedule 6 of VEA1986.
As per s59GA, these amount are set equal to the income free areas for the pension income test.
These are fortnightly rates.</t>
        </r>
      </text>
    </comment>
    <comment ref="S2" authorId="0" shapeId="0" xr:uid="{00000000-0006-0000-0800-000005000000}">
      <text>
        <r>
          <rPr>
            <b/>
            <sz val="9"/>
            <color indexed="81"/>
            <rFont val="Tahoma"/>
            <family val="2"/>
          </rPr>
          <t>Author:
This is the factor at Step 6 of the method statement in SCH6-C14B of Schedule 6 to VEA1986.</t>
        </r>
      </text>
    </comment>
    <comment ref="C4" authorId="0" shapeId="0" xr:uid="{00000000-0006-0000-0800-000006000000}">
      <text>
        <r>
          <rPr>
            <b/>
            <sz val="9"/>
            <color indexed="81"/>
            <rFont val="Tahoma"/>
            <family val="2"/>
          </rPr>
          <t xml:space="preserve">Author:
Fortnighly amount specified at s24(4) VEA 1986.
Indexed each March and September as per method statement a s198(5E)
</t>
        </r>
      </text>
    </comment>
    <comment ref="E4" authorId="0" shapeId="0" xr:uid="{00000000-0006-0000-0800-000007000000}">
      <text>
        <r>
          <rPr>
            <b/>
            <sz val="9"/>
            <color indexed="81"/>
            <rFont val="Tahoma"/>
            <family val="2"/>
          </rPr>
          <t>Author:
Fortnighly amount specified at s23(4) VEA 1986.
Indexed each March and September as per method statement a s198(5E)</t>
        </r>
      </text>
    </comment>
    <comment ref="G4" authorId="0" shapeId="0" xr:uid="{00000000-0006-0000-0800-000008000000}">
      <text>
        <r>
          <rPr>
            <b/>
            <sz val="9"/>
            <color indexed="81"/>
            <rFont val="Tahoma"/>
            <family val="2"/>
          </rPr>
          <t>Author:
Fortnighly amount specified at s22(4) VEA 1986.
Indexed each March and September as per method statement a s198(5E)</t>
        </r>
      </text>
    </comment>
    <comment ref="I4" authorId="0" shapeId="0" xr:uid="{00000000-0006-0000-0800-000009000000}">
      <text>
        <r>
          <rPr>
            <b/>
            <sz val="9"/>
            <color indexed="81"/>
            <rFont val="Tahoma"/>
            <family val="2"/>
          </rPr>
          <t>Author:
This is the fortnightly rate specified at s22(3) VEA1986.
Indexed each March and September as per s198(5DA).</t>
        </r>
      </text>
    </comment>
    <comment ref="O4" authorId="1" shapeId="0" xr:uid="{00000000-0006-0000-0800-00000A000000}">
      <text>
        <r>
          <rPr>
            <b/>
            <sz val="9"/>
            <color indexed="81"/>
            <rFont val="Tahoma"/>
            <family val="2"/>
          </rPr>
          <t>Author:
This is a fortnightly rate.</t>
        </r>
      </text>
    </comment>
    <comment ref="K5" authorId="0" shapeId="0" xr:uid="{00000000-0006-0000-0800-00000B000000}">
      <text>
        <r>
          <rPr>
            <b/>
            <sz val="9"/>
            <color indexed="81"/>
            <rFont val="Tahoma"/>
            <family val="2"/>
          </rPr>
          <t>Author:
Rate specified at s30(1)(a). 1/26th of the annual maximum basic pension rate.
This is a fortnightly rate.</t>
        </r>
      </text>
    </comment>
    <comment ref="L5" authorId="0" shapeId="0" xr:uid="{00000000-0006-0000-0800-00000C000000}">
      <text>
        <r>
          <rPr>
            <b/>
            <sz val="9"/>
            <color indexed="81"/>
            <rFont val="Tahoma"/>
            <family val="2"/>
          </rPr>
          <t>Author:
Prior to 20 September 2009, equal to the GST supplement. Thereafter amount specified at s30(1)(b).
Indexed each March and September by CPI as per s198 (4) VEA 1986
This is a fortnightly rate.</t>
        </r>
      </text>
    </comment>
    <comment ref="M5" authorId="0" shapeId="0" xr:uid="{00000000-0006-0000-0800-00000D000000}">
      <text>
        <r>
          <rPr>
            <b/>
            <sz val="9"/>
            <color indexed="81"/>
            <rFont val="Tahoma"/>
            <family val="2"/>
          </rPr>
          <t>Author:
Amount at s30(1)(c)
From 20 March 2008, indexed each September and March as per s198 (8A).
This is a fortnightly rate.</t>
        </r>
      </text>
    </comment>
  </commentList>
</comments>
</file>

<file path=xl/comments10.xml><?xml version="1.0" encoding="utf-8"?>
<comments xmlns="http://schemas.openxmlformats.org/spreadsheetml/2006/main" xmlns:mc="http://schemas.openxmlformats.org/markup-compatibility/2006" xmlns:xr="http://schemas.microsoft.com/office/spreadsheetml/2014/revision" mc:Ignorable="xr">
  <authors>
    <author>Bott, Mark</author>
    <author>Thompson, Alyse</author>
    <author>Nargar, Madeleine</author>
    <author>Li, Taike</author>
    <author>O'Shea, Mark</author>
    <author>Pattugalan, Keldon</author>
    <author>Ledda, Daniel</author>
  </authors>
  <commentList>
    <comment ref="AG1" authorId="0" shapeId="0" xr:uid="{00000000-0006-0000-0900-000001000000}">
      <text>
        <r>
          <rPr>
            <b/>
            <sz val="9"/>
            <color indexed="81"/>
            <rFont val="Tahoma"/>
            <family val="2"/>
          </rPr>
          <t>Author:
As specified in part 3.10, division 1AAA SSA1991, age pensioners have a concessional treatment of their earned income when calculating their ordinary income.</t>
        </r>
      </text>
    </comment>
    <comment ref="C3" authorId="0" shapeId="0" xr:uid="{00000000-0006-0000-0900-000002000000}">
      <text>
        <r>
          <rPr>
            <b/>
            <sz val="9"/>
            <color indexed="81"/>
            <rFont val="Tahoma"/>
            <family val="2"/>
          </rPr>
          <t>Author:
Amount specified at table item 1, column 4 1064-B1 SSA 1991. 
Adjusted each March and September as per s1198A.
This is a fortnightly amount.</t>
        </r>
      </text>
    </comment>
    <comment ref="H3" authorId="0" shapeId="0" xr:uid="{00000000-0006-0000-0900-000003000000}">
      <text>
        <r>
          <rPr>
            <b/>
            <sz val="9"/>
            <color indexed="81"/>
            <rFont val="Tahoma"/>
            <family val="2"/>
          </rPr>
          <t>Author:
Proportion of combined clean energy pension rate specified at table item 1, clause 1064-C3. This has been converted from annual to fortnightly.
From 1 July 2014 rename Clean Energy Supplement to Energy Supplement.</t>
        </r>
      </text>
    </comment>
    <comment ref="I3" authorId="0" shapeId="0" xr:uid="{00000000-0006-0000-0900-000004000000}">
      <text>
        <r>
          <rPr>
            <b/>
            <sz val="9"/>
            <color indexed="81"/>
            <rFont val="Tahoma"/>
            <family val="2"/>
          </rPr>
          <t>Author:
Sum of maximum basic rate and any supplementary amount.
This is the total amount of pension a single person can receive each fortnight.</t>
        </r>
      </text>
    </comment>
    <comment ref="J3" authorId="0" shapeId="0" xr:uid="{00000000-0006-0000-0900-000005000000}">
      <text>
        <r>
          <rPr>
            <b/>
            <sz val="9"/>
            <color indexed="81"/>
            <rFont val="Tahoma"/>
            <family val="2"/>
          </rPr>
          <t>Author:
Amount specified at table item 2, column 4 1064-B1. 
Indexed by larger of CPI and PBLCI, must retain a certain proportion of MTAWE. See s1191,1195,1196.
This is a fortnightly amount.</t>
        </r>
      </text>
    </comment>
    <comment ref="O3" authorId="0" shapeId="0" xr:uid="{00000000-0006-0000-0900-000006000000}">
      <text>
        <r>
          <rPr>
            <b/>
            <sz val="9"/>
            <color indexed="81"/>
            <rFont val="Tahoma"/>
            <family val="2"/>
          </rPr>
          <t>Author:
Proportion of combined clean energy pension rate specified at table item 2, clause 1064-C3. Converted from annual to fortnightly.
The clean energy pension rate is indexed each September and March by CPI, as per table in s1191.
This is a fortnightly amount.
From 1 July 2014 rename Clean Energy Supplement to Energy Supplement.</t>
        </r>
      </text>
    </comment>
    <comment ref="P3" authorId="0" shapeId="0" xr:uid="{00000000-0006-0000-0900-000007000000}">
      <text>
        <r>
          <rPr>
            <b/>
            <sz val="9"/>
            <color indexed="81"/>
            <rFont val="Tahoma"/>
            <family val="2"/>
          </rPr>
          <t>Author:
Sum of maximum basic rate and any supplementary amount.
This is the maximum amount of pension a person who is a member of a couple can receivie each fortnight.</t>
        </r>
      </text>
    </comment>
    <comment ref="Q3" authorId="0" shapeId="0" xr:uid="{00000000-0006-0000-0900-000008000000}">
      <text>
        <r>
          <rPr>
            <b/>
            <sz val="9"/>
            <color indexed="81"/>
            <rFont val="Tahoma"/>
            <family val="2"/>
          </rPr>
          <t>Author:
Once a person's fortnightly ordinary income exceeds this amount, their rate of pension begins to reduce.
Value at table item 1, column 4 clause 1064-E4  SSA 1991.
Indexed by CPI each June as per table in s1191.
This is a fortnightly amount.</t>
        </r>
      </text>
    </comment>
    <comment ref="S3" authorId="0" shapeId="0" xr:uid="{00000000-0006-0000-0900-000009000000}">
      <text>
        <r>
          <rPr>
            <b/>
            <sz val="9"/>
            <color indexed="81"/>
            <rFont val="Tahoma"/>
            <family val="2"/>
          </rPr>
          <t>Author:
Once a person's fortnightly ordinary income exceeds this amount, their rate of pension begins to reduce.
Value at table item 2, column 4 clause 1064-E4  SSA 1991.
Indexed by CPI each June as per table in s1191.
This is a fortnightly amount.</t>
        </r>
      </text>
    </comment>
    <comment ref="U3" authorId="0" shapeId="0" xr:uid="{00000000-0006-0000-0900-00000A000000}">
      <text>
        <r>
          <rPr>
            <b/>
            <sz val="9"/>
            <color indexed="81"/>
            <rFont val="Tahoma"/>
            <family val="2"/>
          </rPr>
          <t>Author:
Number of cents pension is reduced by for each dollar of ordinary income above the threshold.
Factor specified at clause 1064-E10 in SSA1991.</t>
        </r>
      </text>
    </comment>
    <comment ref="V3" authorId="0" shapeId="0" xr:uid="{00000000-0006-0000-0900-00000B000000}">
      <text>
        <r>
          <rPr>
            <b/>
            <sz val="9"/>
            <color indexed="81"/>
            <rFont val="Tahoma"/>
            <family val="2"/>
          </rPr>
          <t>Author:
For the definition of ordinary income used to means test income support payments, fincancial assets are deemed to earn a certain amount of income each year, regardless of how much income they actually do earn.</t>
        </r>
      </text>
    </comment>
    <comment ref="AA3" authorId="0" shapeId="0" xr:uid="{00000000-0006-0000-0900-00000C000000}">
      <text>
        <r>
          <rPr>
            <b/>
            <sz val="9"/>
            <color indexed="81"/>
            <rFont val="Tahoma"/>
            <family val="2"/>
          </rPr>
          <t>Author:
Pensioners are allowed to have assets up to this value without any reduction in their pension rate. Note that owner occupied housing is not included in tested assets, and homeowners have a separate threshold to non-homeowners.</t>
        </r>
      </text>
    </comment>
    <comment ref="AE3" authorId="0" shapeId="0" xr:uid="{00000000-0006-0000-0900-00000D000000}">
      <text>
        <r>
          <rPr>
            <b/>
            <sz val="9"/>
            <color indexed="81"/>
            <rFont val="Tahoma"/>
            <family val="2"/>
          </rPr>
          <t>Author:
For every dollar of assets above the threshold, the persons' fortnightly pension rate is reduced by this many dollars.
In clause 1064-G4 in SSA1991, this is the factor that the person's assets excess is multiplied by, converted to a fortnightly reduction rate.</t>
        </r>
      </text>
    </comment>
    <comment ref="AF3" authorId="0" shapeId="0" xr:uid="{00000000-0006-0000-0900-00000E000000}">
      <text>
        <r>
          <rPr>
            <b/>
            <sz val="9"/>
            <color indexed="81"/>
            <rFont val="Tahoma"/>
            <family val="2"/>
          </rPr>
          <t>Author:
Assets in excess of a multiple of this amound are disregarded, as per clause 1064-G7 SSA1991.</t>
        </r>
      </text>
    </comment>
    <comment ref="D4" authorId="0" shapeId="0" xr:uid="{00000000-0006-0000-0900-00000F000000}">
      <text>
        <r>
          <rPr>
            <b/>
            <sz val="9"/>
            <color indexed="81"/>
            <rFont val="Tahoma"/>
            <family val="2"/>
          </rPr>
          <t>Author:
GST supplement, which became pension supplement remaining amount on 20th September 2009.
This is the fortnightly value of the amount specified in s20A(5) SSA1991.
This is a fortnightly amount.</t>
        </r>
      </text>
    </comment>
    <comment ref="E4" authorId="0" shapeId="0" xr:uid="{00000000-0006-0000-0900-000010000000}">
      <text>
        <r>
          <rPr>
            <b/>
            <sz val="9"/>
            <color indexed="81"/>
            <rFont val="Tahoma"/>
            <family val="2"/>
          </rPr>
          <t>Author:
This is the balance of the total pension supplement after basic and minimum amounts are taken into account.
This is a fortnightly amount.</t>
        </r>
      </text>
    </comment>
    <comment ref="F4" authorId="0" shapeId="0" xr:uid="{00000000-0006-0000-0900-000011000000}">
      <text>
        <r>
          <rPr>
            <b/>
            <sz val="9"/>
            <color indexed="81"/>
            <rFont val="Tahoma"/>
            <family val="2"/>
          </rPr>
          <t>Author:
This is the value at table item 1 s20A(4) SSA1991 converted to fortnightly.
Indexed each September and March by CPI as per table in s1191.
This is a fortnightly amount.</t>
        </r>
      </text>
    </comment>
    <comment ref="G4" authorId="0" shapeId="0" xr:uid="{00000000-0006-0000-0900-000012000000}">
      <text>
        <r>
          <rPr>
            <b/>
            <sz val="9"/>
            <color indexed="81"/>
            <rFont val="Tahoma"/>
            <family val="2"/>
          </rPr>
          <t>Author:
Before September 2009 this is the GST supplement.
Post September 2009 this is the amount for single people specified at table item 1,  clause 1064-BA3 of SSA1991.
This is a fortnightly amount.</t>
        </r>
      </text>
    </comment>
    <comment ref="K4" authorId="0" shapeId="0" xr:uid="{00000000-0006-0000-0900-000013000000}">
      <text>
        <r>
          <rPr>
            <b/>
            <sz val="9"/>
            <color indexed="81"/>
            <rFont val="Tahoma"/>
            <family val="2"/>
          </rPr>
          <t>Author:
GST supplement, which became pension supplement remaining amount on 20th September 2009.
This is the fortnightly value of the amount specified in s20A(5) SSA1991.</t>
        </r>
      </text>
    </comment>
    <comment ref="L4" authorId="0" shapeId="0" xr:uid="{00000000-0006-0000-0900-000014000000}">
      <text>
        <r>
          <rPr>
            <b/>
            <sz val="9"/>
            <color indexed="81"/>
            <rFont val="Tahoma"/>
            <family val="2"/>
          </rPr>
          <t>Author:
This is the balance of the total pension supplement after basic and minimum amounts are taken into account.
This is a fortnightly amount.</t>
        </r>
      </text>
    </comment>
    <comment ref="M4" authorId="0" shapeId="0" xr:uid="{00000000-0006-0000-0900-000015000000}">
      <text>
        <r>
          <rPr>
            <b/>
            <sz val="9"/>
            <color indexed="81"/>
            <rFont val="Tahoma"/>
            <family val="2"/>
          </rPr>
          <t>Author:
This is the value at table item 2 s20A(4) SSA1991 converted to fortnightly.
Indexed each September and March by CPI as per table in s1191.
This is a fortnightly amount.</t>
        </r>
      </text>
    </comment>
    <comment ref="N4" authorId="0" shapeId="0" xr:uid="{00000000-0006-0000-0900-000016000000}">
      <text>
        <r>
          <rPr>
            <b/>
            <sz val="9"/>
            <color indexed="81"/>
            <rFont val="Tahoma"/>
            <family val="2"/>
          </rPr>
          <t>Author:
Before September 2009 this is the GST supplement.
Post September 2009 this is the amount for couples specified at table item 2,  clause 1064-BA3 of SSA1991.
This amount is indexed via indexation of combined PS rate as per table in s1191.
This is a fortnightly amount.</t>
        </r>
      </text>
    </comment>
    <comment ref="AG4" authorId="0" shapeId="0" xr:uid="{00000000-0006-0000-0900-000017000000}">
      <text>
        <r>
          <rPr>
            <b/>
            <sz val="9"/>
            <color indexed="81"/>
            <rFont val="Tahoma"/>
            <family val="2"/>
          </rPr>
          <t>Author:
This amount is now the income concession amount for an installment period referenced in s1073AA(4C) of SSA1991.
Prior to 1st July 2011, the work bonus was 50% of the first $500 of employment income, rather than the first $250.
This is a fortnightly amount.</t>
        </r>
      </text>
    </comment>
    <comment ref="V5" authorId="0" shapeId="0" xr:uid="{00000000-0006-0000-0900-000018000000}">
      <text>
        <r>
          <rPr>
            <b/>
            <sz val="9"/>
            <color indexed="81"/>
            <rFont val="Tahoma"/>
            <family val="2"/>
          </rPr>
          <t>Author
s1082 of SSA1991 specifies that the deeming rate is set by legislative instrument. Must be manually updated.
Numbers here are taken from the social security guide.</t>
        </r>
      </text>
    </comment>
    <comment ref="X5" authorId="0" shapeId="0" xr:uid="{00000000-0006-0000-0900-000019000000}">
      <text>
        <r>
          <rPr>
            <b/>
            <sz val="9"/>
            <color indexed="81"/>
            <rFont val="Tahoma"/>
            <family val="2"/>
          </rPr>
          <t xml:space="preserve">Author:
Thresholods Specified as per s1081 of SSA1991.
Indexed annually on 1st July, based on March quarter CPI, as per table items 35 and 36 of s1191.
</t>
        </r>
      </text>
    </comment>
    <comment ref="AA5" authorId="0" shapeId="0" xr:uid="{00000000-0006-0000-0900-00001A000000}">
      <text>
        <r>
          <rPr>
            <b/>
            <sz val="9"/>
            <color indexed="81"/>
            <rFont val="Tahoma"/>
            <family val="2"/>
          </rPr>
          <t>Author:
This is the assets value limit specified in at item 1, column 3A table of 1064-G3 SSA 1991.
These values are indexed by CPI annually on 1 July as per s1191.</t>
        </r>
      </text>
    </comment>
    <comment ref="AB5" authorId="0" shapeId="0" xr:uid="{00000000-0006-0000-0900-00001B000000}">
      <text>
        <r>
          <rPr>
            <b/>
            <sz val="9"/>
            <color indexed="81"/>
            <rFont val="Tahoma"/>
            <family val="2"/>
          </rPr>
          <t>Author:
This is the assets value limit specified in at item 1, column 3B table of 1064-G3 SSA 1991.
These values are are adjusted annually on 1 July as per s1203.</t>
        </r>
      </text>
    </comment>
    <comment ref="AC5" authorId="0" shapeId="0" xr:uid="{00000000-0006-0000-0900-00001C000000}">
      <text>
        <r>
          <rPr>
            <b/>
            <sz val="9"/>
            <color indexed="81"/>
            <rFont val="Tahoma"/>
            <family val="2"/>
          </rPr>
          <t>Author:
This is twice the assets value limit specified in at item 2, column 3A table of 1064-G3 SSA 1991. (Assets across the couple, rather than for each partner.)
These values are indexed by CPI annually on 1 July as per s1191.</t>
        </r>
      </text>
    </comment>
    <comment ref="AD5" authorId="0" shapeId="0" xr:uid="{00000000-0006-0000-0900-00001D000000}">
      <text>
        <r>
          <rPr>
            <b/>
            <sz val="9"/>
            <color indexed="81"/>
            <rFont val="Tahoma"/>
            <family val="2"/>
          </rPr>
          <t>Author:
This is twice the assets value limit specified in at item 2, column 3B table of 1064-G3 SSA 1991. (Assets across the couple, rather than for each partner.)
These values are indexed by CPI annually on 1 July as per s1191.</t>
        </r>
      </text>
    </comment>
    <comment ref="AI6" authorId="1" shapeId="0" xr:uid="{00000000-0006-0000-0900-00001E000000}">
      <text>
        <r>
          <rPr>
            <b/>
            <sz val="9"/>
            <color indexed="81"/>
            <rFont val="Tahoma"/>
            <family val="2"/>
          </rPr>
          <t xml:space="preserve">Author:
For pension age see
Social Security Act 1991 
subsections 23(5A). </t>
        </r>
      </text>
    </comment>
    <comment ref="AJ6" authorId="1" shapeId="0" xr:uid="{00000000-0006-0000-0900-00001F000000}">
      <text>
        <r>
          <rPr>
            <b/>
            <sz val="9"/>
            <color indexed="81"/>
            <rFont val="Tahoma"/>
            <family val="2"/>
          </rPr>
          <t xml:space="preserve">Author:
For pension age see
Social Security Act 1991 
subsections 23(5B), 23(5C) and 23(5D). </t>
        </r>
      </text>
    </comment>
    <comment ref="C9" authorId="0" shapeId="0" xr:uid="{00000000-0006-0000-0900-000020000000}">
      <text>
        <r>
          <rPr>
            <b/>
            <sz val="9"/>
            <color indexed="81"/>
            <rFont val="Tahoma"/>
            <family val="2"/>
          </rPr>
          <t>Author:
Prior to September 2009 this was the greater of a half MTAWE or CPI indexation of old amount</t>
        </r>
      </text>
    </comment>
    <comment ref="J9" authorId="0" shapeId="0" xr:uid="{00000000-0006-0000-0900-000021000000}">
      <text>
        <r>
          <rPr>
            <b/>
            <sz val="9"/>
            <color indexed="81"/>
            <rFont val="Tahoma"/>
            <family val="2"/>
          </rPr>
          <t>Author:
Formerly the previous basic rate was indexed and then a top up amount was added on to meet AWE benchmark. For couples the top up amount is 83% of the single top up amount.</t>
        </r>
      </text>
    </comment>
    <comment ref="C11" authorId="0" shapeId="0" xr:uid="{00000000-0006-0000-0900-000022000000}">
      <text>
        <r>
          <rPr>
            <b/>
            <sz val="9"/>
            <color indexed="81"/>
            <rFont val="Tahoma"/>
            <family val="2"/>
          </rPr>
          <t>Author:
Some kind of clawback happened here.</t>
        </r>
      </text>
    </comment>
    <comment ref="D11" authorId="0" shapeId="0" xr:uid="{00000000-0006-0000-0900-000023000000}">
      <text>
        <r>
          <rPr>
            <b/>
            <sz val="9"/>
            <color indexed="81"/>
            <rFont val="Tahoma"/>
            <family val="2"/>
          </rPr>
          <t>Author:
Some kind of clawback happened here.</t>
        </r>
      </text>
    </comment>
    <comment ref="J11" authorId="0" shapeId="0" xr:uid="{00000000-0006-0000-0900-000024000000}">
      <text>
        <r>
          <rPr>
            <b/>
            <sz val="9"/>
            <color indexed="81"/>
            <rFont val="Tahoma"/>
            <family val="2"/>
          </rPr>
          <t>Author:
Some kind of clawback happened here.</t>
        </r>
      </text>
    </comment>
    <comment ref="K11" authorId="0" shapeId="0" xr:uid="{00000000-0006-0000-0900-000025000000}">
      <text>
        <r>
          <rPr>
            <b/>
            <sz val="9"/>
            <color indexed="81"/>
            <rFont val="Tahoma"/>
            <family val="2"/>
          </rPr>
          <t>Author:
Some kind of clawback happened here.</t>
        </r>
      </text>
    </comment>
    <comment ref="V41" authorId="0" shapeId="0" xr:uid="{00000000-0006-0000-0900-000026000000}">
      <text>
        <r>
          <rPr>
            <b/>
            <sz val="9"/>
            <color indexed="81"/>
            <rFont val="Tahoma"/>
            <family val="2"/>
          </rPr>
          <t>Author:
On the 17th November the deeming rate was changed to 3% for singles and 5% for couples</t>
        </r>
      </text>
    </comment>
    <comment ref="W41" authorId="0" shapeId="0" xr:uid="{00000000-0006-0000-0900-000027000000}">
      <text>
        <r>
          <rPr>
            <b/>
            <sz val="9"/>
            <color indexed="81"/>
            <rFont val="Tahoma"/>
            <family val="2"/>
          </rPr>
          <t>Author:
On the 17th November the deeming rate was changed to 3% for singles and 5% for couples</t>
        </r>
      </text>
    </comment>
    <comment ref="W42" authorId="0" shapeId="0" xr:uid="{00000000-0006-0000-0900-000028000000}">
      <text>
        <r>
          <rPr>
            <b/>
            <sz val="9"/>
            <color indexed="81"/>
            <rFont val="Tahoma"/>
            <family val="2"/>
          </rPr>
          <t>Author:
On the 26th January the deeming rate was changed to 4% for couples.</t>
        </r>
      </text>
    </comment>
    <comment ref="S44" authorId="0" shapeId="0" xr:uid="{00000000-0006-0000-0900-000029000000}">
      <text>
        <r>
          <rPr>
            <b/>
            <sz val="9"/>
            <color indexed="81"/>
            <rFont val="Tahoma"/>
            <family val="2"/>
          </rPr>
          <t>Author:
This needed to be hard coded because the mround function was rounding 123 to 122 rather than 124.</t>
        </r>
      </text>
    </comment>
    <comment ref="C45" authorId="0" shapeId="0" xr:uid="{00000000-0006-0000-0900-00002A000000}">
      <text>
        <r>
          <rPr>
            <b/>
            <sz val="9"/>
            <color indexed="81"/>
            <rFont val="Tahoma"/>
            <family val="2"/>
          </rPr>
          <t>Author:
Harmer pension increase of $1560 per year occurs here. 
See s1206GE SSA1991.
PBLCI indexation also occurs here.</t>
        </r>
      </text>
    </comment>
    <comment ref="G45" authorId="0" shapeId="0" xr:uid="{00000000-0006-0000-0900-00002B000000}">
      <text>
        <r>
          <rPr>
            <b/>
            <sz val="9"/>
            <color indexed="81"/>
            <rFont val="Tahoma"/>
            <family val="2"/>
          </rPr>
          <t>Author:
Set as a fixed proportion of of the combined supplement rate.</t>
        </r>
      </text>
    </comment>
    <comment ref="J45" authorId="0" shapeId="0" xr:uid="{00000000-0006-0000-0900-00002C000000}">
      <text>
        <r>
          <rPr>
            <b/>
            <sz val="9"/>
            <color indexed="81"/>
            <rFont val="Tahoma"/>
            <family val="2"/>
          </rPr>
          <t>Author:
Couples only get CPI/PBLCI indexation here.</t>
        </r>
      </text>
    </comment>
    <comment ref="M45" authorId="0" shapeId="0" xr:uid="{00000000-0006-0000-0900-00002D000000}">
      <text>
        <r>
          <rPr>
            <b/>
            <sz val="9"/>
            <color indexed="81"/>
            <rFont val="Tahoma"/>
            <family val="2"/>
          </rPr>
          <t>Author:
Calculated as per s20A(2) SSA1991.
Indexed each March/September as per table in s1191.</t>
        </r>
      </text>
    </comment>
    <comment ref="N45" authorId="0" shapeId="0" xr:uid="{00000000-0006-0000-0900-00002E000000}">
      <text>
        <r>
          <rPr>
            <b/>
            <sz val="9"/>
            <color indexed="81"/>
            <rFont val="Tahoma"/>
            <family val="2"/>
          </rPr>
          <t>Author:
Calculated as per s20A(1) SSA1991.
Indexed each March/September as per table in s1191.</t>
        </r>
      </text>
    </comment>
    <comment ref="R45" authorId="0" shapeId="0" xr:uid="{00000000-0006-0000-0900-00002F000000}">
      <text>
        <r>
          <rPr>
            <b/>
            <sz val="9"/>
            <color indexed="81"/>
            <rFont val="Tahoma"/>
            <family val="2"/>
          </rPr>
          <t>Author:
Extra child add on removed as part of Harmer Pension reforms.</t>
        </r>
      </text>
    </comment>
    <comment ref="T45" authorId="0" shapeId="0" xr:uid="{00000000-0006-0000-0900-000030000000}">
      <text>
        <r>
          <rPr>
            <b/>
            <sz val="9"/>
            <color indexed="81"/>
            <rFont val="Tahoma"/>
            <family val="2"/>
          </rPr>
          <t>Author:
Extra child add on removed as part of Harmer Pension reforms.</t>
        </r>
      </text>
    </comment>
    <comment ref="U45" authorId="0" shapeId="0" xr:uid="{00000000-0006-0000-0900-000031000000}">
      <text>
        <r>
          <rPr>
            <b/>
            <sz val="9"/>
            <color indexed="81"/>
            <rFont val="Tahoma"/>
            <family val="2"/>
          </rPr>
          <t>Author:
Taper rate increased to 50% as part of Harmer Pension reforms.</t>
        </r>
      </text>
    </comment>
    <comment ref="C47" authorId="0" shapeId="0" xr:uid="{00000000-0006-0000-0900-000032000000}">
      <text>
        <r>
          <rPr>
            <b/>
            <sz val="9"/>
            <color indexed="81"/>
            <rFont val="Tahoma"/>
            <family val="2"/>
          </rPr>
          <t>Author:
Single MBR now set as proportion of couple rate.
See s1198A SSA1991.</t>
        </r>
      </text>
    </comment>
    <comment ref="J47" authorId="0" shapeId="0" xr:uid="{00000000-0006-0000-0900-000033000000}">
      <text>
        <r>
          <rPr>
            <b/>
            <sz val="9"/>
            <color indexed="81"/>
            <rFont val="Tahoma"/>
            <family val="2"/>
          </rPr>
          <t>Author:
New Harmer Pension indexation begins, with PBLCI indexation and new MTAWE benchmark.</t>
        </r>
      </text>
    </comment>
    <comment ref="D59" authorId="2" shapeId="0" xr:uid="{00000000-0006-0000-0900-000034000000}">
      <text>
        <r>
          <rPr>
            <b/>
            <sz val="9"/>
            <color indexed="81"/>
            <rFont val="Tahoma"/>
            <family val="2"/>
          </rPr>
          <t>Author:
clawback in this period. See s1206GF SSA1991.</t>
        </r>
      </text>
    </comment>
    <comment ref="J59" authorId="2" shapeId="0" xr:uid="{00000000-0006-0000-0900-000035000000}">
      <text>
        <r>
          <rPr>
            <b/>
            <sz val="9"/>
            <color indexed="81"/>
            <rFont val="Tahoma"/>
            <family val="2"/>
          </rPr>
          <t>Author:
clawback in this period. See s1206GF SSA1991.</t>
        </r>
      </text>
    </comment>
    <comment ref="K59" authorId="2" shapeId="0" xr:uid="{00000000-0006-0000-0900-000036000000}">
      <text>
        <r>
          <rPr>
            <b/>
            <sz val="9"/>
            <color indexed="81"/>
            <rFont val="Tahoma"/>
            <family val="2"/>
          </rPr>
          <t>Author:
clawback in this period. See s1206GF SSA1991.</t>
        </r>
      </text>
    </comment>
    <comment ref="M59" authorId="2" shapeId="0" xr:uid="{00000000-0006-0000-0900-000037000000}">
      <text>
        <r>
          <rPr>
            <b/>
            <sz val="9"/>
            <color indexed="81"/>
            <rFont val="Tahoma"/>
            <family val="2"/>
          </rPr>
          <t>Author:
clawback in this period. See s1206GF SSA1991.</t>
        </r>
      </text>
    </comment>
    <comment ref="N59" authorId="2" shapeId="0" xr:uid="{00000000-0006-0000-0900-000038000000}">
      <text>
        <r>
          <rPr>
            <b/>
            <sz val="9"/>
            <color indexed="81"/>
            <rFont val="Tahoma"/>
            <family val="2"/>
          </rPr>
          <t>Author:
clawback in this period. See s1206GF SSA1991.</t>
        </r>
      </text>
    </comment>
    <comment ref="O59" authorId="0" shapeId="0" xr:uid="{00000000-0006-0000-0900-000039000000}">
      <text>
        <r>
          <rPr>
            <b/>
            <sz val="9"/>
            <color indexed="81"/>
            <rFont val="Tahoma"/>
            <family val="2"/>
          </rPr>
          <t>Author:
Clean energy supplement initially set at 1.7 per cent of maximum pension rate.
See s20B of SSA1991.</t>
        </r>
      </text>
    </comment>
    <comment ref="H64" authorId="3" shapeId="0" xr:uid="{00000000-0006-0000-0900-00003A000000}">
      <text>
        <r>
          <rPr>
            <b/>
            <sz val="9"/>
            <color indexed="81"/>
            <rFont val="Tahoma"/>
            <family val="2"/>
          </rPr>
          <t>Author:
Cease indexation form 1 July 2014. Budget 2014-15</t>
        </r>
      </text>
    </comment>
    <comment ref="O64" authorId="3" shapeId="0" xr:uid="{00000000-0006-0000-0900-00003B000000}">
      <text>
        <r>
          <rPr>
            <b/>
            <sz val="9"/>
            <color indexed="81"/>
            <rFont val="Tahoma"/>
            <family val="2"/>
          </rPr>
          <t>Author:
Cease indexation form 1 July 2014. Budget 2014-15</t>
        </r>
      </text>
    </comment>
    <comment ref="H65" authorId="4" shapeId="0" xr:uid="{00000000-0006-0000-0900-00003C000000}">
      <text>
        <r>
          <rPr>
            <b/>
            <sz val="9"/>
            <color indexed="81"/>
            <rFont val="Tahoma"/>
            <family val="2"/>
          </rPr>
          <t>Author:
12/12/2014:
Indexation pause delayed due to delay in passing of legislation. Legislation now passed - Social Services and Other Legislation Amendment (2014 Budget Measures No. 6) Bill 2014.</t>
        </r>
      </text>
    </comment>
    <comment ref="O65" authorId="4" shapeId="0" xr:uid="{00000000-0006-0000-0900-00003D000000}">
      <text>
        <r>
          <rPr>
            <b/>
            <sz val="9"/>
            <color indexed="81"/>
            <rFont val="Tahoma"/>
            <family val="2"/>
          </rPr>
          <t>Author:
12/12/2014:
Indexation pause delayed due to delay in passing of legislation. Legislation now passed - Social Services and Other Legislation Amendment (2014 Budget Measures No. 6) Bill 2014.</t>
        </r>
      </text>
    </comment>
    <comment ref="V67" authorId="5" shapeId="0" xr:uid="{00000000-0006-0000-0900-00003E000000}">
      <text>
        <r>
          <rPr>
            <b/>
            <sz val="9"/>
            <color indexed="81"/>
            <rFont val="Tahoma"/>
            <family val="2"/>
          </rPr>
          <t>Author:
Up to date with DHS as at May 2015</t>
        </r>
      </text>
    </comment>
    <comment ref="W67" authorId="5" shapeId="0" xr:uid="{00000000-0006-0000-0900-00003F000000}">
      <text>
        <r>
          <rPr>
            <b/>
            <sz val="9"/>
            <color indexed="81"/>
            <rFont val="Tahoma"/>
            <family val="2"/>
          </rPr>
          <t>Author:
Up to date with DHS as at May 2015</t>
        </r>
      </text>
    </comment>
    <comment ref="AA74" authorId="6" shapeId="0" xr:uid="{00000000-0006-0000-0900-000040000000}">
      <text>
        <r>
          <rPr>
            <b/>
            <sz val="9"/>
            <color indexed="81"/>
            <rFont val="Tahoma"/>
            <family val="2"/>
          </rPr>
          <t xml:space="preserve">Author:
2015-16 Budget - BP2 pg169 - Social Security Assets Test - rebalance asset test thesholds and taper rate. 
Passed - see Social Services Legislation Amendment (Fair and Sustainable Pensions) Bill 2015
</t>
        </r>
      </text>
    </comment>
    <comment ref="AB74" authorId="6" shapeId="0" xr:uid="{00000000-0006-0000-0900-000041000000}">
      <text>
        <r>
          <rPr>
            <b/>
            <sz val="9"/>
            <color indexed="81"/>
            <rFont val="Tahoma"/>
            <family val="2"/>
          </rPr>
          <t xml:space="preserve">Author:
2015-16 Budget - BP2 pg169 - Social Security Assets Test - rebalance asset test thesholds and taper rate. 
Passed - see Social Services Legislation Amendment (Fair and Sustainable Pensions) Bill 2015
</t>
        </r>
      </text>
    </comment>
    <comment ref="AC74" authorId="6" shapeId="0" xr:uid="{00000000-0006-0000-0900-000042000000}">
      <text>
        <r>
          <rPr>
            <b/>
            <sz val="9"/>
            <color indexed="81"/>
            <rFont val="Tahoma"/>
            <family val="2"/>
          </rPr>
          <t xml:space="preserve">Author:
2015-16 Budget - BP2 pg169 - Social Security Assets Test - rebalance asset test thesholds and taper rate. 
Passed - see Social Services Legislation Amendment (Fair and Sustainable Pensions) Bill 2015
</t>
        </r>
      </text>
    </comment>
    <comment ref="AD74" authorId="6" shapeId="0" xr:uid="{00000000-0006-0000-0900-000043000000}">
      <text>
        <r>
          <rPr>
            <b/>
            <sz val="9"/>
            <color indexed="81"/>
            <rFont val="Tahoma"/>
            <family val="2"/>
          </rPr>
          <t xml:space="preserve">Author:
2015-16 Budget - BP2 pg169 - Social Security Assets Test - rebalance asset test thesholds and taper rate. 
Passed - see Social Services Legislation Amendment (Fair and Sustainable Pensions) Bill 2015
</t>
        </r>
      </text>
    </comment>
    <comment ref="AE74" authorId="6" shapeId="0" xr:uid="{00000000-0006-0000-0900-000044000000}">
      <text>
        <r>
          <rPr>
            <b/>
            <sz val="9"/>
            <color indexed="81"/>
            <rFont val="Tahoma"/>
            <family val="2"/>
          </rPr>
          <t xml:space="preserve">Author:
2015-16 Budget - BP2 pg169 - Social Security Assets Test - rebalance asset test thesholds and taper rate. 
Passed - see Social Services Legislation Amendment (Fair and Sustainable Pensions) Bill 2015
</t>
        </r>
      </text>
    </comment>
    <comment ref="H75" authorId="6" shapeId="0" xr:uid="{00000000-0006-0000-0900-000045000000}">
      <text>
        <r>
          <rPr>
            <b/>
            <sz val="9"/>
            <color indexed="81"/>
            <rFont val="Tahoma"/>
            <family val="2"/>
          </rPr>
          <t xml:space="preserve">Author:
One-off Energy Assistance Payment of $75 for singles and $62.50 for each member of a couple paid to recipients of the Age Pension; DSP; PPS. 
Paid on week of 26 June 2017. 
See 2017-18 Budget. </t>
        </r>
      </text>
    </comment>
    <comment ref="O75" authorId="6" shapeId="0" xr:uid="{00000000-0006-0000-0900-000046000000}">
      <text>
        <r>
          <rPr>
            <b/>
            <sz val="9"/>
            <color indexed="81"/>
            <rFont val="Tahoma"/>
            <family val="2"/>
          </rPr>
          <t xml:space="preserve">Author:
One-off Energy Assistance Payment of $75 for singles and $62.50 for each member of a couple paid to recipients of the Age Pension; DSP; PPS. 
Paid on week of 26 June 2017. 
See 2017-18 Budget. </t>
        </r>
      </text>
    </comment>
    <comment ref="C76" authorId="3" shapeId="0" xr:uid="{00000000-0006-0000-0900-000047000000}">
      <text>
        <r>
          <rPr>
            <b/>
            <sz val="9"/>
            <color indexed="81"/>
            <rFont val="Tahoma"/>
            <family val="2"/>
          </rPr>
          <t>Author:
2015-16 Budget reversed the 2014-15 Budget measure to index to CPI. Changed back to max of CPI, MAWTE and PBLCI. Assumed start in Sep index point.</t>
        </r>
      </text>
    </comment>
    <comment ref="J76" authorId="3" shapeId="0" xr:uid="{00000000-0006-0000-0900-000048000000}">
      <text>
        <r>
          <rPr>
            <b/>
            <sz val="9"/>
            <color indexed="81"/>
            <rFont val="Tahoma"/>
            <family val="2"/>
          </rPr>
          <t>Author:
2015-16 Budget reversed the 2014-15 Budget measure to index to CPI. Changed back to max of CPI, MAWTE and PBLCI. Assumed start in Sep index point.</t>
        </r>
      </text>
    </comment>
    <comment ref="Q76" authorId="3" shapeId="0" xr:uid="{00000000-0006-0000-0900-000049000000}">
      <text>
        <r>
          <rPr>
            <b/>
            <sz val="9"/>
            <color indexed="81"/>
            <rFont val="Tahoma"/>
            <family val="2"/>
          </rPr>
          <t>Author:
Reverse Budget 2014-15 measure to freeze indexation for 3 years from 1 July 2017. Budget 2015-16 BP2 p167.</t>
        </r>
      </text>
    </comment>
    <comment ref="S76" authorId="3" shapeId="0" xr:uid="{00000000-0006-0000-0900-00004A000000}">
      <text>
        <r>
          <rPr>
            <b/>
            <sz val="9"/>
            <color indexed="81"/>
            <rFont val="Tahoma"/>
            <family val="2"/>
          </rPr>
          <t>Author:
Reverse Budget 2014-15 measure to freeze indexation for 3 years from 1 July 2017. Budget 2015-16 BP2 p167.</t>
        </r>
      </text>
    </comment>
    <comment ref="H77" authorId="6" shapeId="0" xr:uid="{00000000-0006-0000-0900-00004B000000}">
      <text>
        <r>
          <rPr>
            <b/>
            <sz val="9"/>
            <color indexed="81"/>
            <rFont val="Tahoma"/>
            <family val="2"/>
          </rPr>
          <t xml:space="preserve">Author:
Removal of energy supplement with grandfathering for Income Support Payments (measure from 1617 Budget) to commence 20 Sep 2017 (slipped from 20 Sep 2016), however the grandfathering date remains at 20 Sep 2016. 
Advice provided by DSS. Changes made to CAPITA code. 
</t>
        </r>
      </text>
    </comment>
    <comment ref="O77" authorId="6" shapeId="0" xr:uid="{00000000-0006-0000-0900-00004C000000}">
      <text>
        <r>
          <rPr>
            <b/>
            <sz val="9"/>
            <color indexed="81"/>
            <rFont val="Tahoma"/>
            <family val="2"/>
          </rPr>
          <t xml:space="preserve">Author:
Removal of energy supplement with grandfathering for Income Support Payments (measure from 1617 Budget) to commence 20 Sep 2017 (slipped from 20 Sep 2016), however the grandfathering date remains at 20 Sep 2016. 
Advice provided by DSS. Changes made to CAPITA code. 
</t>
        </r>
      </text>
    </comment>
  </commentList>
</comments>
</file>

<file path=xl/comments11.xml><?xml version="1.0" encoding="utf-8"?>
<comments xmlns="http://schemas.openxmlformats.org/spreadsheetml/2006/main" xmlns:mc="http://schemas.openxmlformats.org/markup-compatibility/2006" xmlns:xr="http://schemas.microsoft.com/office/spreadsheetml/2014/revision" mc:Ignorable="xr">
  <authors>
    <author>Bott, Mark</author>
    <author>Trinh, Katarina</author>
    <author>Thompson, Alyse</author>
  </authors>
  <commentList>
    <comment ref="AG1" authorId="0" shapeId="0" xr:uid="{00000000-0006-0000-0A00-000001000000}">
      <text>
        <r>
          <rPr>
            <b/>
            <sz val="9"/>
            <color indexed="81"/>
            <rFont val="Tahoma"/>
            <family val="2"/>
          </rPr>
          <t>Author:
As specified in part 3.10, division 1AAA SSA1991, age pensioners have a concessional treatment of their earned income when calculating their ordinary income.</t>
        </r>
      </text>
    </comment>
    <comment ref="AI1" authorId="1" shapeId="0" xr:uid="{00000000-0006-0000-0A00-000002000000}">
      <text>
        <r>
          <rPr>
            <b/>
            <sz val="9"/>
            <color indexed="81"/>
            <rFont val="Tahoma"/>
            <family val="2"/>
          </rPr>
          <t>Author:
Note: increase to age 70 is not legislated - only to 67 os currently legistlated.</t>
        </r>
      </text>
    </comment>
    <comment ref="C3" authorId="0" shapeId="0" xr:uid="{00000000-0006-0000-0A00-000003000000}">
      <text>
        <r>
          <rPr>
            <b/>
            <sz val="9"/>
            <color indexed="81"/>
            <rFont val="Tahoma"/>
            <family val="2"/>
          </rPr>
          <t>Author:
Amount specified at table item 1, column 4 1064-B1 SSA 1991. 
Adjusted each March and September as per s1198A.
This is a fortnightly amount.</t>
        </r>
      </text>
    </comment>
    <comment ref="H3" authorId="0" shapeId="0" xr:uid="{00000000-0006-0000-0A00-000004000000}">
      <text>
        <r>
          <rPr>
            <b/>
            <sz val="9"/>
            <color indexed="81"/>
            <rFont val="Tahoma"/>
            <family val="2"/>
          </rPr>
          <t>Author:
Proportion of combined clean energy pension rate specified at table item 1, clause 1064-C3. This has been converted from annual to fortnightly
From 1 July 2014 rename Clean Energy Supplement to Energy Supplement.</t>
        </r>
      </text>
    </comment>
    <comment ref="I3" authorId="0" shapeId="0" xr:uid="{00000000-0006-0000-0A00-000005000000}">
      <text>
        <r>
          <rPr>
            <b/>
            <sz val="9"/>
            <color indexed="81"/>
            <rFont val="Tahoma"/>
            <family val="2"/>
          </rPr>
          <t>Author:
Sum of maximum basic rate and any supplementary amount.
This is the total amount of pension a single person can receive each fortnight.</t>
        </r>
      </text>
    </comment>
    <comment ref="J3" authorId="0" shapeId="0" xr:uid="{00000000-0006-0000-0A00-000006000000}">
      <text>
        <r>
          <rPr>
            <b/>
            <sz val="9"/>
            <color indexed="81"/>
            <rFont val="Tahoma"/>
            <family val="2"/>
          </rPr>
          <t>Author:
Amount specified at table item 2, column 4 1064-B1. 
Indexed by larger of CPI and PBLCI, must retain a certain proportion of MTAWE. See s1191,1195,1196.
This is a fortnightly amount.</t>
        </r>
      </text>
    </comment>
    <comment ref="O3" authorId="0" shapeId="0" xr:uid="{00000000-0006-0000-0A00-000007000000}">
      <text>
        <r>
          <rPr>
            <b/>
            <sz val="9"/>
            <color indexed="81"/>
            <rFont val="Tahoma"/>
            <family val="2"/>
          </rPr>
          <t>Author:
Proportion of combined clean energy pension rate specified at table item 2, clause 1064-C3. Converted from annual to fortnightly.
The clean energy pension rate is indexed each September and March by CPI, as per table in s1191.
This is a fortnightly amount.
From 1 July 2014 rename Clean Energy Supplement to Energy Supplement.</t>
        </r>
      </text>
    </comment>
    <comment ref="P3" authorId="0" shapeId="0" xr:uid="{00000000-0006-0000-0A00-000008000000}">
      <text>
        <r>
          <rPr>
            <b/>
            <sz val="9"/>
            <color indexed="81"/>
            <rFont val="Tahoma"/>
            <family val="2"/>
          </rPr>
          <t>Author:
Sum of maximum basic rate and any supplementary amount.
This is the maximum amount of pension a person who is a member of a couple can receivie each fortnight.</t>
        </r>
      </text>
    </comment>
    <comment ref="Q3" authorId="0" shapeId="0" xr:uid="{00000000-0006-0000-0A00-000009000000}">
      <text>
        <r>
          <rPr>
            <b/>
            <sz val="9"/>
            <color indexed="81"/>
            <rFont val="Tahoma"/>
            <family val="2"/>
          </rPr>
          <t>Author:
Once a person's fortnightly ordinary income exceeds this amount, their rate of pension begins to reduce.
Value at table item 1, column 4 clause 1064-E4  SSA 1991.
Indexed by CPI each June as per table in s1191.
This is a fortnightly amount.</t>
        </r>
      </text>
    </comment>
    <comment ref="S3" authorId="0" shapeId="0" xr:uid="{00000000-0006-0000-0A00-00000A000000}">
      <text>
        <r>
          <rPr>
            <b/>
            <sz val="9"/>
            <color indexed="81"/>
            <rFont val="Tahoma"/>
            <family val="2"/>
          </rPr>
          <t>Author:
Once a person's fortnightly ordinary income exceeds this amount, their rate of pension begins to reduce.
Value at table item 2, column 4 clause 1064-E4  SSA 1991.
Indexed by CPI each June as per table in s1191.
This is a fortnightly amount.</t>
        </r>
      </text>
    </comment>
    <comment ref="U3" authorId="0" shapeId="0" xr:uid="{00000000-0006-0000-0A00-00000B000000}">
      <text>
        <r>
          <rPr>
            <b/>
            <sz val="9"/>
            <color indexed="81"/>
            <rFont val="Tahoma"/>
            <family val="2"/>
          </rPr>
          <t>Author:
Number of cents pension is reduced by for each dollar of ordinary income above the threshold.
Factor specified at clause 1064-E10 in SSA1991.</t>
        </r>
      </text>
    </comment>
    <comment ref="V3" authorId="0" shapeId="0" xr:uid="{00000000-0006-0000-0A00-00000C000000}">
      <text>
        <r>
          <rPr>
            <b/>
            <sz val="9"/>
            <color indexed="81"/>
            <rFont val="Tahoma"/>
            <family val="2"/>
          </rPr>
          <t>Author:
For the definition of ordinary income used to means test income support payments, fincancial assets are deemed to earn a certain amount of income each year, regardless of how much income they actually do earn.</t>
        </r>
      </text>
    </comment>
    <comment ref="AA3" authorId="0" shapeId="0" xr:uid="{00000000-0006-0000-0A00-00000D000000}">
      <text>
        <r>
          <rPr>
            <b/>
            <sz val="9"/>
            <color indexed="81"/>
            <rFont val="Tahoma"/>
            <family val="2"/>
          </rPr>
          <t>Author:
Pensioners are allowed to have assets up to this value without any reduction in their pension rate. Note that owner occupied housing is not included in tested assets, and homeowners have a separate threshold to non-homeowners.</t>
        </r>
      </text>
    </comment>
    <comment ref="AE3" authorId="0" shapeId="0" xr:uid="{00000000-0006-0000-0A00-00000E000000}">
      <text>
        <r>
          <rPr>
            <b/>
            <sz val="9"/>
            <color indexed="81"/>
            <rFont val="Tahoma"/>
            <family val="2"/>
          </rPr>
          <t>Author:
For every dollar of assets above the threshold, the persons' fortnightly pension rate is reduced by this many dollars.
In clause 1064-G4 in SSA1991, this is the factor that the person's assets excess is multiplied by, converted to a fortnightly reduction rate.</t>
        </r>
      </text>
    </comment>
    <comment ref="AF3" authorId="0" shapeId="0" xr:uid="{00000000-0006-0000-0A00-00000F000000}">
      <text>
        <r>
          <rPr>
            <b/>
            <sz val="9"/>
            <color indexed="81"/>
            <rFont val="Tahoma"/>
            <family val="2"/>
          </rPr>
          <t>Author:
Assets in excess of a multiple of this amound are disregarded, as per clause 1064-G7 SSA1991.</t>
        </r>
      </text>
    </comment>
    <comment ref="D4" authorId="0" shapeId="0" xr:uid="{00000000-0006-0000-0A00-000010000000}">
      <text>
        <r>
          <rPr>
            <b/>
            <sz val="9"/>
            <color indexed="81"/>
            <rFont val="Tahoma"/>
            <family val="2"/>
          </rPr>
          <t>Author:
GST supplement, which became pension supplement remaining amount on 20th September 2009.
This is the fortnightly value of the amount specified in s20A(5) SSA1991.
This is a fortnightly amount.</t>
        </r>
      </text>
    </comment>
    <comment ref="E4" authorId="0" shapeId="0" xr:uid="{00000000-0006-0000-0A00-000011000000}">
      <text>
        <r>
          <rPr>
            <b/>
            <sz val="9"/>
            <color indexed="81"/>
            <rFont val="Tahoma"/>
            <family val="2"/>
          </rPr>
          <t>Author:
This is the balance of the total pension supplement after basic and minimum amounts are taken into account.
This is a fortnightly amount.</t>
        </r>
      </text>
    </comment>
    <comment ref="F4" authorId="0" shapeId="0" xr:uid="{00000000-0006-0000-0A00-000012000000}">
      <text>
        <r>
          <rPr>
            <b/>
            <sz val="9"/>
            <color indexed="81"/>
            <rFont val="Tahoma"/>
            <family val="2"/>
          </rPr>
          <t>Author:
This is the value at table item 1 s20A(4) SSA1991 converted to fortnightly.
Indexed each September and March by CPI as per table in s1191.
This is a fortnightly amount.</t>
        </r>
      </text>
    </comment>
    <comment ref="G4" authorId="0" shapeId="0" xr:uid="{00000000-0006-0000-0A00-000013000000}">
      <text>
        <r>
          <rPr>
            <b/>
            <sz val="9"/>
            <color indexed="81"/>
            <rFont val="Tahoma"/>
            <family val="2"/>
          </rPr>
          <t>Author:
Before September 2009 this is the GST supplement.
Post September 2009 this is the amount for single people specified at table item 1,  clause 1064-BA3 of SSA1991.
This is a fortnightly amount.</t>
        </r>
      </text>
    </comment>
    <comment ref="K4" authorId="0" shapeId="0" xr:uid="{00000000-0006-0000-0A00-000014000000}">
      <text>
        <r>
          <rPr>
            <b/>
            <sz val="9"/>
            <color indexed="81"/>
            <rFont val="Tahoma"/>
            <family val="2"/>
          </rPr>
          <t>Author:
GST supplement, which became pension supplement remaining amount on 20th September 2009.
This is the fortnightly value of the amount specified in s20A(5) SSA1991.</t>
        </r>
      </text>
    </comment>
    <comment ref="L4" authorId="0" shapeId="0" xr:uid="{00000000-0006-0000-0A00-000015000000}">
      <text>
        <r>
          <rPr>
            <b/>
            <sz val="9"/>
            <color indexed="81"/>
            <rFont val="Tahoma"/>
            <family val="2"/>
          </rPr>
          <t>Author:
This is the balance of the total pension supplement after basic and minimum amounts are taken into account.
This is a fortnightly amount.</t>
        </r>
      </text>
    </comment>
    <comment ref="M4" authorId="0" shapeId="0" xr:uid="{00000000-0006-0000-0A00-000016000000}">
      <text>
        <r>
          <rPr>
            <b/>
            <sz val="9"/>
            <color indexed="81"/>
            <rFont val="Tahoma"/>
            <family val="2"/>
          </rPr>
          <t>Author:
This is the value at table item 2 s20A(4) SSA1991 converted to fortnightly.
Indexed each September and March by CPI as per table in s1191.
This is a fortnightly amount.</t>
        </r>
      </text>
    </comment>
    <comment ref="N4" authorId="0" shapeId="0" xr:uid="{00000000-0006-0000-0A00-000017000000}">
      <text>
        <r>
          <rPr>
            <b/>
            <sz val="9"/>
            <color indexed="81"/>
            <rFont val="Tahoma"/>
            <family val="2"/>
          </rPr>
          <t>Author:
Before September 2009 this is the GST supplement.
Post September 2009 this is the amount for couples specified at table item 2,  clause 1064-BA3 of SSA1991.
This amount is indexed via indexation of combined PS rate as per table in s1191.
This is a fortnightly amount.</t>
        </r>
      </text>
    </comment>
    <comment ref="AG4" authorId="0" shapeId="0" xr:uid="{00000000-0006-0000-0A00-000018000000}">
      <text>
        <r>
          <rPr>
            <b/>
            <sz val="9"/>
            <color indexed="81"/>
            <rFont val="Tahoma"/>
            <family val="2"/>
          </rPr>
          <t>Author:
This amount is now the income concession amount for an installment period referenced in s1073AA(4C) of SSA1991.
Prior to 1st July 2011, the work bonus was 50% of the first $500 of employment income, rather than the first $250.
This is a fortnightly amount.</t>
        </r>
      </text>
    </comment>
    <comment ref="V5" authorId="0" shapeId="0" xr:uid="{00000000-0006-0000-0A00-000019000000}">
      <text>
        <r>
          <rPr>
            <b/>
            <sz val="9"/>
            <color indexed="81"/>
            <rFont val="Tahoma"/>
            <family val="2"/>
          </rPr>
          <t>Author
s1082 of SSA1991 specifies that the deeming rate is set by legislative instrument. Must be manually updated.
Numbers here are taken from the social security guide.</t>
        </r>
      </text>
    </comment>
    <comment ref="X5" authorId="0" shapeId="0" xr:uid="{00000000-0006-0000-0A00-00001A000000}">
      <text>
        <r>
          <rPr>
            <b/>
            <sz val="9"/>
            <color indexed="81"/>
            <rFont val="Tahoma"/>
            <family val="2"/>
          </rPr>
          <t xml:space="preserve">Author:
Thresholods Specified as per s1081 of SSA1991.
Indexed annually on 1st July, based on March quarter CPI, as per table items 35 and 36 of s1191.
</t>
        </r>
      </text>
    </comment>
    <comment ref="AA5" authorId="0" shapeId="0" xr:uid="{00000000-0006-0000-0A00-00001B000000}">
      <text>
        <r>
          <rPr>
            <b/>
            <sz val="9"/>
            <color indexed="81"/>
            <rFont val="Tahoma"/>
            <family val="2"/>
          </rPr>
          <t>Author:
This is the assets value limit specified in at item 1, column 3A table of 1064-G3 SSA 1991.
These values are indexed by CPI annually on 1 July as per s1191.</t>
        </r>
      </text>
    </comment>
    <comment ref="AB5" authorId="0" shapeId="0" xr:uid="{00000000-0006-0000-0A00-00001C000000}">
      <text>
        <r>
          <rPr>
            <b/>
            <sz val="9"/>
            <color indexed="81"/>
            <rFont val="Tahoma"/>
            <family val="2"/>
          </rPr>
          <t>Author:
This is the assets value limit specified in at item 1, column 3B table of 1064-G3 SSA 1991.
These values are are adjusted annually on 1 July as per s1203.</t>
        </r>
      </text>
    </comment>
    <comment ref="AC5" authorId="0" shapeId="0" xr:uid="{00000000-0006-0000-0A00-00001D000000}">
      <text>
        <r>
          <rPr>
            <b/>
            <sz val="9"/>
            <color indexed="81"/>
            <rFont val="Tahoma"/>
            <family val="2"/>
          </rPr>
          <t>Author:
This is twice the assets value limit specified in at item 2, column 3A table of 1064-G3 SSA 1991. (Assets across the couple, rather than for each partner.)
These values are indexed by CPI annually on 1 July as per s1191.</t>
        </r>
      </text>
    </comment>
    <comment ref="AD5" authorId="0" shapeId="0" xr:uid="{00000000-0006-0000-0A00-00001E000000}">
      <text>
        <r>
          <rPr>
            <b/>
            <sz val="9"/>
            <color indexed="81"/>
            <rFont val="Tahoma"/>
            <family val="2"/>
          </rPr>
          <t>Author:
This is twice the assets value limit specified in at item 2, column 3B table of 1064-G3 SSA 1991. (Assets across the couple, rather than for each partner.)
These values are indexed by CPI annually on 1 July as per s1191.</t>
        </r>
      </text>
    </comment>
    <comment ref="AI6" authorId="2" shapeId="0" xr:uid="{00000000-0006-0000-0A00-00001F000000}">
      <text>
        <r>
          <rPr>
            <b/>
            <sz val="9"/>
            <color indexed="81"/>
            <rFont val="Tahoma"/>
            <family val="2"/>
          </rPr>
          <t xml:space="preserve">Author:
For pension age see
Social Security Act 1991 
subsections 23(5A). </t>
        </r>
      </text>
    </comment>
    <comment ref="AJ6" authorId="2" shapeId="0" xr:uid="{00000000-0006-0000-0A00-000020000000}">
      <text>
        <r>
          <rPr>
            <b/>
            <sz val="9"/>
            <color indexed="81"/>
            <rFont val="Tahoma"/>
            <family val="2"/>
          </rPr>
          <t xml:space="preserve">Author:
For pension age see
Social Security Act 1991 
subsections 23(5B), 23(5C) and 23(5D). </t>
        </r>
      </text>
    </comment>
  </commentList>
</comments>
</file>

<file path=xl/comments12.xml><?xml version="1.0" encoding="utf-8"?>
<comments xmlns="http://schemas.openxmlformats.org/spreadsheetml/2006/main" xmlns:mc="http://schemas.openxmlformats.org/markup-compatibility/2006" xmlns:xr="http://schemas.microsoft.com/office/spreadsheetml/2014/revision" mc:Ignorable="xr">
  <authors>
    <author>Bott, Mark</author>
  </authors>
  <commentList>
    <comment ref="C2" authorId="0" shapeId="0" xr:uid="{00000000-0006-0000-0B00-000001000000}">
      <text>
        <r>
          <rPr>
            <b/>
            <sz val="9"/>
            <color indexed="81"/>
            <rFont val="Tahoma"/>
            <family val="2"/>
          </rPr>
          <t xml:space="preserve">Author:
Fortnightly rate of carer allowance as specified in s974 (2) SSA1991.
Indexed by CPI on 1 January each year as per table in s1191. </t>
        </r>
      </text>
    </comment>
    <comment ref="D2" authorId="0" shapeId="0" xr:uid="{00000000-0006-0000-0B00-000002000000}">
      <text>
        <r>
          <rPr>
            <b/>
            <sz val="9"/>
            <color indexed="81"/>
            <rFont val="Tahoma"/>
            <family val="2"/>
          </rPr>
          <t>Author:
This is the annual rate of supplement specified in the table in s992X (2) SSA1991.
Note a single person can receive multiple supplements.</t>
        </r>
      </text>
    </comment>
    <comment ref="C14" authorId="0" shapeId="0" xr:uid="{00000000-0006-0000-0B00-000003000000}">
      <text>
        <r>
          <rPr>
            <b/>
            <sz val="9"/>
            <color indexed="81"/>
            <rFont val="Tahoma"/>
            <family val="2"/>
          </rPr>
          <t>Author:
Needed to hard code. Some kind of clawback must have been applied here.</t>
        </r>
      </text>
    </comment>
  </commentList>
</comments>
</file>

<file path=xl/comments13.xml><?xml version="1.0" encoding="utf-8"?>
<comments xmlns="http://schemas.openxmlformats.org/spreadsheetml/2006/main" xmlns:mc="http://schemas.openxmlformats.org/markup-compatibility/2006" xmlns:xr="http://schemas.microsoft.com/office/spreadsheetml/2014/revision" mc:Ignorable="xr">
  <authors>
    <author>Bott, Mark</author>
  </authors>
  <commentList>
    <comment ref="C2" authorId="0" shapeId="0" xr:uid="{00000000-0006-0000-0C00-000001000000}">
      <text>
        <r>
          <rPr>
            <b/>
            <sz val="9"/>
            <color indexed="81"/>
            <rFont val="Tahoma"/>
            <family val="2"/>
          </rPr>
          <t xml:space="preserve">Author:
Fortnightly rate of carer allowance as specified in s974 (2) SSA1991.
Indexed by CPI on 1 January each year as per table in s1191. </t>
        </r>
      </text>
    </comment>
    <comment ref="D2" authorId="0" shapeId="0" xr:uid="{00000000-0006-0000-0C00-000002000000}">
      <text>
        <r>
          <rPr>
            <b/>
            <sz val="9"/>
            <color indexed="81"/>
            <rFont val="Tahoma"/>
            <family val="2"/>
          </rPr>
          <t>Author:
This is the annual rate of supplement specified in the table in s992X (2) SSA1991.
Note a single person can receive multiple supplements.</t>
        </r>
      </text>
    </comment>
  </commentList>
</comments>
</file>

<file path=xl/comments14.xml><?xml version="1.0" encoding="utf-8"?>
<comments xmlns="http://schemas.openxmlformats.org/spreadsheetml/2006/main" xmlns:mc="http://schemas.openxmlformats.org/markup-compatibility/2006" xmlns:xr="http://schemas.microsoft.com/office/spreadsheetml/2014/revision" mc:Ignorable="xr">
  <authors>
    <author>Bott, Mark</author>
    <author>Li, Taike</author>
    <author>Thompson, Alyse</author>
    <author>Bullen, Jared</author>
    <author>O'Shea, Mark</author>
    <author>McAndrew, Krispin</author>
    <author>Ledda, Daniel</author>
  </authors>
  <commentList>
    <comment ref="G1" authorId="0" shapeId="0" xr:uid="{00000000-0006-0000-0D00-000001000000}">
      <text>
        <r>
          <rPr>
            <b/>
            <sz val="9"/>
            <color indexed="81"/>
            <rFont val="Tahoma"/>
            <family val="2"/>
          </rPr>
          <t>Author:
Assets value limits for parenting payment are equivalent to those for pensioners.</t>
        </r>
      </text>
    </comment>
    <comment ref="L1" authorId="1" shapeId="0" xr:uid="{00000000-0006-0000-0D00-000002000000}">
      <text>
        <r>
          <rPr>
            <b/>
            <sz val="9"/>
            <color indexed="81"/>
            <rFont val="Tahoma"/>
            <family val="2"/>
          </rPr>
          <t>Author:
PP child is defined by 500D of the SSA 1991.</t>
        </r>
      </text>
    </comment>
    <comment ref="F2" authorId="0" shapeId="0" xr:uid="{00000000-0006-0000-0D00-000003000000}">
      <text>
        <r>
          <rPr>
            <b/>
            <sz val="9"/>
            <color indexed="81"/>
            <rFont val="Tahoma"/>
            <family val="2"/>
          </rPr>
          <t>Author:
Sum of three columns to the left.
This is a fortnightly amount.</t>
        </r>
      </text>
    </comment>
    <comment ref="J2" authorId="0" shapeId="0" xr:uid="{00000000-0006-0000-0D00-000004000000}">
      <text>
        <r>
          <rPr>
            <b/>
            <sz val="9"/>
            <color indexed="81"/>
            <rFont val="Tahoma"/>
            <family val="2"/>
          </rPr>
          <t>Author:
PPS is not payable if assets value exceed this thresholds.
These are identical to the pension values.</t>
        </r>
      </text>
    </comment>
    <comment ref="C3" authorId="0" shapeId="0" xr:uid="{00000000-0006-0000-0D00-000005000000}">
      <text>
        <r>
          <rPr>
            <b/>
            <sz val="9"/>
            <color indexed="81"/>
            <rFont val="Tahoma"/>
            <family val="2"/>
          </rPr>
          <t>Author:
MBR as per clause 1068-B1, converted to fortnightly.
Indexed each September and March to CPI as per table in s1191, and benchmarked at 25 per cent of MTAWE.</t>
        </r>
      </text>
    </comment>
    <comment ref="D3" authorId="0" shapeId="0" xr:uid="{00000000-0006-0000-0D00-000006000000}">
      <text>
        <r>
          <rPr>
            <b/>
            <sz val="9"/>
            <color indexed="81"/>
            <rFont val="Tahoma"/>
            <family val="2"/>
          </rPr>
          <t>Author:
As per clause 1068-B5 SSA 1991, this amount is simply equal to the pension supplement basic amount.
Note as per clause 1068-B3 people over age pension age receive a full Harmer pension supplement.
This is a fortnightly amount.</t>
        </r>
      </text>
    </comment>
    <comment ref="E3" authorId="0" shapeId="0" xr:uid="{00000000-0006-0000-0D00-000007000000}">
      <text>
        <r>
          <rPr>
            <b/>
            <sz val="9"/>
            <color indexed="81"/>
            <rFont val="Tahoma"/>
            <family val="2"/>
          </rPr>
          <t>Author:
Calculated as per section 1068A, Module BB, SSA 1991.
Indexed as per CEUPA rate 1 in table in section 1191.
This is a fortnightly amount.
From 1 July 2014 rename Clean Energy Supplement to Energy Supplement.</t>
        </r>
      </text>
    </comment>
    <comment ref="G3" authorId="0" shapeId="0" xr:uid="{00000000-0006-0000-0D00-000008000000}">
      <text>
        <r>
          <rPr>
            <b/>
            <sz val="9"/>
            <color indexed="81"/>
            <rFont val="Tahoma"/>
            <family val="2"/>
          </rPr>
          <t>Author:
This is the amount in column 3 of the Table E of s1068A SSA1991.
Indexed each July by CPI as per table in s1191.
This is a fortnightly amount.</t>
        </r>
      </text>
    </comment>
    <comment ref="H3" authorId="0" shapeId="0" xr:uid="{00000000-0006-0000-0D00-000009000000}">
      <text>
        <r>
          <rPr>
            <b/>
            <sz val="9"/>
            <color indexed="81"/>
            <rFont val="Tahoma"/>
            <family val="2"/>
          </rPr>
          <t>Author:
This is the amount in column 5 of table E in s1068A SSA1991.
Not indexed.
This is a fortnightly amount.
Added to the base income test free area for each child, including the first child, to give the total income test free area.</t>
        </r>
      </text>
    </comment>
    <comment ref="I3" authorId="0" shapeId="0" xr:uid="{00000000-0006-0000-0D00-00000A000000}">
      <text>
        <r>
          <rPr>
            <b/>
            <sz val="9"/>
            <color indexed="81"/>
            <rFont val="Tahoma"/>
            <family val="2"/>
          </rPr>
          <t>Author:
This is the factor used to calculate reduction ofr ordinary income at clause 1068-E20 SSA1991.</t>
        </r>
      </text>
    </comment>
    <comment ref="J4" authorId="2" shapeId="0" xr:uid="{00000000-0006-0000-0D00-00000B000000}">
      <text>
        <r>
          <rPr>
            <b/>
            <sz val="9"/>
            <color indexed="81"/>
            <rFont val="Tahoma"/>
            <family val="2"/>
          </rPr>
          <t>Author:
This is twice the assets value limit specified in at item 2, column 3A table of 1064-G3 SSA 1991. (Assets across the couple, rather than for each partner.)
These values are indexed by CPI annually on 1 July as per s1191.</t>
        </r>
      </text>
    </comment>
    <comment ref="K4" authorId="2" shapeId="0" xr:uid="{00000000-0006-0000-0D00-00000C000000}">
      <text>
        <r>
          <rPr>
            <b/>
            <sz val="9"/>
            <color indexed="81"/>
            <rFont val="Tahoma"/>
            <family val="2"/>
          </rPr>
          <t>Author:
This is twice the assets value limit specified in at item 2, column 3B table of 1064-G3 SSA 1991. (Assets across the couple, rather than for each partner.)
These values are indexed by CPI annually on 1 July as per s1191.</t>
        </r>
      </text>
    </comment>
    <comment ref="C8" authorId="0" shapeId="0" xr:uid="{00000000-0006-0000-0D00-00000D000000}">
      <text>
        <r>
          <rPr>
            <b/>
            <sz val="9"/>
            <color indexed="81"/>
            <rFont val="Tahoma"/>
            <family val="2"/>
          </rPr>
          <t xml:space="preserve">Author:
Prior to introduction of Harmer Pension, Sole Parent Pension/PPS had the same MBR, supplement and income test as Aged/Cared/Disability Pensions.
</t>
        </r>
      </text>
    </comment>
    <comment ref="D8" authorId="0" shapeId="0" xr:uid="{00000000-0006-0000-0D00-00000E000000}">
      <text>
        <r>
          <rPr>
            <b/>
            <sz val="9"/>
            <color indexed="81"/>
            <rFont val="Tahoma"/>
            <family val="2"/>
          </rPr>
          <t xml:space="preserve">Author:
Prior to introduction of Harmer Pension, Sole Parent Pension/PPS had the same MBR, supplement and income test as Aged/Cared/Disability Pensions.
</t>
        </r>
      </text>
    </comment>
    <comment ref="G8" authorId="0" shapeId="0" xr:uid="{00000000-0006-0000-0D00-00000F000000}">
      <text>
        <r>
          <rPr>
            <b/>
            <sz val="9"/>
            <color indexed="81"/>
            <rFont val="Tahoma"/>
            <family val="2"/>
          </rPr>
          <t xml:space="preserve">Author:
Prior to introduction of Harmer Pension, Sole Parent Pension/PPS had the same MBR, supplement and income test as Aged/Cared/Disability Pensions.
</t>
        </r>
      </text>
    </comment>
    <comment ref="H8" authorId="0" shapeId="0" xr:uid="{00000000-0006-0000-0D00-000010000000}">
      <text>
        <r>
          <rPr>
            <b/>
            <sz val="9"/>
            <color indexed="81"/>
            <rFont val="Tahoma"/>
            <family val="2"/>
          </rPr>
          <t xml:space="preserve">Author:
Prior to introduction of Harmer Pension, Sole Parent Pension/PPS had the same MBR, supplement and income test as Aged/Cared/Disability Pensions.
</t>
        </r>
      </text>
    </comment>
    <comment ref="I8" authorId="0" shapeId="0" xr:uid="{00000000-0006-0000-0D00-000011000000}">
      <text>
        <r>
          <rPr>
            <b/>
            <sz val="9"/>
            <color indexed="81"/>
            <rFont val="Tahoma"/>
            <family val="2"/>
          </rPr>
          <t xml:space="preserve">Author:
Prior to introduction of Harmer Pension, Sole Parent Pension/PPS had the same MBR, supplement and income test as Aged/Cared/Disability Pensions.
</t>
        </r>
      </text>
    </comment>
    <comment ref="C45" authorId="0" shapeId="0" xr:uid="{00000000-0006-0000-0D00-000012000000}">
      <text>
        <r>
          <rPr>
            <b/>
            <sz val="9"/>
            <color indexed="81"/>
            <rFont val="Tahoma"/>
            <family val="2"/>
          </rPr>
          <t>Author:
Post 20 September 2009, PPS remained subject to the old pension arrangements.</t>
        </r>
      </text>
    </comment>
    <comment ref="G45" authorId="0" shapeId="0" xr:uid="{00000000-0006-0000-0D00-000013000000}">
      <text>
        <r>
          <rPr>
            <b/>
            <sz val="9"/>
            <color indexed="81"/>
            <rFont val="Tahoma"/>
            <family val="2"/>
          </rPr>
          <t>Author:
Post 20 September 2009, PPS remained subject to the old pension arrangements.</t>
        </r>
      </text>
    </comment>
    <comment ref="H45" authorId="0" shapeId="0" xr:uid="{00000000-0006-0000-0D00-000014000000}">
      <text>
        <r>
          <rPr>
            <b/>
            <sz val="9"/>
            <color indexed="81"/>
            <rFont val="Tahoma"/>
            <family val="2"/>
          </rPr>
          <t>Author:
Post 20 September 2009, PPS remained subject to the old pension arrangements.</t>
        </r>
      </text>
    </comment>
    <comment ref="I45" authorId="0" shapeId="0" xr:uid="{00000000-0006-0000-0D00-000015000000}">
      <text>
        <r>
          <rPr>
            <b/>
            <sz val="9"/>
            <color indexed="81"/>
            <rFont val="Tahoma"/>
            <family val="2"/>
          </rPr>
          <t>Author:
Post 20 September 2009, PPS remained subject to the old pension arrangements.</t>
        </r>
      </text>
    </comment>
    <comment ref="C59" authorId="3" shapeId="0" xr:uid="{00000000-0006-0000-0D00-000016000000}">
      <text>
        <r>
          <rPr>
            <b/>
            <sz val="9"/>
            <color indexed="81"/>
            <rFont val="Tahoma"/>
            <family val="2"/>
          </rPr>
          <t>Author:
clawback in this period</t>
        </r>
      </text>
    </comment>
    <comment ref="E64" authorId="1" shapeId="0" xr:uid="{00000000-0006-0000-0D00-000017000000}">
      <text>
        <r>
          <rPr>
            <b/>
            <sz val="9"/>
            <color indexed="81"/>
            <rFont val="Tahoma"/>
            <family val="2"/>
          </rPr>
          <t>Author:
Cease indexation form 1 July 2014. Budget 2014-15</t>
        </r>
      </text>
    </comment>
    <comment ref="E65" authorId="4" shapeId="0" xr:uid="{00000000-0006-0000-0D00-000018000000}">
      <text>
        <r>
          <rPr>
            <b/>
            <sz val="9"/>
            <color indexed="81"/>
            <rFont val="Tahoma"/>
            <family val="2"/>
          </rPr>
          <t>Author:
12/12/2014:
Indexation pause delayed due to delay in passing of legislation. Legislation now passed - Social Services and Other Legislation Amendment (2014 Budget Measures No. 6) Bill 2014.</t>
        </r>
      </text>
    </comment>
    <comment ref="C68" authorId="1" shapeId="0" xr:uid="{00000000-0006-0000-0D00-000019000000}">
      <text>
        <r>
          <rPr>
            <b/>
            <sz val="9"/>
            <color indexed="81"/>
            <rFont val="Tahoma"/>
            <family val="2"/>
          </rPr>
          <t>Author:
2015-16 Budget reversed the 2014-15 Budget measure to index to CPI. Changed back to max of CPI, MAWTE and PBLCI. Assumed start in Sep index point.</t>
        </r>
      </text>
    </comment>
    <comment ref="G68" authorId="1" shapeId="0" xr:uid="{00000000-0006-0000-0D00-00001A000000}">
      <text>
        <r>
          <rPr>
            <b/>
            <sz val="9"/>
            <color indexed="81"/>
            <rFont val="Tahoma"/>
            <family val="2"/>
          </rPr>
          <t>Author:
Pause indexation from 1 July 2015 for 2 years. Budget 2014-15
Author 14Jul15:
Legislation not passed so indexation has been applied and freeze delayed/extended by 1 year.</t>
        </r>
      </text>
    </comment>
    <comment ref="J68" authorId="1" shapeId="0" xr:uid="{00000000-0006-0000-0D00-00001B000000}">
      <text>
        <r>
          <rPr>
            <b/>
            <sz val="9"/>
            <color indexed="81"/>
            <rFont val="Tahoma"/>
            <family val="2"/>
          </rPr>
          <t>Author:
Pause indexation from 1 July 2015 for 2 years.  Budget 2014-15.
Remove linking of assets test to pensions due to divergence in indexation rule between pensions and non-pensions. Link non-home owner to benefits.</t>
        </r>
      </text>
    </comment>
    <comment ref="K68" authorId="1" shapeId="0" xr:uid="{00000000-0006-0000-0D00-00001C000000}">
      <text>
        <r>
          <rPr>
            <b/>
            <sz val="9"/>
            <color indexed="81"/>
            <rFont val="Tahoma"/>
            <family val="2"/>
          </rPr>
          <t>Author:
Pause indexation from 1 July 2015 for 2 years.  Budget 2014-15.
Remove linking of assets test to pensions due to divergence in indexation rule between pensions and non-pensions. Link non-home owner to benefits.</t>
        </r>
      </text>
    </comment>
    <comment ref="G72" authorId="5" shapeId="0" xr:uid="{00000000-0006-0000-0D00-00001D000000}">
      <text>
        <r>
          <rPr>
            <b/>
            <sz val="9"/>
            <color indexed="81"/>
            <rFont val="Tahoma"/>
            <family val="2"/>
          </rPr>
          <t xml:space="preserve">Author:
Paused from 1 July 2017 (slipped from 1 July 2016) due to legislation not passing. Indexation to resume on 1 July 2020.  </t>
        </r>
      </text>
    </comment>
    <comment ref="J74" authorId="6" shapeId="0" xr:uid="{00000000-0006-0000-0D00-00001E000000}">
      <text>
        <r>
          <rPr>
            <b/>
            <sz val="9"/>
            <color indexed="81"/>
            <rFont val="Tahoma"/>
            <family val="2"/>
          </rPr>
          <t>Author:
Asset value limits of allowances increased to align with pension asset tests: 30 June 2015, ‘Social Services Legislation Amendment (Fair and Sustainable Pensions) Bill 2015’ reached Royal Assent</t>
        </r>
      </text>
    </comment>
    <comment ref="K74" authorId="6" shapeId="0" xr:uid="{00000000-0006-0000-0D00-00001F000000}">
      <text>
        <r>
          <rPr>
            <b/>
            <sz val="9"/>
            <color indexed="81"/>
            <rFont val="Tahoma"/>
            <family val="2"/>
          </rPr>
          <t>Author:
Asset value limits of allowances increased to align with pension asset tests: 30 June 2015, ‘Social Services Legislation Amendment (Fair and Sustainable Pensions) Bill 2015’ reached Royal Assent</t>
        </r>
      </text>
    </comment>
    <comment ref="E75" authorId="6" shapeId="0" xr:uid="{00000000-0006-0000-0D00-000020000000}">
      <text>
        <r>
          <rPr>
            <b/>
            <sz val="9"/>
            <color indexed="81"/>
            <rFont val="Tahoma"/>
            <family val="2"/>
          </rPr>
          <t xml:space="preserve">Author:
One-off Energy Assistance Payment of $75 for singles and $62.50 for each member of a couple paid to recipients of the Age Pension; DSP; PPS. 
Paid on week of 26 June 2017. 
See 2017-18 Budget. </t>
        </r>
      </text>
    </comment>
    <comment ref="G76" authorId="6" shapeId="0" xr:uid="{00000000-0006-0000-0D00-000021000000}">
      <text>
        <r>
          <rPr>
            <b/>
            <sz val="9"/>
            <color indexed="81"/>
            <rFont val="Tahoma"/>
            <family val="2"/>
          </rPr>
          <t>Author:
Indexation to resume on 1 July 2020. See comments above. 
Author: 
Policy to pause income threshold received royal assent on 12 April 2017 - see Social Services Legislation Amendment Bill 2017.</t>
        </r>
      </text>
    </comment>
    <comment ref="E77" authorId="6" shapeId="0" xr:uid="{00000000-0006-0000-0D00-000022000000}">
      <text>
        <r>
          <rPr>
            <b/>
            <sz val="9"/>
            <color indexed="81"/>
            <rFont val="Tahoma"/>
            <family val="2"/>
          </rPr>
          <t xml:space="preserve">Author:
Removal of energy supplement with grandfathering for Income Support Payments (measure from 1617 Budget) to commence 20 Sep 2017 (slipped from 20 Sep 2016), however the grandfathering date remains at 20 Sep 2016. 
Advice provided by DSS. Changes made to CAPITA code. 
</t>
        </r>
      </text>
    </comment>
    <comment ref="G88" authorId="6" shapeId="0" xr:uid="{00000000-0006-0000-0D00-000023000000}">
      <text>
        <r>
          <rPr>
            <b/>
            <sz val="9"/>
            <color indexed="81"/>
            <rFont val="Tahoma"/>
            <family val="2"/>
          </rPr>
          <t xml:space="preserve">Author:
Indexation resumes 1 July 2020. </t>
        </r>
      </text>
    </comment>
  </commentList>
</comments>
</file>

<file path=xl/comments15.xml><?xml version="1.0" encoding="utf-8"?>
<comments xmlns="http://schemas.openxmlformats.org/spreadsheetml/2006/main" xmlns:mc="http://schemas.openxmlformats.org/markup-compatibility/2006" xmlns:xr="http://schemas.microsoft.com/office/spreadsheetml/2014/revision" mc:Ignorable="xr">
  <authors>
    <author>Bott, Mark</author>
    <author>Li, Taike</author>
    <author>Thompson, Alyse</author>
  </authors>
  <commentList>
    <comment ref="G1" authorId="0" shapeId="0" xr:uid="{00000000-0006-0000-0E00-000001000000}">
      <text>
        <r>
          <rPr>
            <b/>
            <sz val="9"/>
            <color indexed="81"/>
            <rFont val="Tahoma"/>
            <family val="2"/>
          </rPr>
          <t>Author:
Assets value limits for parenting payment are equivalent to those for pensioners.</t>
        </r>
      </text>
    </comment>
    <comment ref="L1" authorId="1" shapeId="0" xr:uid="{00000000-0006-0000-0E00-000002000000}">
      <text>
        <r>
          <rPr>
            <b/>
            <sz val="9"/>
            <color indexed="81"/>
            <rFont val="Tahoma"/>
            <family val="2"/>
          </rPr>
          <t>Author:
PP child is defined by 500D of the SSA 1991.</t>
        </r>
      </text>
    </comment>
    <comment ref="F2" authorId="0" shapeId="0" xr:uid="{00000000-0006-0000-0E00-000003000000}">
      <text>
        <r>
          <rPr>
            <b/>
            <sz val="9"/>
            <color indexed="81"/>
            <rFont val="Tahoma"/>
            <family val="2"/>
          </rPr>
          <t>Author:
Sum of three columns to the left.
This is a fortnightly amount.</t>
        </r>
      </text>
    </comment>
    <comment ref="J2" authorId="0" shapeId="0" xr:uid="{00000000-0006-0000-0E00-000004000000}">
      <text>
        <r>
          <rPr>
            <b/>
            <sz val="9"/>
            <color indexed="81"/>
            <rFont val="Tahoma"/>
            <family val="2"/>
          </rPr>
          <t>Author:
PPS is not payable if assets value exceed this thresholds.
These are identical to the pension values.</t>
        </r>
      </text>
    </comment>
    <comment ref="C3" authorId="0" shapeId="0" xr:uid="{00000000-0006-0000-0E00-000005000000}">
      <text>
        <r>
          <rPr>
            <b/>
            <sz val="9"/>
            <color indexed="81"/>
            <rFont val="Tahoma"/>
            <family val="2"/>
          </rPr>
          <t>Author:
MBR as per clause 1068-B1, converted to fortnightly.
Indexed each September and March to CPI as per table in s1191, and benchmarked at 25 per cent of MTAWE.</t>
        </r>
      </text>
    </comment>
    <comment ref="D3" authorId="0" shapeId="0" xr:uid="{00000000-0006-0000-0E00-000006000000}">
      <text>
        <r>
          <rPr>
            <b/>
            <sz val="9"/>
            <color indexed="81"/>
            <rFont val="Tahoma"/>
            <family val="2"/>
          </rPr>
          <t>Author:
As per clause 1068-B5 SSA 1991, this amount is simply equal to the pension supplement basic amount.
Note as per clause 1068-B3 people over age pension age receive a full Harmer pension supplement.
This is a fortnightly amount.</t>
        </r>
      </text>
    </comment>
    <comment ref="E3" authorId="0" shapeId="0" xr:uid="{00000000-0006-0000-0E00-000007000000}">
      <text>
        <r>
          <rPr>
            <b/>
            <sz val="9"/>
            <color indexed="81"/>
            <rFont val="Tahoma"/>
            <family val="2"/>
          </rPr>
          <t>Author:
Calculated as per section 1068A, Module BB, SSA 1991.
Indexed as per CEUPA rate 1 in table in section 1191.
This is a fortnightly amount.
From 1 July 2014 rename Clean Energy Supplement to Energy Supplement.</t>
        </r>
      </text>
    </comment>
    <comment ref="G3" authorId="0" shapeId="0" xr:uid="{00000000-0006-0000-0E00-000008000000}">
      <text>
        <r>
          <rPr>
            <b/>
            <sz val="9"/>
            <color indexed="81"/>
            <rFont val="Tahoma"/>
            <family val="2"/>
          </rPr>
          <t>Author:
This is the amount in column 3 of the Table E of s1068A SSA1991.
Indexed each July by CPI as per table in s1191.
This is a fortnightly amount.</t>
        </r>
      </text>
    </comment>
    <comment ref="H3" authorId="0" shapeId="0" xr:uid="{00000000-0006-0000-0E00-000009000000}">
      <text>
        <r>
          <rPr>
            <b/>
            <sz val="9"/>
            <color indexed="81"/>
            <rFont val="Tahoma"/>
            <family val="2"/>
          </rPr>
          <t>Author:
This is the amount in column 5 of table E in s1068A SSA1991.
Not indexed.
This is a fortnightly amount.
Added to the base income test free area for each child, including the first child, to give the total income test free area.</t>
        </r>
      </text>
    </comment>
    <comment ref="I3" authorId="0" shapeId="0" xr:uid="{00000000-0006-0000-0E00-00000A000000}">
      <text>
        <r>
          <rPr>
            <b/>
            <sz val="9"/>
            <color indexed="81"/>
            <rFont val="Tahoma"/>
            <family val="2"/>
          </rPr>
          <t>Author:
This is the factor used to calculate reduction ofr ordinary income at clause 1068-E20 SSA1991.</t>
        </r>
      </text>
    </comment>
    <comment ref="J4" authorId="2" shapeId="0" xr:uid="{00000000-0006-0000-0E00-00000B000000}">
      <text>
        <r>
          <rPr>
            <b/>
            <sz val="9"/>
            <color indexed="81"/>
            <rFont val="Tahoma"/>
            <family val="2"/>
          </rPr>
          <t>Author:
This is twice the assets value limit specified in at item 2, column 3A table of 1064-G3 SSA 1991. (Assets across the couple, rather than for each partner.)
These values are indexed by CPI annually on 1 July as per s1191.</t>
        </r>
      </text>
    </comment>
    <comment ref="K4" authorId="2" shapeId="0" xr:uid="{00000000-0006-0000-0E00-00000C000000}">
      <text>
        <r>
          <rPr>
            <b/>
            <sz val="9"/>
            <color indexed="81"/>
            <rFont val="Tahoma"/>
            <family val="2"/>
          </rPr>
          <t>Author:
This is twice the assets value limit specified in at item 2, column 3B table of 1064-G3 SSA 1991. (Assets across the couple, rather than for each partner.)
These values are indexed by CPI annually on 1 July as per s1191.</t>
        </r>
      </text>
    </comment>
  </commentList>
</comments>
</file>

<file path=xl/comments16.xml><?xml version="1.0" encoding="utf-8"?>
<comments xmlns="http://schemas.openxmlformats.org/spreadsheetml/2006/main" xmlns:mc="http://schemas.openxmlformats.org/markup-compatibility/2006" xmlns:xr="http://schemas.microsoft.com/office/spreadsheetml/2014/revision" mc:Ignorable="xr">
  <authors>
    <author>Bott, Mark</author>
    <author>Li, Taike</author>
    <author>Ledda, Daniel</author>
    <author>Pineda, Virginia</author>
  </authors>
  <commentList>
    <comment ref="C2" authorId="0" shapeId="0" xr:uid="{00000000-0006-0000-0F00-000001000000}">
      <text>
        <r>
          <rPr>
            <b/>
            <sz val="9"/>
            <color indexed="81"/>
            <rFont val="Tahoma"/>
            <family val="2"/>
          </rPr>
          <t>Author:
Amount clause 1066A-C1 of s1066A SSA1991.
As per s1198C, this is set equal to the carer allowance rate.
This is a fortnightly amount.</t>
        </r>
      </text>
    </comment>
    <comment ref="N4" authorId="0" shapeId="0" xr:uid="{00000000-0006-0000-0F00-000002000000}">
      <text>
        <r>
          <rPr>
            <b/>
            <sz val="9"/>
            <color indexed="81"/>
            <rFont val="Tahoma"/>
            <family val="2"/>
          </rPr>
          <t>Author:
Amounts in table F-1 s1066A SSA1991.
These are identical to the other pension income free areas.
These are fortnightly amounts.</t>
        </r>
      </text>
    </comment>
    <comment ref="P4" authorId="0" shapeId="0" xr:uid="{00000000-0006-0000-0F00-000003000000}">
      <text>
        <r>
          <rPr>
            <b/>
            <sz val="9"/>
            <color indexed="81"/>
            <rFont val="Tahoma"/>
            <family val="2"/>
          </rPr>
          <t>Author:
Factor by which the income excessed is multiplied by to give the  income reduction. See 1066A-F9 SSA1991.</t>
        </r>
      </text>
    </comment>
    <comment ref="D5" authorId="0" shapeId="0" xr:uid="{00000000-0006-0000-0F00-000004000000}">
      <text>
        <r>
          <rPr>
            <b/>
            <sz val="9"/>
            <color indexed="81"/>
            <rFont val="Tahoma"/>
            <family val="2"/>
          </rPr>
          <t>Author:
Amount calculated at clause 1066A-BA3 SSA1991.
Indexed by CPI each January as per table at s1091 (see CEYD rate).
This is a fortnightly amount.
From 1 July 2014 rename Clean Energy Supplement to Energy Supplement.</t>
        </r>
      </text>
    </comment>
    <comment ref="E5" authorId="0" shapeId="0" xr:uid="{00000000-0006-0000-0F00-000005000000}">
      <text>
        <r>
          <rPr>
            <b/>
            <sz val="9"/>
            <color indexed="81"/>
            <rFont val="Tahoma"/>
            <family val="2"/>
          </rPr>
          <t>Author:
Includes Maximum Basic Rate (which is the YA rate the person would receive were they not disabled, see module B of s1066A), Youth Disability Supplement and Clean Energy Supplement.
This is a fortnightly amount.</t>
        </r>
      </text>
    </comment>
    <comment ref="F5" authorId="0" shapeId="0" xr:uid="{00000000-0006-0000-0F00-000006000000}">
      <text>
        <r>
          <rPr>
            <b/>
            <sz val="9"/>
            <color indexed="81"/>
            <rFont val="Tahoma"/>
            <family val="2"/>
          </rPr>
          <t>Author:
Amount calculated at clause 1066A-BA3 SSA1991.
Indexed by CPI each January as per table at s1091 (see CEYD rate).
This is a fortnightly amount.
From 1 July 2014 rename Clean Energy Supplement to Energy Supplement.</t>
        </r>
      </text>
    </comment>
    <comment ref="G5" authorId="0" shapeId="0" xr:uid="{00000000-0006-0000-0F00-000007000000}">
      <text>
        <r>
          <rPr>
            <b/>
            <sz val="9"/>
            <color indexed="81"/>
            <rFont val="Tahoma"/>
            <family val="2"/>
          </rPr>
          <t>Author:
Includes Maximum Basic Rate, Youth Disability Supplement and Clean Energy Supplement.
This is a fortnightly amount.</t>
        </r>
      </text>
    </comment>
    <comment ref="H5" authorId="0" shapeId="0" xr:uid="{00000000-0006-0000-0F00-000008000000}">
      <text>
        <r>
          <rPr>
            <b/>
            <sz val="9"/>
            <color indexed="81"/>
            <rFont val="Tahoma"/>
            <family val="2"/>
          </rPr>
          <t>Author:
Amount calculated at clause 1066A-BA3 SSA1991.
Indexed by CPI each January as per table at s1091 (see CEYD rate).
This is a fortnightly amount.
From 1 July 2014 rename Clean Energy Supplement to Energy Supplement.</t>
        </r>
      </text>
    </comment>
    <comment ref="I5" authorId="0" shapeId="0" xr:uid="{00000000-0006-0000-0F00-000009000000}">
      <text>
        <r>
          <rPr>
            <b/>
            <sz val="9"/>
            <color indexed="81"/>
            <rFont val="Tahoma"/>
            <family val="2"/>
          </rPr>
          <t>Author:
Includes Maximum Basic Rate, Youth Disability Supplement and Clean Energy Supplement.
This is a fortnightly amount.</t>
        </r>
      </text>
    </comment>
    <comment ref="J5" authorId="0" shapeId="0" xr:uid="{00000000-0006-0000-0F00-00000A000000}">
      <text>
        <r>
          <rPr>
            <b/>
            <sz val="9"/>
            <color indexed="81"/>
            <rFont val="Tahoma"/>
            <family val="2"/>
          </rPr>
          <t>Author:
Includes Maximum Basic Rate, Youth Disability Supplement and Clean Energy Supplement.
This is a fortnightly amount.</t>
        </r>
      </text>
    </comment>
    <comment ref="K5" authorId="0" shapeId="0" xr:uid="{00000000-0006-0000-0F00-00000B000000}">
      <text>
        <r>
          <rPr>
            <b/>
            <sz val="9"/>
            <color indexed="81"/>
            <rFont val="Tahoma"/>
            <family val="2"/>
          </rPr>
          <t>Author:
Amount calculated at clause 1066A-BA3 SSA1991.
Indexed by CPI each January as per table at s1091 (see CEYD rate).
This is a fortnightly amount.
From 1 July 2014 rename Clean Energy Supplement to Energy Supplement.</t>
        </r>
      </text>
    </comment>
    <comment ref="L5" authorId="0" shapeId="0" xr:uid="{00000000-0006-0000-0F00-00000C000000}">
      <text>
        <r>
          <rPr>
            <b/>
            <sz val="9"/>
            <color indexed="81"/>
            <rFont val="Tahoma"/>
            <family val="2"/>
          </rPr>
          <t>Author:
Includes Maximum Basic Rate, Youth Disability Supplement and Clean Energy Supplement.
This is a fortnightly amount.</t>
        </r>
      </text>
    </comment>
    <comment ref="M5" authorId="0" shapeId="0" xr:uid="{00000000-0006-0000-0F00-00000D000000}">
      <text>
        <r>
          <rPr>
            <b/>
            <sz val="9"/>
            <color indexed="81"/>
            <rFont val="Tahoma"/>
            <family val="2"/>
          </rPr>
          <t>Author:
Includes Maximum Basic Rate, Youth Disability Supplement and Clean Energy Supplement.
This is a fortnightly amount.</t>
        </r>
      </text>
    </comment>
    <comment ref="D64" authorId="1" shapeId="0" xr:uid="{00000000-0006-0000-0F00-00000E000000}">
      <text>
        <r>
          <rPr>
            <b/>
            <sz val="9"/>
            <color indexed="81"/>
            <rFont val="Tahoma"/>
            <family val="2"/>
          </rPr>
          <t>Author:
Cease indexation from 1 July 2014. Budget 2014-15</t>
        </r>
      </text>
    </comment>
    <comment ref="F64" authorId="1" shapeId="0" xr:uid="{00000000-0006-0000-0F00-00000F000000}">
      <text>
        <r>
          <rPr>
            <b/>
            <sz val="9"/>
            <color indexed="81"/>
            <rFont val="Tahoma"/>
            <family val="2"/>
          </rPr>
          <t>Author:
Cease indexation from 1 July 2014. Budget 2014-15</t>
        </r>
      </text>
    </comment>
    <comment ref="H64" authorId="1" shapeId="0" xr:uid="{00000000-0006-0000-0F00-000010000000}">
      <text>
        <r>
          <rPr>
            <b/>
            <sz val="9"/>
            <color indexed="81"/>
            <rFont val="Tahoma"/>
            <family val="2"/>
          </rPr>
          <t>Author:
Cease indexation from 1 July 2014. Budget 2014-15</t>
        </r>
      </text>
    </comment>
    <comment ref="K64" authorId="1" shapeId="0" xr:uid="{00000000-0006-0000-0F00-000011000000}">
      <text>
        <r>
          <rPr>
            <b/>
            <sz val="9"/>
            <color indexed="81"/>
            <rFont val="Tahoma"/>
            <family val="2"/>
          </rPr>
          <t>Author:
Cease indexation from 1 July 2014. Budget 2014-15</t>
        </r>
      </text>
    </comment>
    <comment ref="N76" authorId="1" shapeId="0" xr:uid="{00000000-0006-0000-0F00-000012000000}">
      <text>
        <r>
          <rPr>
            <b/>
            <sz val="9"/>
            <color indexed="81"/>
            <rFont val="Tahoma"/>
            <family val="2"/>
          </rPr>
          <t>Author:
Reverse Budget 2014-15 measure to freeze indexation for 3 years from 1 July 2017. Budget 2015-16 BP2 p167.</t>
        </r>
      </text>
    </comment>
    <comment ref="O76" authorId="1" shapeId="0" xr:uid="{00000000-0006-0000-0F00-000013000000}">
      <text>
        <r>
          <rPr>
            <b/>
            <sz val="9"/>
            <color indexed="81"/>
            <rFont val="Tahoma"/>
            <family val="2"/>
          </rPr>
          <t>Author:
Reverse Budget 2014-15 measure to freeze indexation for 3 years from 1 July 2017. Budget 2015-16 BP2 p167.</t>
        </r>
      </text>
    </comment>
    <comment ref="F77" authorId="2" shapeId="0" xr:uid="{00000000-0006-0000-0F00-000014000000}">
      <text>
        <r>
          <rPr>
            <b/>
            <sz val="9"/>
            <color indexed="81"/>
            <rFont val="Tahoma"/>
            <family val="2"/>
          </rPr>
          <t xml:space="preserve">Author:
Removal of energy supplement with grandfathering for Income Support Payments (measure from 1617 Budget) to commence 20 Sep 2017 (slipped from 20 Sep 2016), however the grandfathering date remains at 20 Sep 2016. 
Advice provided by DSS. Changes made to CAPITA code. 
</t>
        </r>
      </text>
    </comment>
    <comment ref="H77" authorId="2" shapeId="0" xr:uid="{00000000-0006-0000-0F00-000015000000}">
      <text>
        <r>
          <rPr>
            <b/>
            <sz val="9"/>
            <color indexed="81"/>
            <rFont val="Tahoma"/>
            <family val="2"/>
          </rPr>
          <t xml:space="preserve">Author:
Removal of energy supplement with grandfathering for Income Support Payments (measure from 1617 Budget) to commence 20 Sep 2017 (slipped from 20 Sep 2016), however the grandfathering date remains at 20 Sep 2016. 
Advice provided by DSS. Changes made to CAPITA code. 
</t>
        </r>
      </text>
    </comment>
    <comment ref="K77" authorId="2" shapeId="0" xr:uid="{00000000-0006-0000-0F00-000016000000}">
      <text>
        <r>
          <rPr>
            <b/>
            <sz val="9"/>
            <color indexed="81"/>
            <rFont val="Tahoma"/>
            <family val="2"/>
          </rPr>
          <t xml:space="preserve">Author:
Removal of energy supplement with grandfathering for Income Support Payments (measure from 1617 Budget) to commence 20 Sep 2017 (slipped from 20 Sep 2016), however the grandfathering date remains at 20 Sep 2016. 
Advice provided by DSS. Changes made to CAPITA code. 
</t>
        </r>
      </text>
    </comment>
    <comment ref="E80" authorId="3" shapeId="0" xr:uid="{00000000-0006-0000-0F00-000017000000}">
      <text>
        <r>
          <rPr>
            <b/>
            <sz val="9"/>
            <color indexed="81"/>
            <rFont val="Tahoma"/>
            <family val="2"/>
          </rPr>
          <t xml:space="preserve">Author:
2015 MYEFO linked rate to FTB child rate through YA student rate
Author: 
The proposed change to align youth allowance with FTBA is no longer proceeding - see 
Social Services Legislation Amendment (Family Payments Structural Reform and Participation Measures) Bill 2016.
</t>
        </r>
      </text>
    </comment>
  </commentList>
</comments>
</file>

<file path=xl/comments17.xml><?xml version="1.0" encoding="utf-8"?>
<comments xmlns="http://schemas.openxmlformats.org/spreadsheetml/2006/main" xmlns:mc="http://schemas.openxmlformats.org/markup-compatibility/2006" xmlns:xr="http://schemas.microsoft.com/office/spreadsheetml/2014/revision" mc:Ignorable="xr">
  <authors>
    <author>Bott, Mark</author>
  </authors>
  <commentList>
    <comment ref="C2" authorId="0" shapeId="0" xr:uid="{00000000-0006-0000-1000-000001000000}">
      <text>
        <r>
          <rPr>
            <b/>
            <sz val="9"/>
            <color indexed="81"/>
            <rFont val="Tahoma"/>
            <family val="2"/>
          </rPr>
          <t>Author:
Amount clause 1066A-C1 of s1066A SSA1991.
As per s1198C, this is set equal to the carer allowance rate.
This is a fortnightly amount.</t>
        </r>
      </text>
    </comment>
    <comment ref="N4" authorId="0" shapeId="0" xr:uid="{00000000-0006-0000-1000-000002000000}">
      <text>
        <r>
          <rPr>
            <b/>
            <sz val="9"/>
            <color indexed="81"/>
            <rFont val="Tahoma"/>
            <family val="2"/>
          </rPr>
          <t>Author:
Amounts in table F-1 s1066A SSA1991.
These are identical to the other pension income free areas.
These are fortnightly amounts.</t>
        </r>
      </text>
    </comment>
    <comment ref="P4" authorId="0" shapeId="0" xr:uid="{00000000-0006-0000-1000-000003000000}">
      <text>
        <r>
          <rPr>
            <b/>
            <sz val="9"/>
            <color indexed="81"/>
            <rFont val="Tahoma"/>
            <family val="2"/>
          </rPr>
          <t>Author:
Factor by which the income excessed is multiplied by to give the  income reduction. See 1066A-F9 SSA1991.</t>
        </r>
      </text>
    </comment>
    <comment ref="D5" authorId="0" shapeId="0" xr:uid="{00000000-0006-0000-1000-000004000000}">
      <text>
        <r>
          <rPr>
            <b/>
            <sz val="9"/>
            <color indexed="81"/>
            <rFont val="Tahoma"/>
            <family val="2"/>
          </rPr>
          <t>Author:
Amount calculated at clause 1066A-BA3 SSA1991.
Indexed by CPI each January as per table at s1091 (see CEYD rate).
This is a fortnightly amount.
From 1 July 2014 rename Clean Energy Supplement to Energy Supplement.</t>
        </r>
      </text>
    </comment>
    <comment ref="E5" authorId="0" shapeId="0" xr:uid="{00000000-0006-0000-1000-000005000000}">
      <text>
        <r>
          <rPr>
            <b/>
            <sz val="9"/>
            <color indexed="81"/>
            <rFont val="Tahoma"/>
            <family val="2"/>
          </rPr>
          <t>Author:
Includes Maximum Basic Rate (which is the YA rate the person would receive were they not disabled, see module B of s1066A), Youth Disability Supplement and Clean Energy Supplement.
This is a fortnightly amount.</t>
        </r>
      </text>
    </comment>
    <comment ref="F5" authorId="0" shapeId="0" xr:uid="{00000000-0006-0000-1000-000006000000}">
      <text>
        <r>
          <rPr>
            <b/>
            <sz val="9"/>
            <color indexed="81"/>
            <rFont val="Tahoma"/>
            <family val="2"/>
          </rPr>
          <t>Author:
Amount calculated at clause 1066A-BA3 SSA1991.
Indexed by CPI each January as per table at s1091 (see CEYD rate).
This is a fortnightly amount.
From 1 July 2014 rename Clean Energy Supplement to Energy Supplement.</t>
        </r>
      </text>
    </comment>
    <comment ref="G5" authorId="0" shapeId="0" xr:uid="{00000000-0006-0000-1000-000007000000}">
      <text>
        <r>
          <rPr>
            <b/>
            <sz val="9"/>
            <color indexed="81"/>
            <rFont val="Tahoma"/>
            <family val="2"/>
          </rPr>
          <t>Author:
Includes Maximum Basic Rate, Youth Disability Supplement and Clean Energy Supplement.
This is a fortnightly amount.</t>
        </r>
      </text>
    </comment>
    <comment ref="H5" authorId="0" shapeId="0" xr:uid="{00000000-0006-0000-1000-000008000000}">
      <text>
        <r>
          <rPr>
            <b/>
            <sz val="9"/>
            <color indexed="81"/>
            <rFont val="Tahoma"/>
            <family val="2"/>
          </rPr>
          <t>Author:
Amount calculated at clause 1066A-BA3 SSA1991.
Indexed by CPI each January as per table at s1091 (see CEYD rate).
This is a fortnightly amount.
From 1 July 2014 rename Clean Energy Supplement to Energy Supplement.</t>
        </r>
      </text>
    </comment>
    <comment ref="I5" authorId="0" shapeId="0" xr:uid="{00000000-0006-0000-1000-000009000000}">
      <text>
        <r>
          <rPr>
            <b/>
            <sz val="9"/>
            <color indexed="81"/>
            <rFont val="Tahoma"/>
            <family val="2"/>
          </rPr>
          <t>Author:
Includes Maximum Basic Rate, Youth Disability Supplement and Clean Energy Supplement.
This is a fortnightly amount.</t>
        </r>
      </text>
    </comment>
    <comment ref="J5" authorId="0" shapeId="0" xr:uid="{00000000-0006-0000-1000-00000A000000}">
      <text>
        <r>
          <rPr>
            <b/>
            <sz val="9"/>
            <color indexed="81"/>
            <rFont val="Tahoma"/>
            <family val="2"/>
          </rPr>
          <t>Author:
Includes Maximum Basic Rate, Youth Disability Supplement and Clean Energy Supplement.
This is a fortnightly amount.</t>
        </r>
      </text>
    </comment>
    <comment ref="K5" authorId="0" shapeId="0" xr:uid="{00000000-0006-0000-1000-00000B000000}">
      <text>
        <r>
          <rPr>
            <b/>
            <sz val="9"/>
            <color indexed="81"/>
            <rFont val="Tahoma"/>
            <family val="2"/>
          </rPr>
          <t>Author:
Amount calculated at clause 1066A-BA3 SSA1991.
Indexed by CPI each January as per table at s1091 (see CEYD rate).
This is a fortnightly amount.
From 1 July 2014 rename Clean Energy Supplement to Energy Supplement.</t>
        </r>
      </text>
    </comment>
    <comment ref="L5" authorId="0" shapeId="0" xr:uid="{00000000-0006-0000-1000-00000C000000}">
      <text>
        <r>
          <rPr>
            <b/>
            <sz val="9"/>
            <color indexed="81"/>
            <rFont val="Tahoma"/>
            <family val="2"/>
          </rPr>
          <t>Author:
Includes Maximum Basic Rate, Youth Disability Supplement and Clean Energy Supplement.
This is a fortnightly amount.</t>
        </r>
      </text>
    </comment>
    <comment ref="M5" authorId="0" shapeId="0" xr:uid="{00000000-0006-0000-1000-00000D000000}">
      <text>
        <r>
          <rPr>
            <b/>
            <sz val="9"/>
            <color indexed="81"/>
            <rFont val="Tahoma"/>
            <family val="2"/>
          </rPr>
          <t>Author:
Includes Maximum Basic Rate, Youth Disability Supplement and Clean Energy Supplement.
This is a fortnightly amount.</t>
        </r>
      </text>
    </comment>
  </commentList>
</comments>
</file>

<file path=xl/comments18.xml><?xml version="1.0" encoding="utf-8"?>
<comments xmlns="http://schemas.openxmlformats.org/spreadsheetml/2006/main" xmlns:mc="http://schemas.openxmlformats.org/markup-compatibility/2006" xmlns:xr="http://schemas.microsoft.com/office/spreadsheetml/2014/revision" mc:Ignorable="xr">
  <authors>
    <author>Smith, Leif</author>
    <author>Li, Taike</author>
    <author>Bott, Mark</author>
    <author>Thompson, Alyse</author>
    <author>Black, Belinda</author>
    <author>O'Shea, Mark</author>
    <author>Ledda, Daniel</author>
    <author>McAndrew, Krispin</author>
  </authors>
  <commentList>
    <comment ref="C1" authorId="0" shapeId="0" xr:uid="{00000000-0006-0000-1100-000001000000}">
      <text>
        <r>
          <rPr>
            <b/>
            <sz val="9"/>
            <color indexed="81"/>
            <rFont val="Tahoma"/>
            <family val="2"/>
          </rPr>
          <t>Author:
2017-18 Budget: Introduction of JobSeeker payment consolidated the following Payments:
NewStart Allowance
Sickness Allowance
Wife Pension
Partner Allowance
Widow Allowance
Widow B Pension
Bereavement Allowance</t>
        </r>
      </text>
    </comment>
    <comment ref="Y1" authorId="1" shapeId="0" xr:uid="{00000000-0006-0000-1100-000002000000}">
      <text>
        <r>
          <rPr>
            <b/>
            <sz val="9"/>
            <color indexed="81"/>
            <rFont val="Tahoma"/>
            <family val="2"/>
          </rPr>
          <t>Author:
Taper rate defined at 1068-G11 of the SSA 1991.</t>
        </r>
      </text>
    </comment>
    <comment ref="Z1" authorId="1" shapeId="0" xr:uid="{00000000-0006-0000-1100-000003000000}">
      <text>
        <r>
          <rPr>
            <b/>
            <sz val="9"/>
            <color indexed="81"/>
            <rFont val="Tahoma"/>
            <family val="2"/>
          </rPr>
          <t>Author:
Age requirement given in 660YBA of SSA 1991.</t>
        </r>
      </text>
    </comment>
    <comment ref="AA1" authorId="1" shapeId="0" xr:uid="{00000000-0006-0000-1100-000004000000}">
      <text>
        <r>
          <rPr>
            <b/>
            <sz val="9"/>
            <color indexed="81"/>
            <rFont val="Tahoma"/>
            <family val="2"/>
          </rPr>
          <t>Author:
Minimum age for new grants after 1 July 2005 is given by 408AA of the SSA 1991.
Women born on or before 1 July 1955.</t>
        </r>
      </text>
    </comment>
    <comment ref="AB1" authorId="1" shapeId="0" xr:uid="{00000000-0006-0000-1100-000005000000}">
      <text>
        <r>
          <rPr>
            <b/>
            <sz val="9"/>
            <color indexed="81"/>
            <rFont val="Tahoma"/>
            <family val="2"/>
          </rPr>
          <t>Author:
PP child is defined by 500D of the SSA 1991.</t>
        </r>
      </text>
    </comment>
    <comment ref="O2" authorId="2" shapeId="0" xr:uid="{00000000-0006-0000-1100-000006000000}">
      <text>
        <r>
          <rPr>
            <b/>
            <sz val="9"/>
            <color indexed="81"/>
            <rFont val="Tahoma"/>
            <family val="2"/>
          </rPr>
          <t xml:space="preserve">Author:
NSA (s611), Sickness Allowance (s677), Special Benefit (s733), PPP (s500Q) are not payable if assets exceed assets value limit.
These amounts are equivalent to the pension AVLs, see s1201.
</t>
        </r>
      </text>
    </comment>
    <comment ref="E5" authorId="2" shapeId="0" xr:uid="{00000000-0006-0000-1100-000007000000}">
      <text>
        <r>
          <rPr>
            <b/>
            <sz val="9"/>
            <color indexed="81"/>
            <rFont val="Tahoma"/>
            <family val="2"/>
          </rPr>
          <t>Author:
sum of maximum basic rate and clean energy supplement.
amount is per fortnight</t>
        </r>
      </text>
    </comment>
    <comment ref="H5" authorId="2" shapeId="0" xr:uid="{00000000-0006-0000-1100-000008000000}">
      <text>
        <r>
          <rPr>
            <b/>
            <sz val="9"/>
            <color indexed="81"/>
            <rFont val="Tahoma"/>
            <family val="2"/>
          </rPr>
          <t>Author:
sum of maximum basic rate and clean energy supplement.
amount is per fortnight</t>
        </r>
      </text>
    </comment>
    <comment ref="K5" authorId="2" shapeId="0" xr:uid="{00000000-0006-0000-1100-000009000000}">
      <text>
        <r>
          <rPr>
            <b/>
            <sz val="9"/>
            <color indexed="81"/>
            <rFont val="Tahoma"/>
            <family val="2"/>
          </rPr>
          <t>Author:
sum of maximum basic rate and clean energy supplement.
amount is per fortnight</t>
        </r>
      </text>
    </comment>
    <comment ref="N5" authorId="2" shapeId="0" xr:uid="{00000000-0006-0000-1100-00000A000000}">
      <text>
        <r>
          <rPr>
            <b/>
            <sz val="9"/>
            <color indexed="81"/>
            <rFont val="Tahoma"/>
            <family val="2"/>
          </rPr>
          <t>Author:
sum of maximum basic rate and clean energy supplement.
amount is per fortnight</t>
        </r>
      </text>
    </comment>
    <comment ref="S5" authorId="2" shapeId="0" xr:uid="{00000000-0006-0000-1100-00000B000000}">
      <text>
        <r>
          <rPr>
            <b/>
            <sz val="9"/>
            <color indexed="81"/>
            <rFont val="Tahoma"/>
            <family val="2"/>
          </rPr>
          <t>Author:
Amount at clause 1068-G12 SSA1991.
amount per fortnight</t>
        </r>
      </text>
    </comment>
    <comment ref="T5" authorId="2" shapeId="0" xr:uid="{00000000-0006-0000-1100-00000C000000}">
      <text>
        <r>
          <rPr>
            <b/>
            <sz val="9"/>
            <color indexed="81"/>
            <rFont val="Tahoma"/>
            <family val="2"/>
          </rPr>
          <t>Author:
Threshold in clauses 1068-G15 and 1068-G16 SSA 1991 + lower threshold.
Amount per fortnight</t>
        </r>
      </text>
    </comment>
    <comment ref="W5" authorId="3" shapeId="0" xr:uid="{00000000-0006-0000-1100-00000D000000}">
      <text>
        <r>
          <rPr>
            <b/>
            <sz val="9"/>
            <color indexed="81"/>
            <rFont val="Tahoma"/>
            <family val="2"/>
          </rPr>
          <t>Author:
From 1st January 2013, the taper rate for sole parent (principal carer) NSA is set to match PPS.
s1068 - G17, SSA 1991</t>
        </r>
      </text>
    </comment>
    <comment ref="C6" authorId="2" shapeId="0" xr:uid="{00000000-0006-0000-1100-00000E000000}">
      <text>
        <r>
          <rPr>
            <b/>
            <sz val="9"/>
            <color indexed="81"/>
            <rFont val="Tahoma"/>
            <family val="2"/>
          </rPr>
          <t>Author:
Amount taken from table B s1068 SSA1991.
Indexed by CPI each March and September as per table in s1191 (see benefit MBR.)
amount is per fortnight</t>
        </r>
      </text>
    </comment>
    <comment ref="D6" authorId="2" shapeId="0" xr:uid="{00000000-0006-0000-1100-00000F000000}">
      <text>
        <r>
          <rPr>
            <b/>
            <sz val="9"/>
            <color indexed="81"/>
            <rFont val="Tahoma"/>
            <family val="2"/>
          </rPr>
          <t>Author:
Calculated as per clause 1068-C4 SSA 1991.
Indexed each September and March by CPI as per table in s1191 (see CEUPA rate 1).
amount is per fortnight
From 1 July 2014 rename Clean Energy Supplement to Energy Supplement.</t>
        </r>
      </text>
    </comment>
    <comment ref="F6" authorId="2" shapeId="0" xr:uid="{00000000-0006-0000-1100-000010000000}">
      <text>
        <r>
          <rPr>
            <b/>
            <sz val="9"/>
            <color indexed="81"/>
            <rFont val="Tahoma"/>
            <family val="2"/>
          </rPr>
          <t>Author:
Amount taken from table B s1068 SSA1991.
Indexed by CPI each March and September as per table in s1191 (see benefit MBR.)
amount is per fortnight</t>
        </r>
      </text>
    </comment>
    <comment ref="G6" authorId="2" shapeId="0" xr:uid="{00000000-0006-0000-1100-000011000000}">
      <text>
        <r>
          <rPr>
            <b/>
            <sz val="9"/>
            <color indexed="81"/>
            <rFont val="Tahoma"/>
            <family val="2"/>
          </rPr>
          <t>Author:
Calculated as per clause 1068-C4 SSA 1991.
Indexed each September and March by CPI as per table in s1191 (see CEUPA rate 1).
amount is per fortnight
From 1 July 2014 rename Clean Energy Supplement to Energy Supplement.</t>
        </r>
      </text>
    </comment>
    <comment ref="I6" authorId="2" shapeId="0" xr:uid="{00000000-0006-0000-1100-000012000000}">
      <text>
        <r>
          <rPr>
            <b/>
            <sz val="9"/>
            <color indexed="81"/>
            <rFont val="Tahoma"/>
            <family val="2"/>
          </rPr>
          <t>Author:
Amount taken from table B s1068 SSA1991.
Indexed by CPI each March and September as per table in s1191 (see benefit MBR.)
amount is per fortnight</t>
        </r>
      </text>
    </comment>
    <comment ref="J6" authorId="2" shapeId="0" xr:uid="{00000000-0006-0000-1100-000013000000}">
      <text>
        <r>
          <rPr>
            <b/>
            <sz val="9"/>
            <color indexed="81"/>
            <rFont val="Tahoma"/>
            <family val="2"/>
          </rPr>
          <t>Author:
Calculated as per clause 1068-C4 SSA 1991.
Indexed each September and March by CPI as per table in s1191 (see CEUPA rate 1).
amount is per fortnight
From 1 July 2014 rename Clean Energy Supplement to Energy Supplement.</t>
        </r>
      </text>
    </comment>
    <comment ref="L6" authorId="2" shapeId="0" xr:uid="{00000000-0006-0000-1100-000014000000}">
      <text>
        <r>
          <rPr>
            <b/>
            <sz val="9"/>
            <color indexed="81"/>
            <rFont val="Tahoma"/>
            <family val="2"/>
          </rPr>
          <t>Author:
Amount taken from table B s1068 SSA1991.
Indexed by CPI each March and September as per table in s1191 (see benefit MBR.)
amount is per fortnight</t>
        </r>
      </text>
    </comment>
    <comment ref="M6" authorId="2" shapeId="0" xr:uid="{00000000-0006-0000-1100-000015000000}">
      <text>
        <r>
          <rPr>
            <b/>
            <sz val="9"/>
            <color indexed="81"/>
            <rFont val="Tahoma"/>
            <family val="2"/>
          </rPr>
          <t>Author:
Calculated as per clause 1068-C4 SSA 1991.
Indexed each September and March by CPI as per table in s1191 (see CEUPA rate 1).
amount is per fortnight
From 1 July 2014 rename Clean Energy Supplement to Energy Supplement.</t>
        </r>
      </text>
    </comment>
    <comment ref="U6" authorId="2" shapeId="0" xr:uid="{00000000-0006-0000-1100-000016000000}">
      <text>
        <r>
          <rPr>
            <b/>
            <sz val="9"/>
            <color indexed="81"/>
            <rFont val="Tahoma"/>
            <family val="2"/>
          </rPr>
          <t>Author:
Factor at clause 1068-G15 SSA 1991.</t>
        </r>
      </text>
    </comment>
    <comment ref="V6" authorId="2" shapeId="0" xr:uid="{00000000-0006-0000-1100-000017000000}">
      <text>
        <r>
          <rPr>
            <b/>
            <sz val="9"/>
            <color indexed="81"/>
            <rFont val="Tahoma"/>
            <family val="2"/>
          </rPr>
          <t>Author:
Factor at clause s1068-G16 SSA 1991.</t>
        </r>
      </text>
    </comment>
    <comment ref="C11" authorId="2" shapeId="0" xr:uid="{00000000-0006-0000-1100-000018000000}">
      <text>
        <r>
          <rPr>
            <b/>
            <sz val="9"/>
            <color indexed="81"/>
            <rFont val="Tahoma"/>
            <family val="2"/>
          </rPr>
          <t>Author:
ANTS clawback here. Amount hard coded.</t>
        </r>
      </text>
    </comment>
    <comment ref="F11" authorId="2" shapeId="0" xr:uid="{00000000-0006-0000-1100-000019000000}">
      <text>
        <r>
          <rPr>
            <b/>
            <sz val="9"/>
            <color indexed="81"/>
            <rFont val="Tahoma"/>
            <family val="2"/>
          </rPr>
          <t>Author:
ANTS clawback. Variable hard coded.</t>
        </r>
      </text>
    </comment>
    <comment ref="I11" authorId="2" shapeId="0" xr:uid="{00000000-0006-0000-1100-00001A000000}">
      <text>
        <r>
          <rPr>
            <b/>
            <sz val="9"/>
            <color indexed="81"/>
            <rFont val="Tahoma"/>
            <family val="2"/>
          </rPr>
          <t>Author:
ANTS clawback. Variable hard coded.</t>
        </r>
      </text>
    </comment>
    <comment ref="L11" authorId="2" shapeId="0" xr:uid="{00000000-0006-0000-1100-00001B000000}">
      <text>
        <r>
          <rPr>
            <b/>
            <sz val="9"/>
            <color indexed="81"/>
            <rFont val="Tahoma"/>
            <family val="2"/>
          </rPr>
          <t>Author:
ANTS clawback. Variable hard coded.</t>
        </r>
      </text>
    </comment>
    <comment ref="Z40" authorId="4" shapeId="0" xr:uid="{00000000-0006-0000-1100-00001C000000}">
      <text>
        <r>
          <rPr>
            <b/>
            <sz val="9"/>
            <color indexed="81"/>
            <rFont val="Tahoma"/>
            <family val="2"/>
          </rPr>
          <t xml:space="preserve">Author:
This payment was phased out on 19 September 2008. </t>
        </r>
      </text>
    </comment>
    <comment ref="C59" authorId="2" shapeId="0" xr:uid="{00000000-0006-0000-1100-00001D000000}">
      <text>
        <r>
          <rPr>
            <b/>
            <sz val="9"/>
            <color indexed="81"/>
            <rFont val="Tahoma"/>
            <family val="2"/>
          </rPr>
          <t>Author:
Include carbon price indexation supression.</t>
        </r>
      </text>
    </comment>
    <comment ref="F59" authorId="2" shapeId="0" xr:uid="{00000000-0006-0000-1100-00001E000000}">
      <text>
        <r>
          <rPr>
            <b/>
            <sz val="9"/>
            <color indexed="81"/>
            <rFont val="Tahoma"/>
            <family val="2"/>
          </rPr>
          <t>Author:
Include carbon price indexation supression.</t>
        </r>
      </text>
    </comment>
    <comment ref="I59" authorId="2" shapeId="0" xr:uid="{00000000-0006-0000-1100-00001F000000}">
      <text>
        <r>
          <rPr>
            <b/>
            <sz val="9"/>
            <color indexed="81"/>
            <rFont val="Tahoma"/>
            <family val="2"/>
          </rPr>
          <t>Author:
Include carbon price indexation supression.</t>
        </r>
      </text>
    </comment>
    <comment ref="L59" authorId="2" shapeId="0" xr:uid="{00000000-0006-0000-1100-000020000000}">
      <text>
        <r>
          <rPr>
            <b/>
            <sz val="9"/>
            <color indexed="81"/>
            <rFont val="Tahoma"/>
            <family val="2"/>
          </rPr>
          <t>Author:
Include carbon price indexation supression.</t>
        </r>
      </text>
    </comment>
    <comment ref="S63" authorId="3" shapeId="0" xr:uid="{00000000-0006-0000-1100-000021000000}">
      <text>
        <r>
          <rPr>
            <b/>
            <sz val="9"/>
            <color indexed="81"/>
            <rFont val="Tahoma"/>
            <family val="2"/>
          </rPr>
          <t>Author:
Budget 2013-14
Income free area increased to $100.</t>
        </r>
      </text>
    </comment>
    <comment ref="T63" authorId="3" shapeId="0" xr:uid="{00000000-0006-0000-1100-000022000000}">
      <text>
        <r>
          <rPr>
            <b/>
            <sz val="9"/>
            <color indexed="81"/>
            <rFont val="Tahoma"/>
            <family val="2"/>
          </rPr>
          <t>Author:
legislation will be adjusted so that second tier excess becomes $150.</t>
        </r>
      </text>
    </comment>
    <comment ref="D64" authorId="1" shapeId="0" xr:uid="{00000000-0006-0000-1100-000023000000}">
      <text>
        <r>
          <rPr>
            <b/>
            <sz val="9"/>
            <color indexed="81"/>
            <rFont val="Tahoma"/>
            <family val="2"/>
          </rPr>
          <t>Author:
Cease indexation form 1 July 2014. Budget 2014-15</t>
        </r>
      </text>
    </comment>
    <comment ref="G64" authorId="1" shapeId="0" xr:uid="{00000000-0006-0000-1100-000024000000}">
      <text>
        <r>
          <rPr>
            <b/>
            <sz val="9"/>
            <color indexed="81"/>
            <rFont val="Tahoma"/>
            <family val="2"/>
          </rPr>
          <t>Author:
Cease indexation form 1 July 2014. Budget 2014-15</t>
        </r>
      </text>
    </comment>
    <comment ref="J64" authorId="1" shapeId="0" xr:uid="{00000000-0006-0000-1100-000025000000}">
      <text>
        <r>
          <rPr>
            <b/>
            <sz val="9"/>
            <color indexed="81"/>
            <rFont val="Tahoma"/>
            <family val="2"/>
          </rPr>
          <t>Author:
Cease indexation form 1 July 2014. Budget 2014-15</t>
        </r>
      </text>
    </comment>
    <comment ref="M64" authorId="1" shapeId="0" xr:uid="{00000000-0006-0000-1100-000026000000}">
      <text>
        <r>
          <rPr>
            <b/>
            <sz val="9"/>
            <color indexed="81"/>
            <rFont val="Tahoma"/>
            <family val="2"/>
          </rPr>
          <t>Author:
Cease indexation form 1 July 2014. Budget 2014-15</t>
        </r>
      </text>
    </comment>
    <comment ref="D65" authorId="5" shapeId="0" xr:uid="{00000000-0006-0000-1100-000027000000}">
      <text>
        <r>
          <rPr>
            <b/>
            <sz val="9"/>
            <color indexed="81"/>
            <rFont val="Tahoma"/>
            <family val="2"/>
          </rPr>
          <t>Author:
12/12/2014:
Indexation pause delayed due to delay in passing of legislation. Legislation now passed - Social Services and Other Legislation Amendment (2014 Budget Measures No. 6) Bill 2014.</t>
        </r>
      </text>
    </comment>
    <comment ref="G65" authorId="5" shapeId="0" xr:uid="{00000000-0006-0000-1100-000028000000}">
      <text>
        <r>
          <rPr>
            <b/>
            <sz val="9"/>
            <color indexed="81"/>
            <rFont val="Tahoma"/>
            <family val="2"/>
          </rPr>
          <t>Author:
12/12/2014:
Indexation pause delayed due to delay in passing of legislation. Legislation now passed - Social Services and Other Legislation Amendment (2014 Budget Measures No. 6) Bill 2014.</t>
        </r>
      </text>
    </comment>
    <comment ref="J65" authorId="5" shapeId="0" xr:uid="{00000000-0006-0000-1100-000029000000}">
      <text>
        <r>
          <rPr>
            <b/>
            <sz val="9"/>
            <color indexed="81"/>
            <rFont val="Tahoma"/>
            <family val="2"/>
          </rPr>
          <t>Author:
12/12/2014:
Indexation pause delayed due to delay in passing of legislation. Legislation now passed - Social Services and Other Legislation Amendment (2014 Budget Measures No. 6) Bill 2014.</t>
        </r>
      </text>
    </comment>
    <comment ref="M65" authorId="5" shapeId="0" xr:uid="{00000000-0006-0000-1100-00002A000000}">
      <text>
        <r>
          <rPr>
            <b/>
            <sz val="9"/>
            <color indexed="81"/>
            <rFont val="Tahoma"/>
            <family val="2"/>
          </rPr>
          <t>Author:
12/12/2014:
Indexation pause delayed due to delay in passing of legislation. Legislation now passed - Social Services and Other Legislation Amendment (2014 Budget Measures No. 6) Bill 2014.</t>
        </r>
      </text>
    </comment>
    <comment ref="O68" authorId="1" shapeId="0" xr:uid="{00000000-0006-0000-1100-00002B000000}">
      <text>
        <r>
          <rPr>
            <b/>
            <sz val="9"/>
            <color indexed="81"/>
            <rFont val="Tahoma"/>
            <family val="2"/>
          </rPr>
          <t>Author:
Pause indexation from 1 July 2015 for 3 years.  Budget 2014-15.
Remove linking of assets test to pensions due to divergence in indexation rule between pensions and non-pensions. Link non-home owner to benefits.</t>
        </r>
      </text>
    </comment>
    <comment ref="P68" authorId="1" shapeId="0" xr:uid="{00000000-0006-0000-1100-00002C000000}">
      <text>
        <r>
          <rPr>
            <b/>
            <sz val="9"/>
            <color indexed="81"/>
            <rFont val="Tahoma"/>
            <family val="2"/>
          </rPr>
          <t>Author:
Pause indexation from 1 July 2015 for 3 years.  Budget 2014-15.
Remove linking of assets test to pensions due to divergence in indexation rule between pensions and non-pensions. Link non-home owner to benefits.</t>
        </r>
      </text>
    </comment>
    <comment ref="Q68" authorId="1" shapeId="0" xr:uid="{00000000-0006-0000-1100-00002D000000}">
      <text>
        <r>
          <rPr>
            <b/>
            <sz val="9"/>
            <color indexed="81"/>
            <rFont val="Tahoma"/>
            <family val="2"/>
          </rPr>
          <t>Author:
Pause indexation from 1 July 2015 for 3 years.  Budget 2014-15.
Remove linking of assets test to pensions due to divergence in indexation rule between pensions and non-pensions. Link non-home owner to benefits.</t>
        </r>
      </text>
    </comment>
    <comment ref="R68" authorId="1" shapeId="0" xr:uid="{00000000-0006-0000-1100-00002E000000}">
      <text>
        <r>
          <rPr>
            <b/>
            <sz val="9"/>
            <color indexed="81"/>
            <rFont val="Tahoma"/>
            <family val="2"/>
          </rPr>
          <t>Author:
Pause indexation from 1 July 2015 for 3 years.  Budget 2014-15.
Remove linking of assets test to pensions due to divergence in indexation rule between pensions and non-pensions. Link non-home owner to benefits.</t>
        </r>
      </text>
    </comment>
    <comment ref="S68" authorId="3" shapeId="0" xr:uid="{00000000-0006-0000-1100-00002F000000}">
      <text>
        <r>
          <rPr>
            <b/>
            <sz val="9"/>
            <color indexed="81"/>
            <rFont val="Tahoma"/>
            <family val="2"/>
          </rPr>
          <t>Author:
Budget 2013-14
Indexation begins!
Assumed to be the same as indexation of pension income free area.
Pause indexation from 1 July 2015 for 2 years. Budget 2014-15
Author 14Jul15:
Legislation not passed so indexation has been applied and freeze delayed/extended by 1 year.</t>
        </r>
      </text>
    </comment>
    <comment ref="S72" authorId="3" shapeId="0" xr:uid="{00000000-0006-0000-1100-000030000000}">
      <text>
        <r>
          <rPr>
            <b/>
            <sz val="9"/>
            <color indexed="81"/>
            <rFont val="Tahoma"/>
            <family val="2"/>
          </rPr>
          <t>Author:
Budget 2013-14
Indexation begins!
Assumed to be the same as indexation of pension income free area.
Pause indexation from 1 July 2015 for 2 years. Budget 2014-15
Author 14Jul15:
Legislation not passed so indexation has been applied and freeze delayed/extended by 1 year.</t>
        </r>
      </text>
    </comment>
    <comment ref="D73" authorId="6" shapeId="0" xr:uid="{00000000-0006-0000-1100-000031000000}">
      <text>
        <r>
          <rPr>
            <b/>
            <sz val="9"/>
            <color indexed="81"/>
            <rFont val="Tahoma"/>
            <family val="2"/>
          </rPr>
          <t xml:space="preserve">Author:
Budget 2016-17 - Energy supplement to be removed with grandfathering from 20/09/2016. Grandfathering modelled in CAPITA. 
See Budget 2016-17, BP2 (pg 143) - National Disability Insurance Scheme Savings Fund - removal of carbon tax compensation. </t>
        </r>
      </text>
    </comment>
    <comment ref="G73" authorId="6" shapeId="0" xr:uid="{00000000-0006-0000-1100-000032000000}">
      <text>
        <r>
          <rPr>
            <b/>
            <sz val="9"/>
            <color indexed="81"/>
            <rFont val="Tahoma"/>
            <family val="2"/>
          </rPr>
          <t xml:space="preserve">Author:
Budget 2016-17 - Energy supplement to be removed with grandfathering from 20/09/2016. Grandfathering modelled in CAPITA. 
See Budget 2016-17, BP2 (pg 143) - National Disability Insurance Scheme Savings Fund - removal of carbon tax compensation. </t>
        </r>
      </text>
    </comment>
    <comment ref="J73" authorId="6" shapeId="0" xr:uid="{00000000-0006-0000-1100-000033000000}">
      <text>
        <r>
          <rPr>
            <b/>
            <sz val="9"/>
            <color indexed="81"/>
            <rFont val="Tahoma"/>
            <family val="2"/>
          </rPr>
          <t xml:space="preserve">Author:
Budget 2016-17 - Energy supplement to be removed with grandfathering from 20/09/2016. Grandfathering modelled in CAPITA. 
See Budget 2016-17, BP2 (pg 143) - National Disability Insurance Scheme Savings Fund - removal of carbon tax compensation. </t>
        </r>
      </text>
    </comment>
    <comment ref="M73" authorId="6" shapeId="0" xr:uid="{00000000-0006-0000-1100-000034000000}">
      <text>
        <r>
          <rPr>
            <b/>
            <sz val="9"/>
            <color indexed="81"/>
            <rFont val="Tahoma"/>
            <family val="2"/>
          </rPr>
          <t xml:space="preserve">Author:
Budget 2016-17 - Energy supplement to be removed with grandfathering from 20/09/2016. Grandfathering modelled in CAPITA. 
See Budget 2016-17, BP2 (pg 143) - National Disability Insurance Scheme Savings Fund - removal of carbon tax compensation. </t>
        </r>
      </text>
    </comment>
    <comment ref="O74" authorId="6" shapeId="0" xr:uid="{00000000-0006-0000-1100-000035000000}">
      <text>
        <r>
          <rPr>
            <b/>
            <sz val="9"/>
            <color indexed="81"/>
            <rFont val="Tahoma"/>
            <family val="2"/>
          </rPr>
          <t>Author:
Asset value limits of allowances increased to align with pension asset tests: 30 June 2015, ‘Social Services Legislation Amendment (Fair and Sustainable Pensions) Bill 2015’ reached Royal Assent</t>
        </r>
      </text>
    </comment>
    <comment ref="P74" authorId="6" shapeId="0" xr:uid="{00000000-0006-0000-1100-000036000000}">
      <text>
        <r>
          <rPr>
            <b/>
            <sz val="9"/>
            <color indexed="81"/>
            <rFont val="Tahoma"/>
            <family val="2"/>
          </rPr>
          <t>Author:
Asset value limits of allowances increased to align with pension asset tests: 30 June 2015, ‘Social Services Legislation Amendment (Fair and Sustainable Pensions) Bill 2015’ reached Royal Assent</t>
        </r>
      </text>
    </comment>
    <comment ref="Q74" authorId="6" shapeId="0" xr:uid="{00000000-0006-0000-1100-000037000000}">
      <text>
        <r>
          <rPr>
            <b/>
            <sz val="9"/>
            <color indexed="81"/>
            <rFont val="Tahoma"/>
            <family val="2"/>
          </rPr>
          <t>Author:
Asset value limits of allowances increased to align with pension asset tests: 30 June 2015, ‘Social Services Legislation Amendment (Fair and Sustainable Pensions) Bill 2015’ reached Royal Assent</t>
        </r>
      </text>
    </comment>
    <comment ref="R74" authorId="6" shapeId="0" xr:uid="{00000000-0006-0000-1100-000038000000}">
      <text>
        <r>
          <rPr>
            <b/>
            <sz val="9"/>
            <color indexed="81"/>
            <rFont val="Tahoma"/>
            <family val="2"/>
          </rPr>
          <t>Author:
Asset value limits of allowances increased to align with pension asset tests: 30 June 2015, ‘Social Services Legislation Amendment (Fair and Sustainable Pensions) Bill 2015’ reached Royal Assent</t>
        </r>
      </text>
    </comment>
    <comment ref="S76" authorId="1" shapeId="0" xr:uid="{00000000-0006-0000-1100-000039000000}">
      <text>
        <r>
          <rPr>
            <b/>
            <sz val="9"/>
            <color indexed="81"/>
            <rFont val="Tahoma"/>
            <family val="2"/>
          </rPr>
          <t xml:space="preserve">Author:
Extend indexation pause from 1 July 2017 to 1 July 2018. MYEFO 2014.
Author:
Freeze extended 1 year as legislation not passed for the 1 July 2015 freeze.
Author: 
Slippage due to legislation not passed by 1 July 2016. Pause will now occur for three years from 1 July 2017. 
Author: 
This received royal assent on 12 April 2017 - see Social Services Legislation Amendment Bill 2017. </t>
        </r>
      </text>
    </comment>
    <comment ref="D77" authorId="6" shapeId="0" xr:uid="{00000000-0006-0000-1100-00003A000000}">
      <text>
        <r>
          <rPr>
            <b/>
            <sz val="9"/>
            <color indexed="81"/>
            <rFont val="Tahoma"/>
            <family val="2"/>
          </rPr>
          <t xml:space="preserve">Author:
Removal of energy supplement with grandfathering for Income Support Payments (measure from 1617 Budget) to commence 20 Sep 2017 (slipped from 20 Sep 2016), however the grandfathering date remains at 20 Sep 2016. 
Advice provided by DSS. Changes made to CAPITA code. </t>
        </r>
      </text>
    </comment>
    <comment ref="G77" authorId="6" shapeId="0" xr:uid="{00000000-0006-0000-1100-00003B000000}">
      <text>
        <r>
          <rPr>
            <b/>
            <sz val="9"/>
            <color indexed="81"/>
            <rFont val="Tahoma"/>
            <family val="2"/>
          </rPr>
          <t xml:space="preserve">Author:
Removal of energy supplement with grandfathering for Income Support Payments (measure from 1617 Budget) to commence 20 Sep 2017 (slipped from 20 Sep 2016), however the grandfathering date remains at 20 Sep 2016. 
Advice provided by DSS. Changes made to CAPITA code. 
</t>
        </r>
      </text>
    </comment>
    <comment ref="J77" authorId="6" shapeId="0" xr:uid="{00000000-0006-0000-1100-00003C000000}">
      <text>
        <r>
          <rPr>
            <b/>
            <sz val="9"/>
            <color indexed="81"/>
            <rFont val="Tahoma"/>
            <family val="2"/>
          </rPr>
          <t xml:space="preserve">Author:
Removal of energy supplement with grandfathering for Income Support Payments (measure from 1617 Budget) to commence 20 Sep 2017 (slipped from 20 Sep 2016), however the grandfathering date remains at 20 Sep 2016. 
Advice provided by DSS. Changes made to CAPITA code. </t>
        </r>
      </text>
    </comment>
    <comment ref="M77" authorId="6" shapeId="0" xr:uid="{00000000-0006-0000-1100-00003D000000}">
      <text>
        <r>
          <rPr>
            <b/>
            <sz val="9"/>
            <color indexed="81"/>
            <rFont val="Tahoma"/>
            <family val="2"/>
          </rPr>
          <t xml:space="preserve">Author:
Removal of energy supplement with grandfathering for Income Support Payments (measure from 1617 Budget) to commence 20 Sep 2017 (slipped from 20 Sep 2016), however the grandfathering date remains at 20 Sep 2016. 
Advice provided by DSS. Changes made to CAPITA code. </t>
        </r>
      </text>
    </comment>
    <comment ref="AA78" authorId="0" shapeId="0" xr:uid="{00000000-0006-0000-1100-00003E000000}">
      <text>
        <r>
          <rPr>
            <b/>
            <sz val="9"/>
            <color indexed="81"/>
            <rFont val="Tahoma"/>
            <family val="2"/>
          </rPr>
          <t>Author:
2017-18 Budget - Widow Allowance Payment to be closed to new recipients from 1 January 2018 and cease 1 January 2022.  
Recipients will have transitioned to the Age Pension by 1 January 2022 as they will have reached Age Pension qualifying age.</t>
        </r>
      </text>
    </comment>
    <comment ref="S80" authorId="7" shapeId="0" xr:uid="{00000000-0006-0000-1100-00003F000000}">
      <text>
        <r>
          <rPr>
            <b/>
            <sz val="9"/>
            <color indexed="81"/>
            <rFont val="Tahoma"/>
            <family val="2"/>
          </rPr>
          <t xml:space="preserve">Author:
Freeze extended 1 year as legislation not passed for the 1 July 2015 freeze.
Author: 
Slippage due to legislation not passed by 1 July 2016. Pause will now occur for three years from 1 July 2017. 
Author: 
This received royal assent on 12 April 2017 - see Social Services Legislation Amendment Bill 2017. </t>
        </r>
      </text>
    </comment>
    <comment ref="S84" authorId="6" shapeId="0" xr:uid="{00000000-0006-0000-1100-000040000000}">
      <text>
        <r>
          <rPr>
            <b/>
            <sz val="9"/>
            <color indexed="81"/>
            <rFont val="Tahoma"/>
            <family val="2"/>
          </rPr>
          <t xml:space="preserve">Author:
Slippage due to legislation not passed by 1 July 2016. Pause will now occur for three years from 1 July 2017. 
Author: 
This received royal assent on 12 April 2017 - see Social Services Legislation Amendment Bill 2017. </t>
        </r>
      </text>
    </comment>
    <comment ref="S88" authorId="6" shapeId="0" xr:uid="{00000000-0006-0000-1100-000041000000}">
      <text>
        <r>
          <rPr>
            <b/>
            <sz val="9"/>
            <color indexed="81"/>
            <rFont val="Tahoma"/>
            <family val="2"/>
          </rPr>
          <t xml:space="preserve">Author:
Indexation resumes on 1 July 2020. </t>
        </r>
      </text>
    </comment>
  </commentList>
</comments>
</file>

<file path=xl/comments19.xml><?xml version="1.0" encoding="utf-8"?>
<comments xmlns="http://schemas.openxmlformats.org/spreadsheetml/2006/main" xmlns:mc="http://schemas.openxmlformats.org/markup-compatibility/2006" xmlns:xr="http://schemas.microsoft.com/office/spreadsheetml/2014/revision" mc:Ignorable="xr">
  <authors>
    <author>Li, Taike</author>
    <author>Bott, Mark</author>
    <author>Thompson, Alyse</author>
  </authors>
  <commentList>
    <comment ref="Y1" authorId="0" shapeId="0" xr:uid="{00000000-0006-0000-1200-000001000000}">
      <text>
        <r>
          <rPr>
            <b/>
            <sz val="9"/>
            <color indexed="81"/>
            <rFont val="Tahoma"/>
            <family val="2"/>
          </rPr>
          <t>Author:
Taper rate defined at 1068-G11 of the SSA 1991.</t>
        </r>
      </text>
    </comment>
    <comment ref="Z1" authorId="0" shapeId="0" xr:uid="{00000000-0006-0000-1200-000002000000}">
      <text>
        <r>
          <rPr>
            <b/>
            <sz val="9"/>
            <color indexed="81"/>
            <rFont val="Tahoma"/>
            <family val="2"/>
          </rPr>
          <t>Author:
Age requirement given in 660YBA of SSA 1991.</t>
        </r>
      </text>
    </comment>
    <comment ref="AA1" authorId="0" shapeId="0" xr:uid="{00000000-0006-0000-1200-000003000000}">
      <text>
        <r>
          <rPr>
            <b/>
            <sz val="9"/>
            <color indexed="81"/>
            <rFont val="Tahoma"/>
            <family val="2"/>
          </rPr>
          <t>Author:
Minimum age for new grants after 1 July 2005 is given by 408AA of the SSA 1991.</t>
        </r>
      </text>
    </comment>
    <comment ref="AB1" authorId="0" shapeId="0" xr:uid="{00000000-0006-0000-1200-000004000000}">
      <text>
        <r>
          <rPr>
            <b/>
            <sz val="9"/>
            <color indexed="81"/>
            <rFont val="Tahoma"/>
            <family val="2"/>
          </rPr>
          <t>Author:
PP child is defined by 500D of the SSA 1991.</t>
        </r>
      </text>
    </comment>
    <comment ref="O2" authorId="1" shapeId="0" xr:uid="{00000000-0006-0000-1200-000005000000}">
      <text>
        <r>
          <rPr>
            <b/>
            <sz val="9"/>
            <color indexed="81"/>
            <rFont val="Tahoma"/>
            <family val="2"/>
          </rPr>
          <t xml:space="preserve">Author:
NSA (s611), Sickness Allowance (s677), Special Benefit (s733), PPP (s500Q) are not payable if assets exceed assets value limit.
These amounts are equivalent to the pension AVLs, see s1201.
</t>
        </r>
      </text>
    </comment>
    <comment ref="E5" authorId="1" shapeId="0" xr:uid="{00000000-0006-0000-1200-000006000000}">
      <text>
        <r>
          <rPr>
            <b/>
            <sz val="9"/>
            <color indexed="81"/>
            <rFont val="Tahoma"/>
            <family val="2"/>
          </rPr>
          <t>Author:
sum of maximum basic rate and clean energy supplement.
amount is per fortnight</t>
        </r>
      </text>
    </comment>
    <comment ref="H5" authorId="1" shapeId="0" xr:uid="{00000000-0006-0000-1200-000007000000}">
      <text>
        <r>
          <rPr>
            <b/>
            <sz val="9"/>
            <color indexed="81"/>
            <rFont val="Tahoma"/>
            <family val="2"/>
          </rPr>
          <t>Author:
sum of maximum basic rate and clean energy supplement.
amount is per fortnight</t>
        </r>
      </text>
    </comment>
    <comment ref="K5" authorId="1" shapeId="0" xr:uid="{00000000-0006-0000-1200-000008000000}">
      <text>
        <r>
          <rPr>
            <b/>
            <sz val="9"/>
            <color indexed="81"/>
            <rFont val="Tahoma"/>
            <family val="2"/>
          </rPr>
          <t>Author:
sum of maximum basic rate and clean energy supplement.
amount is per fortnight</t>
        </r>
      </text>
    </comment>
    <comment ref="N5" authorId="1" shapeId="0" xr:uid="{00000000-0006-0000-1200-000009000000}">
      <text>
        <r>
          <rPr>
            <b/>
            <sz val="9"/>
            <color indexed="81"/>
            <rFont val="Tahoma"/>
            <family val="2"/>
          </rPr>
          <t>Author:
sum of maximum basic rate and clean energy supplement.
amount is per fortnight</t>
        </r>
      </text>
    </comment>
    <comment ref="S5" authorId="1" shapeId="0" xr:uid="{00000000-0006-0000-1200-00000A000000}">
      <text>
        <r>
          <rPr>
            <b/>
            <sz val="9"/>
            <color indexed="81"/>
            <rFont val="Tahoma"/>
            <family val="2"/>
          </rPr>
          <t>Author:
Amount at clause 1068-G12 SSA1991.</t>
        </r>
      </text>
    </comment>
    <comment ref="T5" authorId="1" shapeId="0" xr:uid="{00000000-0006-0000-1200-00000B000000}">
      <text>
        <r>
          <rPr>
            <b/>
            <sz val="9"/>
            <color indexed="81"/>
            <rFont val="Tahoma"/>
            <family val="2"/>
          </rPr>
          <t>Author:
Threshold in clauses 1068-G15 and 1068-G16 SSA 1991 + lower threshold.</t>
        </r>
      </text>
    </comment>
    <comment ref="W5" authorId="2" shapeId="0" xr:uid="{00000000-0006-0000-1200-00000C000000}">
      <text>
        <r>
          <rPr>
            <b/>
            <sz val="9"/>
            <color indexed="81"/>
            <rFont val="Tahoma"/>
            <family val="2"/>
          </rPr>
          <t>Author:
From 1st January 2013, the taper rate for sole parent NSA is set to match PPS.
s1068 - G17, SSA 1991</t>
        </r>
      </text>
    </comment>
    <comment ref="C6" authorId="1" shapeId="0" xr:uid="{00000000-0006-0000-1200-00000D000000}">
      <text>
        <r>
          <rPr>
            <b/>
            <sz val="9"/>
            <color indexed="81"/>
            <rFont val="Tahoma"/>
            <family val="2"/>
          </rPr>
          <t>Author:
Amount taken from table B s1068 SSA1991.
Indexed by CPI each March and September as per table in s1191 (see benefit MBR.)
amount is per fortnight</t>
        </r>
      </text>
    </comment>
    <comment ref="D6" authorId="1" shapeId="0" xr:uid="{00000000-0006-0000-1200-00000E000000}">
      <text>
        <r>
          <rPr>
            <b/>
            <sz val="9"/>
            <color indexed="81"/>
            <rFont val="Tahoma"/>
            <family val="2"/>
          </rPr>
          <t>Author:
Calculated as per clause 1068-C4 SSA 1991.
Indexed each September and March by CPI as per table in s1191 (see CEUPA rate 1).
amount is per fortnight
From 1 July 2014 rename Clean Energy Supplement to Energy Supplement.</t>
        </r>
      </text>
    </comment>
    <comment ref="F6" authorId="1" shapeId="0" xr:uid="{00000000-0006-0000-1200-00000F000000}">
      <text>
        <r>
          <rPr>
            <b/>
            <sz val="9"/>
            <color indexed="81"/>
            <rFont val="Tahoma"/>
            <family val="2"/>
          </rPr>
          <t>Author:
Amount taken from table B s1068 SSA1991.
Indexed by CPI each March and September as per table in s1191 (see benefit MBR.)
amount is per fortnight</t>
        </r>
      </text>
    </comment>
    <comment ref="G6" authorId="1" shapeId="0" xr:uid="{00000000-0006-0000-1200-000010000000}">
      <text>
        <r>
          <rPr>
            <b/>
            <sz val="9"/>
            <color indexed="81"/>
            <rFont val="Tahoma"/>
            <family val="2"/>
          </rPr>
          <t>Author:
Calculated as per clause 1068-C4 SSA 1991.
Indexed each September and March by CPI as per table in s1191 (see CEUPA rate 1).
amount is per fortnight
From 1 July 2014 rename Clean Energy Supplement to Energy Supplement.</t>
        </r>
      </text>
    </comment>
    <comment ref="I6" authorId="1" shapeId="0" xr:uid="{00000000-0006-0000-1200-000011000000}">
      <text>
        <r>
          <rPr>
            <b/>
            <sz val="9"/>
            <color indexed="81"/>
            <rFont val="Tahoma"/>
            <family val="2"/>
          </rPr>
          <t>Author:
Amount taken from table B s1068 SSA1991.
Indexed by CPI each March and September as per table in s1191 (see benefit MBR.)
amount is per fortnight</t>
        </r>
      </text>
    </comment>
    <comment ref="J6" authorId="1" shapeId="0" xr:uid="{00000000-0006-0000-1200-000012000000}">
      <text>
        <r>
          <rPr>
            <b/>
            <sz val="9"/>
            <color indexed="81"/>
            <rFont val="Tahoma"/>
            <family val="2"/>
          </rPr>
          <t>Author:
Calculated as per clause 1068-C4 SSA 1991.
Indexed each September and March by CPI as per table in s1191 (see CEUPA rate 1).
amount is per fortnight
From 1 July 2014 rename Clean Energy Supplement to Energy Supplement.</t>
        </r>
      </text>
    </comment>
    <comment ref="L6" authorId="1" shapeId="0" xr:uid="{00000000-0006-0000-1200-000013000000}">
      <text>
        <r>
          <rPr>
            <b/>
            <sz val="9"/>
            <color indexed="81"/>
            <rFont val="Tahoma"/>
            <family val="2"/>
          </rPr>
          <t>Author:
Amount taken from table B s1068 SSA1991.
Indexed by CPI each March and September as per table in s1191 (see benefit MBR.)
amount is per fortnight</t>
        </r>
      </text>
    </comment>
    <comment ref="M6" authorId="1" shapeId="0" xr:uid="{00000000-0006-0000-1200-000014000000}">
      <text>
        <r>
          <rPr>
            <b/>
            <sz val="9"/>
            <color indexed="81"/>
            <rFont val="Tahoma"/>
            <family val="2"/>
          </rPr>
          <t>Author:
Calculated as per clause 1068-C4 SSA 1991.
Indexed each September and March by CPI as per table in s1191 (see CEUPA rate 1).
amount is per fortnight
From 1 July 2014 rename Clean Energy Supplement to Energy Supplement.</t>
        </r>
      </text>
    </comment>
    <comment ref="U6" authorId="1" shapeId="0" xr:uid="{00000000-0006-0000-1200-000015000000}">
      <text>
        <r>
          <rPr>
            <b/>
            <sz val="9"/>
            <color indexed="81"/>
            <rFont val="Tahoma"/>
            <family val="2"/>
          </rPr>
          <t>Author:
Factor at clause 1068-G15 SSA 1991.</t>
        </r>
      </text>
    </comment>
    <comment ref="V6" authorId="1" shapeId="0" xr:uid="{00000000-0006-0000-1200-000016000000}">
      <text>
        <r>
          <rPr>
            <b/>
            <sz val="9"/>
            <color indexed="81"/>
            <rFont val="Tahoma"/>
            <family val="2"/>
          </rPr>
          <t>Author:
Factor at clause s1068-G16 SSA 1991.</t>
        </r>
      </text>
    </comment>
  </commentList>
</comments>
</file>

<file path=xl/comments20.xml><?xml version="1.0" encoding="utf-8"?>
<comments xmlns="http://schemas.openxmlformats.org/spreadsheetml/2006/main" xmlns:mc="http://schemas.openxmlformats.org/markup-compatibility/2006" xmlns:xr="http://schemas.microsoft.com/office/spreadsheetml/2014/revision" mc:Ignorable="xr">
  <authors>
    <author>Li, Taike</author>
    <author>Ledda, Daniel</author>
    <author>Bott, Mark</author>
    <author>Guttmann, Ben</author>
    <author>Quoc Ngu Vu</author>
    <author>Bullen, Jared</author>
  </authors>
  <commentList>
    <comment ref="AC1" authorId="0" shapeId="0" xr:uid="{00000000-0006-0000-1300-000001000000}">
      <text>
        <r>
          <rPr>
            <b/>
            <sz val="9"/>
            <color indexed="81"/>
            <rFont val="Tahoma"/>
            <family val="2"/>
          </rPr>
          <t>Author:
Minimum age for YA recipients is given at 543A of the SSA 1991.
Only eligible for payment if actual age is greater than or equal to the minimum age specified here.</t>
        </r>
      </text>
    </comment>
    <comment ref="AD1" authorId="0" shapeId="0" xr:uid="{00000000-0006-0000-1300-000002000000}">
      <text>
        <r>
          <rPr>
            <b/>
            <sz val="9"/>
            <color indexed="81"/>
            <rFont val="Tahoma"/>
            <family val="2"/>
          </rPr>
          <t>Author:
YA maximum age is given by 543B of SSA 1991.
Only eligible for payment if actual age is less than the maximum age specified here.</t>
        </r>
      </text>
    </comment>
    <comment ref="AE1" authorId="1" shapeId="0" xr:uid="{00000000-0006-0000-1300-000003000000}">
      <text>
        <r>
          <rPr>
            <b/>
            <sz val="9"/>
            <color indexed="81"/>
            <rFont val="Tahoma"/>
            <family val="2"/>
          </rPr>
          <t>Author:
Assumption used in allowances module of CAPITA</t>
        </r>
      </text>
    </comment>
    <comment ref="AF1" authorId="0" shapeId="0" xr:uid="{00000000-0006-0000-1300-000004000000}">
      <text>
        <r>
          <rPr>
            <b/>
            <sz val="9"/>
            <color indexed="81"/>
            <rFont val="Tahoma"/>
            <family val="2"/>
          </rPr>
          <t>Author:
Reduction rate for parental income excess if given by 1067G-F27 and F28 of the SSA 1991.</t>
        </r>
      </text>
    </comment>
    <comment ref="AG1" authorId="0" shapeId="0" xr:uid="{00000000-0006-0000-1300-000005000000}">
      <text>
        <r>
          <rPr>
            <b/>
            <sz val="9"/>
            <color indexed="81"/>
            <rFont val="Tahoma"/>
            <family val="2"/>
          </rPr>
          <t>Author:
Amount should be linked to 38N of Schedule 1 to the A New Tax System (Family Assistance) Act 1999, but taking the value at 1 Jan of that year. The lagging by 2 quarters is deliberate.
1067G-F22 SSA 1991</t>
        </r>
      </text>
    </comment>
    <comment ref="Z2" authorId="2" shapeId="0" xr:uid="{00000000-0006-0000-1300-000006000000}">
      <text>
        <r>
          <rPr>
            <b/>
            <sz val="9"/>
            <color indexed="81"/>
            <rFont val="Tahoma"/>
            <family val="2"/>
          </rPr>
          <t>Author:
These amounts are all indexed by CPI each January as per table in s1191 SSA1991. (See relocatiuon scholarship payment amount.)</t>
        </r>
      </text>
    </comment>
    <comment ref="Y3" authorId="2" shapeId="0" xr:uid="{00000000-0006-0000-1300-000007000000}">
      <text>
        <r>
          <rPr>
            <sz val="9"/>
            <color indexed="81"/>
            <rFont val="Tahoma"/>
            <family val="2"/>
          </rPr>
          <t xml:space="preserve">Age at which a full time student becomes independent.
See table in s1067 (4) SSA1991.
(Not currently used in CAPITA, but may be required for workforce independence imputation in basefiles). </t>
        </r>
      </text>
    </comment>
    <comment ref="E4" authorId="3" shapeId="0" xr:uid="{00000000-0006-0000-1300-000008000000}">
      <text>
        <r>
          <rPr>
            <b/>
            <sz val="9"/>
            <color indexed="81"/>
            <rFont val="Tahoma"/>
            <family val="2"/>
          </rPr>
          <t xml:space="preserve">Author:
payment amount is per fortnight </t>
        </r>
      </text>
    </comment>
    <comment ref="H4" authorId="2" shapeId="0" xr:uid="{00000000-0006-0000-1300-000009000000}">
      <text>
        <r>
          <rPr>
            <b/>
            <sz val="9"/>
            <color indexed="81"/>
            <rFont val="Tahoma"/>
            <family val="2"/>
          </rPr>
          <t xml:space="preserve">Author:
Sum of maximum basic rate and clean energy supplement.
payment amount is per fortnight </t>
        </r>
      </text>
    </comment>
    <comment ref="E5" authorId="2" shapeId="0" xr:uid="{00000000-0006-0000-1300-00000A000000}">
      <text>
        <r>
          <rPr>
            <b/>
            <sz val="9"/>
            <color indexed="81"/>
            <rFont val="Tahoma"/>
            <family val="2"/>
          </rPr>
          <t>Author:
Sum of maximum basic rate and clean energy supplement.</t>
        </r>
      </text>
    </comment>
    <comment ref="K5" authorId="2" shapeId="0" xr:uid="{00000000-0006-0000-1300-00000B000000}">
      <text>
        <r>
          <rPr>
            <b/>
            <sz val="9"/>
            <color indexed="81"/>
            <rFont val="Tahoma"/>
            <family val="2"/>
          </rPr>
          <t xml:space="preserve">Author:
Sum of maximum basic rate and clean energy supplement.
payment amount is per fortnight </t>
        </r>
      </text>
    </comment>
    <comment ref="N5" authorId="2" shapeId="0" xr:uid="{00000000-0006-0000-1300-00000C000000}">
      <text>
        <r>
          <rPr>
            <b/>
            <sz val="9"/>
            <color indexed="81"/>
            <rFont val="Tahoma"/>
            <family val="2"/>
          </rPr>
          <t xml:space="preserve">Author:
Sum of maximum basic rate and clean energy supplement.
payment amount is per fortnight </t>
        </r>
      </text>
    </comment>
    <comment ref="Q5" authorId="2" shapeId="0" xr:uid="{00000000-0006-0000-1300-00000D000000}">
      <text>
        <r>
          <rPr>
            <b/>
            <sz val="9"/>
            <color indexed="81"/>
            <rFont val="Tahoma"/>
            <family val="2"/>
          </rPr>
          <t xml:space="preserve">Author:
Sum of maximum basic rate and clean energy supplement.
payment amount is per fortnight </t>
        </r>
      </text>
    </comment>
    <comment ref="T5" authorId="2" shapeId="0" xr:uid="{00000000-0006-0000-1300-00000E000000}">
      <text>
        <r>
          <rPr>
            <b/>
            <sz val="9"/>
            <color indexed="81"/>
            <rFont val="Tahoma"/>
            <family val="2"/>
          </rPr>
          <t xml:space="preserve">Author:
Sum of maximum basic rate and clean energy supplement.
payment amount is per fortnight </t>
        </r>
      </text>
    </comment>
    <comment ref="Z5" authorId="2" shapeId="0" xr:uid="{00000000-0006-0000-1300-00000F000000}">
      <text>
        <r>
          <rPr>
            <b/>
            <sz val="9"/>
            <color indexed="81"/>
            <rFont val="Tahoma"/>
            <family val="2"/>
          </rPr>
          <t>Author:
Amount paid if person has never received a relocation allowance.
See s592L(1) SSA1991.</t>
        </r>
      </text>
    </comment>
    <comment ref="AA5" authorId="2" shapeId="0" xr:uid="{00000000-0006-0000-1300-000010000000}">
      <text>
        <r>
          <rPr>
            <b/>
            <sz val="9"/>
            <color indexed="81"/>
            <rFont val="Tahoma"/>
            <family val="2"/>
          </rPr>
          <t>Author:
Amount of Scholarship paid in 2nd and 3rd years of study.
See s592L(4) SSA1991.</t>
        </r>
      </text>
    </comment>
    <comment ref="AB5" authorId="2" shapeId="0" xr:uid="{00000000-0006-0000-1300-000011000000}">
      <text>
        <r>
          <rPr>
            <b/>
            <sz val="9"/>
            <color indexed="81"/>
            <rFont val="Tahoma"/>
            <family val="2"/>
          </rPr>
          <t>Author:
Rate of scholarship in 4th or subsequent year of study.
See s592L(3) SSA 1991.</t>
        </r>
      </text>
    </comment>
    <comment ref="C6" authorId="2" shapeId="0" xr:uid="{00000000-0006-0000-1300-000012000000}">
      <text>
        <r>
          <rPr>
            <b/>
            <sz val="9"/>
            <color indexed="81"/>
            <rFont val="Tahoma"/>
            <family val="2"/>
          </rPr>
          <t xml:space="preserve">Author:
Rate at table BA, item 1, clause 1067G-B2 SSA 1991.
Indexed by CPI each January as per table in s1191. (See CEUAP rate 4.) 
payment amount is per fortnight </t>
        </r>
      </text>
    </comment>
    <comment ref="D6" authorId="2" shapeId="0" xr:uid="{00000000-0006-0000-1300-000013000000}">
      <text>
        <r>
          <rPr>
            <b/>
            <sz val="9"/>
            <color indexed="81"/>
            <rFont val="Tahoma"/>
            <family val="2"/>
          </rPr>
          <t>Author:
Amount at clause 1067G-BA3 SSA1991.
Indexed each January by CPI as per the table in s1191. (see CPEUA rate 4.)
payment amount is per fortnight 
From 1 July 2014 rename Clean Energy Supplement to Energy Supplement.</t>
        </r>
      </text>
    </comment>
    <comment ref="F6" authorId="2" shapeId="0" xr:uid="{00000000-0006-0000-1300-000014000000}">
      <text>
        <r>
          <rPr>
            <b/>
            <sz val="9"/>
            <color indexed="81"/>
            <rFont val="Tahoma"/>
            <family val="2"/>
          </rPr>
          <t xml:space="preserve">Author:
Rate at table BA, item 2, clause 1067G-B2 SSA 1991.
Indexed by CPI each January as per table in s1191. (See CEUAP rate 4.) 
payment amount is per fortnight </t>
        </r>
      </text>
    </comment>
    <comment ref="G6" authorId="2" shapeId="0" xr:uid="{00000000-0006-0000-1300-000015000000}">
      <text>
        <r>
          <rPr>
            <b/>
            <sz val="9"/>
            <color indexed="81"/>
            <rFont val="Tahoma"/>
            <family val="2"/>
          </rPr>
          <t>Author:
Amount at clause 1067G-BA3 SSA1991.
Indexed each January by CPI as per the table in s1191. (see CPEUA rate 4.)
payment amount is per fortnight 
From 1 July 2014 rename Clean Energy Supplement to Energy Supplement.</t>
        </r>
      </text>
    </comment>
    <comment ref="I6" authorId="2" shapeId="0" xr:uid="{00000000-0006-0000-1300-000016000000}">
      <text>
        <r>
          <rPr>
            <b/>
            <sz val="9"/>
            <color indexed="81"/>
            <rFont val="Tahoma"/>
            <family val="2"/>
          </rPr>
          <t xml:space="preserve">Author:
Rate at table BA, item 3, clause 1067G-B2 SSA 1991 and table BB, item 8 clause 1067G-B3.
Indexed by CPI each January as per table in s1191. (See CEUAP rate 4.) 
payment amount is per fortnight </t>
        </r>
      </text>
    </comment>
    <comment ref="J6" authorId="2" shapeId="0" xr:uid="{00000000-0006-0000-1300-000017000000}">
      <text>
        <r>
          <rPr>
            <b/>
            <sz val="9"/>
            <color indexed="81"/>
            <rFont val="Tahoma"/>
            <family val="2"/>
          </rPr>
          <t>Author:
Amount at clause 1067G-BA3 SSA1991.
Indexed each January by CPI as per the table in s1191. (see CPEUA rate 4.)
payment amount is per fortnight 
From 1 July 2014 rename Clean Energy Supplement to Energy Supplement.</t>
        </r>
      </text>
    </comment>
    <comment ref="L6" authorId="2" shapeId="0" xr:uid="{00000000-0006-0000-1300-000018000000}">
      <text>
        <r>
          <rPr>
            <b/>
            <sz val="9"/>
            <color indexed="81"/>
            <rFont val="Tahoma"/>
            <family val="2"/>
          </rPr>
          <t xml:space="preserve">Author:
Rate at table BB, item 8, clause 1067G-B3 SSA 1991.
Indexed by CPI each January as per table in s1191. (See CEUAP rate 4.)
payment amount is per fortnight </t>
        </r>
      </text>
    </comment>
    <comment ref="M6" authorId="2" shapeId="0" xr:uid="{00000000-0006-0000-1300-000019000000}">
      <text>
        <r>
          <rPr>
            <b/>
            <sz val="9"/>
            <color indexed="81"/>
            <rFont val="Tahoma"/>
            <family val="2"/>
          </rPr>
          <t>Author:
Amount at clause 1067G-BA3 SSA1991.
Indexed each January by CPI as per the table in s1191. (see CPEUA rate 4.)
payment amount is per fortnight 
From 1 July 2014 rename Clean Energy Supplement to Energy Supplement.</t>
        </r>
      </text>
    </comment>
    <comment ref="O6" authorId="2" shapeId="0" xr:uid="{00000000-0006-0000-1300-00001A000000}">
      <text>
        <r>
          <rPr>
            <b/>
            <sz val="9"/>
            <color indexed="81"/>
            <rFont val="Tahoma"/>
            <family val="2"/>
          </rPr>
          <t xml:space="preserve">Author:
Rate at table BB, item 7, clause 1067G-B3 SSA 1991.
Indexed by CPI each January as per table in s1191. (See CEUAP rate 4.) 
payment amount is per fortnight </t>
        </r>
      </text>
    </comment>
    <comment ref="P6" authorId="2" shapeId="0" xr:uid="{00000000-0006-0000-1300-00001B000000}">
      <text>
        <r>
          <rPr>
            <b/>
            <sz val="9"/>
            <color indexed="81"/>
            <rFont val="Tahoma"/>
            <family val="2"/>
          </rPr>
          <t>Author:
Amount at clause 1067G-BA3 SSA1991.
Indexed each January by CPI as per the table in s1191. (see CPEUA rate 4.)
payment amount is per fortnight 
From 1 July 2014 rename Clean Energy Supplement to Energy Supplement.</t>
        </r>
      </text>
    </comment>
    <comment ref="R6" authorId="2" shapeId="0" xr:uid="{00000000-0006-0000-1300-00001C000000}">
      <text>
        <r>
          <rPr>
            <b/>
            <sz val="9"/>
            <color indexed="81"/>
            <rFont val="Tahoma"/>
            <family val="2"/>
          </rPr>
          <t xml:space="preserve">Author:
Rate at table BB, item 6, clause 1067G-B3 SSA 1991.
Indexed by CPI each January as per table in s1191. (See CEUAP rate 4.) 
payment amount is per fortnight </t>
        </r>
      </text>
    </comment>
    <comment ref="S6" authorId="2" shapeId="0" xr:uid="{00000000-0006-0000-1300-00001D000000}">
      <text>
        <r>
          <rPr>
            <b/>
            <sz val="9"/>
            <color indexed="81"/>
            <rFont val="Tahoma"/>
            <family val="2"/>
          </rPr>
          <t>Author:
Amount at clause 1067G-BA3 SSA1991.
Indexed each January by CPI as per the table in s1191. (see CPEUA rate 4.)
payment amount is per fortnight 
From 1 July 2014 rename Clean Energy Supplement to Energy Supplement.</t>
        </r>
      </text>
    </comment>
    <comment ref="U6" authorId="2" shapeId="0" xr:uid="{00000000-0006-0000-1300-00001E000000}">
      <text>
        <r>
          <rPr>
            <b/>
            <sz val="9"/>
            <color indexed="81"/>
            <rFont val="Tahoma"/>
            <family val="2"/>
          </rPr>
          <t xml:space="preserve">Author:
Amout at clause 1067G-H29(a) SSA1991.
From 1st January 2013, indexed each January as per table in s1191. (See YA and Austudy ordinary income free area.)
amount is per fortnight 
Amount is for students and Australian Apprentices.  There is a different income free area for job seekers. 
</t>
        </r>
      </text>
    </comment>
    <comment ref="V6" authorId="2" shapeId="0" xr:uid="{00000000-0006-0000-1300-00001F000000}">
      <text>
        <r>
          <rPr>
            <b/>
            <sz val="9"/>
            <color indexed="81"/>
            <rFont val="Tahoma"/>
            <family val="2"/>
          </rPr>
          <t xml:space="preserve">Author:
Amount at clause 1067G-H32(a) + lower threshold.
From 1st January 2013, difference between two thresholds is indexed each January as per table in s1191. (See YA and Austudy reduction boundary.)
amount is per fortnight </t>
        </r>
      </text>
    </comment>
    <comment ref="W6" authorId="2" shapeId="0" xr:uid="{00000000-0006-0000-1300-000020000000}">
      <text>
        <r>
          <rPr>
            <b/>
            <sz val="9"/>
            <color indexed="81"/>
            <rFont val="Tahoma"/>
            <family val="2"/>
          </rPr>
          <t>Author:
Factor at clause 1067G-H32 SSA1991</t>
        </r>
      </text>
    </comment>
    <comment ref="X6" authorId="2" shapeId="0" xr:uid="{00000000-0006-0000-1300-000021000000}">
      <text>
        <r>
          <rPr>
            <b/>
            <sz val="9"/>
            <color indexed="81"/>
            <rFont val="Tahoma"/>
            <family val="2"/>
          </rPr>
          <t>Author:
Factor at clause 067G-H33 SSA1991.</t>
        </r>
      </text>
    </comment>
    <comment ref="C14" authorId="2" shapeId="0" xr:uid="{00000000-0006-0000-1300-000022000000}">
      <text>
        <r>
          <rPr>
            <b/>
            <sz val="9"/>
            <color indexed="81"/>
            <rFont val="Tahoma"/>
            <family val="2"/>
          </rPr>
          <t>Author:
Indexation suppresion for ANTS package here. Value hard coded.</t>
        </r>
      </text>
    </comment>
    <comment ref="F14" authorId="2" shapeId="0" xr:uid="{00000000-0006-0000-1300-000023000000}">
      <text>
        <r>
          <rPr>
            <b/>
            <sz val="9"/>
            <color indexed="81"/>
            <rFont val="Tahoma"/>
            <family val="2"/>
          </rPr>
          <t>Author:
Indexation suppresion for ANTS package here. Value hard coded.</t>
        </r>
      </text>
    </comment>
    <comment ref="I14" authorId="2" shapeId="0" xr:uid="{00000000-0006-0000-1300-000024000000}">
      <text>
        <r>
          <rPr>
            <b/>
            <sz val="9"/>
            <color indexed="81"/>
            <rFont val="Tahoma"/>
            <family val="2"/>
          </rPr>
          <t>Author:
Indexation suppresion for ANTS package here. Value hard coded.</t>
        </r>
      </text>
    </comment>
    <comment ref="L14" authorId="2" shapeId="0" xr:uid="{00000000-0006-0000-1300-000025000000}">
      <text>
        <r>
          <rPr>
            <b/>
            <sz val="9"/>
            <color indexed="81"/>
            <rFont val="Tahoma"/>
            <family val="2"/>
          </rPr>
          <t>Author:
Indexation suppresion for ANTS package here. Value hard coded.</t>
        </r>
      </text>
    </comment>
    <comment ref="O14" authorId="2" shapeId="0" xr:uid="{00000000-0006-0000-1300-000026000000}">
      <text>
        <r>
          <rPr>
            <b/>
            <sz val="9"/>
            <color indexed="81"/>
            <rFont val="Tahoma"/>
            <family val="2"/>
          </rPr>
          <t>Author:
Indexation suppresion for ANTS package here. Value hard coded.</t>
        </r>
      </text>
    </comment>
    <comment ref="R14" authorId="2" shapeId="0" xr:uid="{00000000-0006-0000-1300-000027000000}">
      <text>
        <r>
          <rPr>
            <b/>
            <sz val="9"/>
            <color indexed="81"/>
            <rFont val="Tahoma"/>
            <family val="2"/>
          </rPr>
          <t>Author:
Indexation suppresion for ANTS package here. Value hard coded.</t>
        </r>
      </text>
    </comment>
    <comment ref="AF46" authorId="4" shapeId="0" xr:uid="{00000000-0006-0000-1300-000028000000}">
      <text>
        <r>
          <rPr>
            <b/>
            <sz val="9"/>
            <color indexed="81"/>
            <rFont val="Tahoma"/>
            <family val="2"/>
          </rPr>
          <t>Author:
Apply per family rather than per individual from 1/1/2010</t>
        </r>
      </text>
    </comment>
    <comment ref="AG46" authorId="4" shapeId="0" xr:uid="{00000000-0006-0000-1300-000029000000}">
      <text>
        <r>
          <rPr>
            <b/>
            <sz val="9"/>
            <color indexed="81"/>
            <rFont val="Tahoma"/>
            <family val="2"/>
          </rPr>
          <t>Author:
Revised 15 September 09.</t>
        </r>
      </text>
    </comment>
    <comment ref="Z54" authorId="5" shapeId="0" xr:uid="{00000000-0006-0000-1300-00002A000000}">
      <text>
        <r>
          <rPr>
            <b/>
            <sz val="9"/>
            <color indexed="81"/>
            <rFont val="Tahoma"/>
            <family val="2"/>
          </rPr>
          <t>Author:
MYEFO November 2011.  See appendix A pg232.</t>
        </r>
      </text>
    </comment>
    <comment ref="AA54" authorId="5" shapeId="0" xr:uid="{00000000-0006-0000-1300-00002B000000}">
      <text>
        <r>
          <rPr>
            <b/>
            <sz val="9"/>
            <color indexed="81"/>
            <rFont val="Tahoma"/>
            <family val="2"/>
          </rPr>
          <t>Author:
MYEFO November 2011.  See appendix A pg232.</t>
        </r>
      </text>
    </comment>
    <comment ref="AB54" authorId="5" shapeId="0" xr:uid="{00000000-0006-0000-1300-00002C000000}">
      <text>
        <r>
          <rPr>
            <b/>
            <sz val="9"/>
            <color indexed="81"/>
            <rFont val="Tahoma"/>
            <family val="2"/>
          </rPr>
          <t>Author:
MYEFO November 2011.  See appendix A pg232.</t>
        </r>
      </text>
    </comment>
    <comment ref="V56" authorId="5" shapeId="0" xr:uid="{00000000-0006-0000-1300-00002D000000}">
      <text>
        <r>
          <rPr>
            <b/>
            <sz val="9"/>
            <color indexed="81"/>
            <rFont val="Tahoma"/>
            <family val="2"/>
          </rPr>
          <t>Author:
Increase in income thresholds for students</t>
        </r>
      </text>
    </comment>
    <comment ref="V58" authorId="5" shapeId="0" xr:uid="{00000000-0006-0000-1300-00002E000000}">
      <text>
        <r>
          <rPr>
            <sz val="9"/>
            <color indexed="81"/>
            <rFont val="Tahoma"/>
            <family val="2"/>
          </rPr>
          <t>Indexation begins.</t>
        </r>
        <r>
          <rPr>
            <b/>
            <sz val="9"/>
            <color indexed="81"/>
            <rFont val="Tahoma"/>
            <family val="2"/>
          </rPr>
          <t xml:space="preserve"> </t>
        </r>
      </text>
    </comment>
    <comment ref="C62" authorId="5" shapeId="0" xr:uid="{00000000-0006-0000-1300-00002F000000}">
      <text>
        <r>
          <rPr>
            <b/>
            <sz val="9"/>
            <color indexed="81"/>
            <rFont val="Tahoma"/>
            <family val="2"/>
          </rPr>
          <t>Author:
clawback period</t>
        </r>
      </text>
    </comment>
    <comment ref="F62" authorId="5" shapeId="0" xr:uid="{00000000-0006-0000-1300-000030000000}">
      <text>
        <r>
          <rPr>
            <b/>
            <sz val="9"/>
            <color indexed="81"/>
            <rFont val="Tahoma"/>
            <family val="2"/>
          </rPr>
          <t>Author:
clawback period</t>
        </r>
      </text>
    </comment>
    <comment ref="I62" authorId="5" shapeId="0" xr:uid="{00000000-0006-0000-1300-000031000000}">
      <text>
        <r>
          <rPr>
            <b/>
            <sz val="9"/>
            <color indexed="81"/>
            <rFont val="Tahoma"/>
            <family val="2"/>
          </rPr>
          <t>Author:
clawback period</t>
        </r>
      </text>
    </comment>
    <comment ref="L62" authorId="5" shapeId="0" xr:uid="{00000000-0006-0000-1300-000032000000}">
      <text>
        <r>
          <rPr>
            <b/>
            <sz val="9"/>
            <color indexed="81"/>
            <rFont val="Tahoma"/>
            <family val="2"/>
          </rPr>
          <t>Author:
clawback period</t>
        </r>
      </text>
    </comment>
    <comment ref="O62" authorId="5" shapeId="0" xr:uid="{00000000-0006-0000-1300-000033000000}">
      <text>
        <r>
          <rPr>
            <b/>
            <sz val="9"/>
            <color indexed="81"/>
            <rFont val="Tahoma"/>
            <family val="2"/>
          </rPr>
          <t>Author:
clawback period</t>
        </r>
      </text>
    </comment>
    <comment ref="R62" authorId="5" shapeId="0" xr:uid="{00000000-0006-0000-1300-000034000000}">
      <text>
        <r>
          <rPr>
            <b/>
            <sz val="9"/>
            <color indexed="81"/>
            <rFont val="Tahoma"/>
            <family val="2"/>
          </rPr>
          <t>Author:
clawback period</t>
        </r>
      </text>
    </comment>
    <comment ref="D64" authorId="0" shapeId="0" xr:uid="{00000000-0006-0000-1300-000035000000}">
      <text>
        <r>
          <rPr>
            <b/>
            <sz val="9"/>
            <color indexed="81"/>
            <rFont val="Tahoma"/>
            <family val="2"/>
          </rPr>
          <t>Author:
Cease indexation form 1 July 2014. Budget 2014-15</t>
        </r>
      </text>
    </comment>
    <comment ref="G64" authorId="0" shapeId="0" xr:uid="{00000000-0006-0000-1300-000036000000}">
      <text>
        <r>
          <rPr>
            <b/>
            <sz val="9"/>
            <color indexed="81"/>
            <rFont val="Tahoma"/>
            <family val="2"/>
          </rPr>
          <t>Author:
Cease indexation form 1 July 2014. Budget 2014-15</t>
        </r>
      </text>
    </comment>
    <comment ref="J64" authorId="0" shapeId="0" xr:uid="{00000000-0006-0000-1300-000037000000}">
      <text>
        <r>
          <rPr>
            <b/>
            <sz val="9"/>
            <color indexed="81"/>
            <rFont val="Tahoma"/>
            <family val="2"/>
          </rPr>
          <t>Author:
Cease indexation form 1 July 2014. Budget 2014-15</t>
        </r>
      </text>
    </comment>
    <comment ref="M64" authorId="0" shapeId="0" xr:uid="{00000000-0006-0000-1300-000038000000}">
      <text>
        <r>
          <rPr>
            <b/>
            <sz val="9"/>
            <color indexed="81"/>
            <rFont val="Tahoma"/>
            <family val="2"/>
          </rPr>
          <t>Author:
Cease indexation form 1 July 2014. Budget 2014-15</t>
        </r>
      </text>
    </comment>
    <comment ref="P64" authorId="0" shapeId="0" xr:uid="{00000000-0006-0000-1300-000039000000}">
      <text>
        <r>
          <rPr>
            <b/>
            <sz val="9"/>
            <color indexed="81"/>
            <rFont val="Tahoma"/>
            <family val="2"/>
          </rPr>
          <t>Author:
Cease indexation form 1 July 2014. Budget 2014-15</t>
        </r>
      </text>
    </comment>
    <comment ref="S64" authorId="0" shapeId="0" xr:uid="{00000000-0006-0000-1300-00003A000000}">
      <text>
        <r>
          <rPr>
            <b/>
            <sz val="9"/>
            <color indexed="81"/>
            <rFont val="Tahoma"/>
            <family val="2"/>
          </rPr>
          <t>Author:
Cease indexation form 1 July 2014. Budget 2014-15</t>
        </r>
      </text>
    </comment>
    <comment ref="AG68" authorId="0" shapeId="0" xr:uid="{00000000-0006-0000-1300-00003B000000}">
      <text>
        <r>
          <rPr>
            <b/>
            <sz val="9"/>
            <color indexed="81"/>
            <rFont val="Tahoma"/>
            <family val="2"/>
          </rPr>
          <t xml:space="preserve">Author:
Budget 2014-15, BP2 (p204) - pause indexation of eligibility thresholds until 1 July 2017.
</t>
        </r>
      </text>
    </comment>
    <comment ref="D73" authorId="1" shapeId="0" xr:uid="{00000000-0006-0000-1300-00003C000000}">
      <text>
        <r>
          <rPr>
            <b/>
            <sz val="9"/>
            <color indexed="81"/>
            <rFont val="Tahoma"/>
            <family val="2"/>
          </rPr>
          <t xml:space="preserve">Author:
Budget 2016-17 - Energy supplement to be removed with grandfathering from 20/09/2016. Grandfathering modelled in CAPITA. 
See Budget 2016-17, BP2 (pg 143) - National Disability Insurance Scheme Savings Fund - removal of carbon tax compensation. </t>
        </r>
      </text>
    </comment>
    <comment ref="G73" authorId="1" shapeId="0" xr:uid="{00000000-0006-0000-1300-00003D000000}">
      <text>
        <r>
          <rPr>
            <b/>
            <sz val="9"/>
            <color indexed="81"/>
            <rFont val="Tahoma"/>
            <family val="2"/>
          </rPr>
          <t xml:space="preserve">Author:
Budget 2016-17 - Energy supplement to be removed with grandfathering from 20/09/2016. Grandfathering modelled in CAPITA. 
See Budget 2016-17, BP2 (pg 143) - National Disability Insurance Scheme Savings Fund - removal of carbon tax compensation. </t>
        </r>
      </text>
    </comment>
    <comment ref="J73" authorId="1" shapeId="0" xr:uid="{00000000-0006-0000-1300-00003E000000}">
      <text>
        <r>
          <rPr>
            <b/>
            <sz val="9"/>
            <color indexed="81"/>
            <rFont val="Tahoma"/>
            <family val="2"/>
          </rPr>
          <t xml:space="preserve">Author:
Budget 2016-17 - Energy supplement to be removed with grandfathering from 20/09/2016. Grandfathering modelled in CAPITA. 
See Budget 2016-17, BP2 (pg 143) - National Disability Insurance Scheme Savings Fund - removal of carbon tax compensation. </t>
        </r>
      </text>
    </comment>
    <comment ref="M73" authorId="1" shapeId="0" xr:uid="{00000000-0006-0000-1300-00003F000000}">
      <text>
        <r>
          <rPr>
            <b/>
            <sz val="9"/>
            <color indexed="81"/>
            <rFont val="Tahoma"/>
            <family val="2"/>
          </rPr>
          <t xml:space="preserve">Author:
Budget 2016-17 - Energy supplement to be removed with grandfathering from 20/09/2016. Grandfathering modelled in CAPITA. 
See Budget 2016-17, BP2 (pg 143) - National Disability Insurance Scheme Savings Fund - removal of carbon tax compensation. </t>
        </r>
      </text>
    </comment>
    <comment ref="P73" authorId="1" shapeId="0" xr:uid="{00000000-0006-0000-1300-000040000000}">
      <text>
        <r>
          <rPr>
            <b/>
            <sz val="9"/>
            <color indexed="81"/>
            <rFont val="Tahoma"/>
            <family val="2"/>
          </rPr>
          <t xml:space="preserve">Author:
Budget 2016-17 - Energy supplement to be removed with grandfathering from 20/09/2016. Grandfathering modelled in CAPITA. 
See Budget 2016-17, BP2 (pg 143) - National Disability Insurance Scheme Savings Fund - removal of carbon tax compensation. </t>
        </r>
      </text>
    </comment>
    <comment ref="S73" authorId="1" shapeId="0" xr:uid="{00000000-0006-0000-1300-000041000000}">
      <text>
        <r>
          <rPr>
            <b/>
            <sz val="9"/>
            <color indexed="81"/>
            <rFont val="Tahoma"/>
            <family val="2"/>
          </rPr>
          <t xml:space="preserve">Author:
Budget 2016-17 - Energy supplement to be removed with grandfathering from 20/09/2016. Grandfathering modelled in CAPITA. 
See Budget 2016-17, BP2 (pg 143) - National Disability Insurance Scheme Savings Fund - removal of carbon tax compensation. </t>
        </r>
      </text>
    </comment>
    <comment ref="AG76" authorId="0" shapeId="0" xr:uid="{00000000-0006-0000-1300-000042000000}">
      <text>
        <r>
          <rPr>
            <b/>
            <sz val="9"/>
            <color indexed="81"/>
            <rFont val="Tahoma"/>
            <family val="2"/>
          </rPr>
          <t>Author:
MYEFO 2014-15 (p195) indexation pause continues</t>
        </r>
      </text>
    </comment>
    <comment ref="D77" authorId="1" shapeId="0" xr:uid="{00000000-0006-0000-1300-000043000000}">
      <text>
        <r>
          <rPr>
            <b/>
            <sz val="9"/>
            <color indexed="81"/>
            <rFont val="Tahoma"/>
            <family val="2"/>
          </rPr>
          <t xml:space="preserve">Author:
Removal of energy supplement with grandfathering for Income Support Payments (measure from 1617 Budget) to commence 20 Sep 2017 (slipped from 20 Sep 2016), however the grandfathering date remains at 20 Sep 2016. 
Advice provided by DSS. Changes made to CAPITA code. </t>
        </r>
      </text>
    </comment>
    <comment ref="G77" authorId="1" shapeId="0" xr:uid="{00000000-0006-0000-1300-000044000000}">
      <text>
        <r>
          <rPr>
            <b/>
            <sz val="9"/>
            <color indexed="81"/>
            <rFont val="Tahoma"/>
            <family val="2"/>
          </rPr>
          <t xml:space="preserve">Author:
Removal of energy supplement with grandfathering for Income Support Payments (measure from 1617 Budget) to commence 20 Sep 2017 (slipped from 20 Sep 2016), however the grandfathering date remains at 20 Sep 2016. 
Advice provided by DSS. Changes made to CAPITA code. </t>
        </r>
      </text>
    </comment>
    <comment ref="J77" authorId="1" shapeId="0" xr:uid="{00000000-0006-0000-1300-000045000000}">
      <text>
        <r>
          <rPr>
            <b/>
            <sz val="9"/>
            <color indexed="81"/>
            <rFont val="Tahoma"/>
            <family val="2"/>
          </rPr>
          <t xml:space="preserve">Author:
Removal of energy supplement with grandfathering for Income Support Payments (measure from 1617 Budget) to commence 20 Sep 2017 (slipped from 20 Sep 2016), however the grandfathering date remains at 20 Sep 2016. 
Advice provided by DSS. Changes made to CAPITA code. </t>
        </r>
      </text>
    </comment>
    <comment ref="M77" authorId="1" shapeId="0" xr:uid="{00000000-0006-0000-1300-000046000000}">
      <text>
        <r>
          <rPr>
            <b/>
            <sz val="9"/>
            <color indexed="81"/>
            <rFont val="Tahoma"/>
            <family val="2"/>
          </rPr>
          <t xml:space="preserve">Author:
Removal of energy supplement with grandfathering for Income Support Payments (measure from 1617 Budget) to commence 20 Sep 2017 (slipped from 20 Sep 2016), however the grandfathering date remains at 20 Sep 2016. 
Advice provided by DSS. Changes made to CAPITA code. </t>
        </r>
      </text>
    </comment>
    <comment ref="P77" authorId="1" shapeId="0" xr:uid="{00000000-0006-0000-1300-000047000000}">
      <text>
        <r>
          <rPr>
            <b/>
            <sz val="9"/>
            <color indexed="81"/>
            <rFont val="Tahoma"/>
            <family val="2"/>
          </rPr>
          <t xml:space="preserve">Author:
Removal of energy supplement with grandfathering for Income Support Payments (measure from 1617 Budget) to commence 20 Sep 2017 (slipped from 20 Sep 2016), however the grandfathering date remains at 20 Sep 2016. 
Advice provided by DSS. Changes made to CAPITA code. </t>
        </r>
      </text>
    </comment>
    <comment ref="U78" authorId="0" shapeId="0" xr:uid="{00000000-0006-0000-1300-000048000000}">
      <text>
        <r>
          <rPr>
            <b/>
            <sz val="9"/>
            <color indexed="81"/>
            <rFont val="Tahoma"/>
            <family val="2"/>
          </rPr>
          <t xml:space="preserve">Author:
Extend pause of indexation for 1 year. MYEFO 2014-15
Author:
Paused from 1 Jan 2017 (instead of 1 Jan 2016) for three years due to legislation not yet passing.
Author: 
Now paused from 1 Jan 2018 (instead of 1 Jan 2017) for three years due to legislation not yet passing. Next indexation on 1 Jan 2021.  
This received royal assent on 12 April 2017 - see Social Services Legislation Amendment Bill 2017. </t>
        </r>
      </text>
    </comment>
    <comment ref="V78" authorId="0" shapeId="0" xr:uid="{00000000-0006-0000-1300-000049000000}">
      <text>
        <r>
          <rPr>
            <b/>
            <sz val="9"/>
            <color indexed="81"/>
            <rFont val="Tahoma"/>
            <family val="2"/>
          </rPr>
          <t xml:space="preserve">Author:
Extend pause of indexation for 1 year. MYEFO 2014-15
Author:
Paused from 1 Jan 2017 (instead of 1 Jan 2016) for three years due to legislation not yet passing. 
Author: 
Now paused from 1 Jan 2018 (instead of 1 Jan 2017) for three years due to legislation not yet passing. Next indexation on 1 Jan 2021. 
This received royal assent on 12 April 2017 - see Social Services Legislation Amendment Bill 2017. </t>
        </r>
      </text>
    </comment>
    <comment ref="C80" authorId="0" shapeId="0" xr:uid="{00000000-0006-0000-1300-00004A000000}">
      <text>
        <r>
          <rPr>
            <b/>
            <sz val="9"/>
            <color indexed="81"/>
            <rFont val="Tahoma"/>
            <family val="2"/>
          </rPr>
          <t xml:space="preserve">Author:
From 1 July 2018, link YA under 18 rate to FTBA child who have reached 13 years.
Author: 
The proposed change to align youth allowance with FTBA is no longer proceeding - see 
Social Services Legislation Amendment (Family Payments Structural Reform and Participation Measures) Bill 2016
</t>
        </r>
      </text>
    </comment>
    <comment ref="U82" authorId="1" shapeId="0" xr:uid="{00000000-0006-0000-1300-00004B000000}">
      <text>
        <r>
          <rPr>
            <b/>
            <sz val="9"/>
            <color indexed="81"/>
            <rFont val="Tahoma"/>
            <family val="2"/>
          </rPr>
          <t xml:space="preserve">Author:
Paused from 1 Jan 2017 (instead of 1 Jan 2016) for three years due to legislation not yet passing. 
Author: 
Now paused from 1 Jan 2018 (instead of 1 Jan 2017) for three years due to legislation not yet passing. Next indexation on 1 Jan 2021. 
This received royal assent on 12 April 2017 - see Social Services Legislation Amendment Bill 2017. </t>
        </r>
      </text>
    </comment>
    <comment ref="V82" authorId="1" shapeId="0" xr:uid="{00000000-0006-0000-1300-00004C000000}">
      <text>
        <r>
          <rPr>
            <b/>
            <sz val="9"/>
            <color indexed="81"/>
            <rFont val="Tahoma"/>
            <family val="2"/>
          </rPr>
          <t xml:space="preserve">Author:
Paused from 1 Jan 2017 (instead of 1 Jan 2016) for three years due to legislation not yet passing. 
Author: 
Now paused from 1 Jan 2018 (instead of 1 Jan 2017) for three years due to legislation not yet passing. Next indexation on 1 Jan 2021. 
This received royal assent on 12 April 2017 - see Social Services Legislation Amendment Bill 2017. </t>
        </r>
      </text>
    </comment>
    <comment ref="U86" authorId="1" shapeId="0" xr:uid="{00000000-0006-0000-1300-00004D000000}">
      <text>
        <r>
          <rPr>
            <b/>
            <sz val="9"/>
            <color indexed="81"/>
            <rFont val="Tahoma"/>
            <family val="2"/>
          </rPr>
          <t xml:space="preserve">Author:
Now paused from 1 Jan 2018 (instead of 1 Jan 2017) for three years due to legislation not yet passing. Next indexation on 1 Jan 2021. 
This received royal assent on 12 April 2017 - see Social Services Legislation Amendment Bill 2017. </t>
        </r>
      </text>
    </comment>
    <comment ref="V86" authorId="1" shapeId="0" xr:uid="{00000000-0006-0000-1300-00004E000000}">
      <text>
        <r>
          <rPr>
            <b/>
            <sz val="9"/>
            <color indexed="81"/>
            <rFont val="Tahoma"/>
            <family val="2"/>
          </rPr>
          <t xml:space="preserve">Author:
Now paused from 1 Jan 2018 (instead of 1 Jan 2017) for three years due to legislation not yet passing. Next indexation on 1 Jan 2021. 
This received royal assent on 12 April 2017 - see Social Services Legislation Amendment Bill 2017. </t>
        </r>
      </text>
    </comment>
    <comment ref="U90" authorId="1" shapeId="0" xr:uid="{00000000-0006-0000-1300-00004F000000}">
      <text>
        <r>
          <rPr>
            <b/>
            <sz val="9"/>
            <color indexed="81"/>
            <rFont val="Tahoma"/>
            <family val="2"/>
          </rPr>
          <t xml:space="preserve">Author:
Indexation to resume on 1 Jan 2021. </t>
        </r>
      </text>
    </comment>
    <comment ref="V90" authorId="1" shapeId="0" xr:uid="{00000000-0006-0000-1300-000050000000}">
      <text>
        <r>
          <rPr>
            <b/>
            <sz val="9"/>
            <color indexed="81"/>
            <rFont val="Tahoma"/>
            <family val="2"/>
          </rPr>
          <t xml:space="preserve">Author:
Indexation to resume on 1 Jan 2021. </t>
        </r>
      </text>
    </comment>
  </commentList>
</comments>
</file>

<file path=xl/comments21.xml><?xml version="1.0" encoding="utf-8"?>
<comments xmlns="http://schemas.openxmlformats.org/spreadsheetml/2006/main" xmlns:mc="http://schemas.openxmlformats.org/markup-compatibility/2006" xmlns:xr="http://schemas.microsoft.com/office/spreadsheetml/2014/revision" mc:Ignorable="xr">
  <authors>
    <author>Li, Taike</author>
    <author>Kwong, Leron</author>
    <author>Bott, Mark</author>
  </authors>
  <commentList>
    <comment ref="AC1" authorId="0" shapeId="0" xr:uid="{00000000-0006-0000-1400-000001000000}">
      <text>
        <r>
          <rPr>
            <b/>
            <sz val="9"/>
            <color indexed="81"/>
            <rFont val="Tahoma"/>
            <family val="2"/>
          </rPr>
          <t>Author:
Minimum age for YA recipients is given at 543A of the SSA 1991.</t>
        </r>
      </text>
    </comment>
    <comment ref="AD1" authorId="0" shapeId="0" xr:uid="{00000000-0006-0000-1400-000002000000}">
      <text>
        <r>
          <rPr>
            <b/>
            <sz val="9"/>
            <color indexed="81"/>
            <rFont val="Tahoma"/>
            <family val="2"/>
          </rPr>
          <t>Author:
YA maximum age is given by 543B of SSA 1991.</t>
        </r>
      </text>
    </comment>
    <comment ref="AE1" authorId="1" shapeId="0" xr:uid="{00000000-0006-0000-1400-000003000000}">
      <text>
        <r>
          <rPr>
            <b/>
            <sz val="9"/>
            <color indexed="81"/>
            <rFont val="Tahoma"/>
            <family val="2"/>
          </rPr>
          <t>Author:
Assumption</t>
        </r>
      </text>
    </comment>
    <comment ref="AF1" authorId="0" shapeId="0" xr:uid="{00000000-0006-0000-1400-000004000000}">
      <text>
        <r>
          <rPr>
            <b/>
            <sz val="9"/>
            <color indexed="81"/>
            <rFont val="Tahoma"/>
            <family val="2"/>
          </rPr>
          <t>Author:
Reduction rate for parental income excess if given by 1067G-F27 and F28 of the SSA 1991.</t>
        </r>
      </text>
    </comment>
    <comment ref="AG1" authorId="0" shapeId="0" xr:uid="{00000000-0006-0000-1400-000005000000}">
      <text>
        <r>
          <rPr>
            <b/>
            <sz val="9"/>
            <color indexed="81"/>
            <rFont val="Tahoma"/>
            <family val="2"/>
          </rPr>
          <t>Author:
Amount should be linked to 38N of Schedule 1 to the A New Tax System (Family Assistance) Act 1999, but taking the value at 1 Jan of that year. The lagging by 2 quarters is deliberate.
1067G-F22 SSA 1991</t>
        </r>
      </text>
    </comment>
    <comment ref="Z2" authorId="2" shapeId="0" xr:uid="{00000000-0006-0000-1400-000006000000}">
      <text>
        <r>
          <rPr>
            <b/>
            <sz val="9"/>
            <color indexed="81"/>
            <rFont val="Tahoma"/>
            <family val="2"/>
          </rPr>
          <t>Author:
These amounts are all indexed by CPI each January as per table in s1191 SSA1991. (See relocatiuon scholarship payment amount.)</t>
        </r>
      </text>
    </comment>
    <comment ref="Y3" authorId="2" shapeId="0" xr:uid="{00000000-0006-0000-1400-000007000000}">
      <text>
        <r>
          <rPr>
            <sz val="9"/>
            <color indexed="81"/>
            <rFont val="Tahoma"/>
            <family val="2"/>
          </rPr>
          <t xml:space="preserve">Age at which a full time student becomes independent.
See table in s1067 (4) SSA1991.
(Not currently used in CAPITA, but may be required for workforce independence imputation in basefiles). </t>
        </r>
      </text>
    </comment>
    <comment ref="E4" authorId="2" shapeId="0" xr:uid="{00000000-0006-0000-1400-000008000000}">
      <text>
        <r>
          <rPr>
            <b/>
            <sz val="9"/>
            <color indexed="81"/>
            <rFont val="Tahoma"/>
            <family val="2"/>
          </rPr>
          <t xml:space="preserve">Author:
payment amount is per fortnight </t>
        </r>
      </text>
    </comment>
    <comment ref="H4" authorId="2" shapeId="0" xr:uid="{00000000-0006-0000-1400-000009000000}">
      <text>
        <r>
          <rPr>
            <b/>
            <sz val="9"/>
            <color indexed="81"/>
            <rFont val="Tahoma"/>
            <family val="2"/>
          </rPr>
          <t xml:space="preserve">Author:
Sum of maximum basic rate and clean energy supplement.
payment amount is per fortnight </t>
        </r>
      </text>
    </comment>
    <comment ref="K5" authorId="2" shapeId="0" xr:uid="{00000000-0006-0000-1400-00000A000000}">
      <text>
        <r>
          <rPr>
            <b/>
            <sz val="9"/>
            <color indexed="81"/>
            <rFont val="Tahoma"/>
            <family val="2"/>
          </rPr>
          <t xml:space="preserve">Author:
Sum of maximum basic rate and clean energy supplement.
payment amount is per fortnight </t>
        </r>
      </text>
    </comment>
    <comment ref="N5" authorId="2" shapeId="0" xr:uid="{00000000-0006-0000-1400-00000B000000}">
      <text>
        <r>
          <rPr>
            <b/>
            <sz val="9"/>
            <color indexed="81"/>
            <rFont val="Tahoma"/>
            <family val="2"/>
          </rPr>
          <t xml:space="preserve">Author:
Sum of maximum basic rate and clean energy supplement.
payment amount is per fortnight </t>
        </r>
      </text>
    </comment>
    <comment ref="Q5" authorId="2" shapeId="0" xr:uid="{00000000-0006-0000-1400-00000C000000}">
      <text>
        <r>
          <rPr>
            <b/>
            <sz val="9"/>
            <color indexed="81"/>
            <rFont val="Tahoma"/>
            <family val="2"/>
          </rPr>
          <t xml:space="preserve">Author:
Sum of maximum basic rate and clean energy supplement.
payment amount is per fortnight </t>
        </r>
      </text>
    </comment>
    <comment ref="T5" authorId="2" shapeId="0" xr:uid="{00000000-0006-0000-1400-00000D000000}">
      <text>
        <r>
          <rPr>
            <b/>
            <sz val="9"/>
            <color indexed="81"/>
            <rFont val="Tahoma"/>
            <family val="2"/>
          </rPr>
          <t xml:space="preserve">Author:
Sum of maximum basic rate and clean energy supplement.
payment amount is per fortnight </t>
        </r>
      </text>
    </comment>
    <comment ref="Z5" authorId="2" shapeId="0" xr:uid="{00000000-0006-0000-1400-00000E000000}">
      <text>
        <r>
          <rPr>
            <b/>
            <sz val="9"/>
            <color indexed="81"/>
            <rFont val="Tahoma"/>
            <family val="2"/>
          </rPr>
          <t>Author:
Amount paid if person has never received a relocation allowance.
See s592L(1) SSA1991.</t>
        </r>
      </text>
    </comment>
    <comment ref="AA5" authorId="2" shapeId="0" xr:uid="{00000000-0006-0000-1400-00000F000000}">
      <text>
        <r>
          <rPr>
            <b/>
            <sz val="9"/>
            <color indexed="81"/>
            <rFont val="Tahoma"/>
            <family val="2"/>
          </rPr>
          <t>Author:
Amount of Scholarship paid in 2nd and 3rd years of study.
See s592L(4) SSA1991.</t>
        </r>
      </text>
    </comment>
    <comment ref="AB5" authorId="2" shapeId="0" xr:uid="{00000000-0006-0000-1400-000010000000}">
      <text>
        <r>
          <rPr>
            <b/>
            <sz val="9"/>
            <color indexed="81"/>
            <rFont val="Tahoma"/>
            <family val="2"/>
          </rPr>
          <t>Author:
Rate of scholarship in 4th or subsequent year of study.
See s592L(3) SSA 1991.</t>
        </r>
      </text>
    </comment>
    <comment ref="C6" authorId="2" shapeId="0" xr:uid="{00000000-0006-0000-1400-000011000000}">
      <text>
        <r>
          <rPr>
            <b/>
            <sz val="9"/>
            <color indexed="81"/>
            <rFont val="Tahoma"/>
            <family val="2"/>
          </rPr>
          <t xml:space="preserve">Author:
Rate at table BA, item 1, clause 1067G-B2 SSA 1991.
Indexed by CPI each January as per table in s1191. (See CEUAP rate 4.) 
payment amount is per fortnight </t>
        </r>
      </text>
    </comment>
    <comment ref="D6" authorId="2" shapeId="0" xr:uid="{00000000-0006-0000-1400-000012000000}">
      <text>
        <r>
          <rPr>
            <b/>
            <sz val="9"/>
            <color indexed="81"/>
            <rFont val="Tahoma"/>
            <family val="2"/>
          </rPr>
          <t>Author:
Amount at clause 1067G-BA3 SSA1991.
Indexed each January by CPI as per the table in s1191. (see CPEUA rate 4.)
payment amount is per fortnight 
From 1 July 2014 rename Clean Energy Supplement to Energy Supplement.</t>
        </r>
      </text>
    </comment>
    <comment ref="F6" authorId="2" shapeId="0" xr:uid="{00000000-0006-0000-1400-000013000000}">
      <text>
        <r>
          <rPr>
            <b/>
            <sz val="9"/>
            <color indexed="81"/>
            <rFont val="Tahoma"/>
            <family val="2"/>
          </rPr>
          <t xml:space="preserve">Author:
Rate at table BA, item 2, clause 1067G-B2 SSA 1991.
Indexed by CPI each January as per table in s1191. (See CEUAP rate 4.) 
payment amount is per fortnight </t>
        </r>
      </text>
    </comment>
    <comment ref="G6" authorId="2" shapeId="0" xr:uid="{00000000-0006-0000-1400-000014000000}">
      <text>
        <r>
          <rPr>
            <b/>
            <sz val="9"/>
            <color indexed="81"/>
            <rFont val="Tahoma"/>
            <family val="2"/>
          </rPr>
          <t>Author:
Amount at clause 1067G-BA3 SSA1991.
Indexed each January by CPI as per the table in s1191. (see CPEUA rate 4.)
payment amount is per fortnight 
From 1 July 2014 rename Clean Energy Supplement to Energy Supplement.</t>
        </r>
      </text>
    </comment>
    <comment ref="I6" authorId="2" shapeId="0" xr:uid="{00000000-0006-0000-1400-000015000000}">
      <text>
        <r>
          <rPr>
            <b/>
            <sz val="9"/>
            <color indexed="81"/>
            <rFont val="Tahoma"/>
            <family val="2"/>
          </rPr>
          <t xml:space="preserve">Author:
Rate at table BA, item 3, clause 1067G-B2 SSA 1991 and table BB, item 8 clause 1067G-B3.
Indexed by CPI each January as per table in s1191. (See CEUAP rate 4.) 
payment amount is per fortnight </t>
        </r>
      </text>
    </comment>
    <comment ref="J6" authorId="2" shapeId="0" xr:uid="{00000000-0006-0000-1400-000016000000}">
      <text>
        <r>
          <rPr>
            <b/>
            <sz val="9"/>
            <color indexed="81"/>
            <rFont val="Tahoma"/>
            <family val="2"/>
          </rPr>
          <t>Author:
Amount at clause 1067G-BA3 SSA1991.
Indexed each January by CPI as per the table in s1191. (see CPEUA rate 4.)
payment amount is per fortnight 
From 1 July 2014 rename Clean Energy Supplement to Energy Supplement.</t>
        </r>
      </text>
    </comment>
    <comment ref="L6" authorId="2" shapeId="0" xr:uid="{00000000-0006-0000-1400-000017000000}">
      <text>
        <r>
          <rPr>
            <b/>
            <sz val="9"/>
            <color indexed="81"/>
            <rFont val="Tahoma"/>
            <family val="2"/>
          </rPr>
          <t xml:space="preserve">Author:
Rate at table BB, item 8, clause 1067G-B3 SSA 1991.
Indexed by CPI each January as per table in s1191. (See CEUAP rate 4.)
payment amount is per fortnight </t>
        </r>
      </text>
    </comment>
    <comment ref="M6" authorId="2" shapeId="0" xr:uid="{00000000-0006-0000-1400-000018000000}">
      <text>
        <r>
          <rPr>
            <b/>
            <sz val="9"/>
            <color indexed="81"/>
            <rFont val="Tahoma"/>
            <family val="2"/>
          </rPr>
          <t>Author:
Amount at clause 1067G-BA3 SSA1991.
Indexed each January by CPI as per the table in s1191. (see CPEUA rate 4.)
payment amount is per fortnight 
From 1 July 2014 rename Clean Energy Supplement to Energy Supplement.</t>
        </r>
      </text>
    </comment>
    <comment ref="O6" authorId="2" shapeId="0" xr:uid="{00000000-0006-0000-1400-000019000000}">
      <text>
        <r>
          <rPr>
            <b/>
            <sz val="9"/>
            <color indexed="81"/>
            <rFont val="Tahoma"/>
            <family val="2"/>
          </rPr>
          <t xml:space="preserve">Author:
Rate at table BB, item 7, clause 1067G-B3 SSA 1991.
Indexed by CPI each January as per table in s1191. (See CEUAP rate 4.) 
payment amount is per fortnight </t>
        </r>
      </text>
    </comment>
    <comment ref="P6" authorId="2" shapeId="0" xr:uid="{00000000-0006-0000-1400-00001A000000}">
      <text>
        <r>
          <rPr>
            <b/>
            <sz val="9"/>
            <color indexed="81"/>
            <rFont val="Tahoma"/>
            <family val="2"/>
          </rPr>
          <t>Author:
Amount at clause 1067G-BA3 SSA1991.
Indexed each January by CPI as per the table in s1191. (see CPEUA rate 4.)
payment amount is per fortnight 
From 1 July 2014 rename Clean Energy Supplement to Energy Supplement.</t>
        </r>
      </text>
    </comment>
    <comment ref="R6" authorId="2" shapeId="0" xr:uid="{00000000-0006-0000-1400-00001B000000}">
      <text>
        <r>
          <rPr>
            <b/>
            <sz val="9"/>
            <color indexed="81"/>
            <rFont val="Tahoma"/>
            <family val="2"/>
          </rPr>
          <t xml:space="preserve">Author:
Rate at table BB, item 6, clause 1067G-B3 SSA 1991.
Indexed by CPI each January as per table in s1191. (See CEUAP rate 4.) 
payment amount is per fortnight </t>
        </r>
      </text>
    </comment>
    <comment ref="S6" authorId="2" shapeId="0" xr:uid="{00000000-0006-0000-1400-00001C000000}">
      <text>
        <r>
          <rPr>
            <b/>
            <sz val="9"/>
            <color indexed="81"/>
            <rFont val="Tahoma"/>
            <family val="2"/>
          </rPr>
          <t>Author:
Amount at clause 1067G-BA3 SSA1991.
Indexed each January by CPI as per the table in s1191. (see CPEUA rate 4.)
payment amount is per fortnight 
From 1 July 2014 rename Clean Energy Supplement to Energy Supplement.</t>
        </r>
      </text>
    </comment>
    <comment ref="U6" authorId="2" shapeId="0" xr:uid="{00000000-0006-0000-1400-00001D000000}">
      <text>
        <r>
          <rPr>
            <b/>
            <sz val="9"/>
            <color indexed="81"/>
            <rFont val="Tahoma"/>
            <family val="2"/>
          </rPr>
          <t xml:space="preserve">Author:
Amout at clause 1067G-H29(a) SSA1991.
From 1st January 2013, indexed each January as per table in s1191. (See YA and Austudy ordinary income free area.)
amount is per fortnight </t>
        </r>
      </text>
    </comment>
    <comment ref="V6" authorId="2" shapeId="0" xr:uid="{00000000-0006-0000-1400-00001E000000}">
      <text>
        <r>
          <rPr>
            <b/>
            <sz val="9"/>
            <color indexed="81"/>
            <rFont val="Tahoma"/>
            <family val="2"/>
          </rPr>
          <t xml:space="preserve">Author:
Amount at clause 1067G-H32(a) + lower threshold.
From 1st January 2013, difference between two thresholds is indexed each January as per table in s1191. (See YA and Austudy reduction boundary.)
amount is per fortnight </t>
        </r>
      </text>
    </comment>
    <comment ref="W6" authorId="2" shapeId="0" xr:uid="{00000000-0006-0000-1400-00001F000000}">
      <text>
        <r>
          <rPr>
            <b/>
            <sz val="9"/>
            <color indexed="81"/>
            <rFont val="Tahoma"/>
            <family val="2"/>
          </rPr>
          <t>Author:
Factor at clause 1067G-H32 SSA1991</t>
        </r>
      </text>
    </comment>
    <comment ref="X6" authorId="2" shapeId="0" xr:uid="{00000000-0006-0000-1400-000020000000}">
      <text>
        <r>
          <rPr>
            <b/>
            <sz val="9"/>
            <color indexed="81"/>
            <rFont val="Tahoma"/>
            <family val="2"/>
          </rPr>
          <t>Author:
Factor at clause 067G-H33 SSA1991.</t>
        </r>
      </text>
    </comment>
  </commentList>
</comments>
</file>

<file path=xl/comments22.xml><?xml version="1.0" encoding="utf-8"?>
<comments xmlns="http://schemas.openxmlformats.org/spreadsheetml/2006/main" xmlns:mc="http://schemas.openxmlformats.org/markup-compatibility/2006" xmlns:xr="http://schemas.microsoft.com/office/spreadsheetml/2014/revision" mc:Ignorable="xr">
  <authors>
    <author>Bott, Mark</author>
    <author>Bullen, Jared</author>
    <author>Li, Taike</author>
    <author>Ledda, Daniel</author>
    <author>Smith, Leif</author>
  </authors>
  <commentList>
    <comment ref="E4" authorId="0" shapeId="0" xr:uid="{00000000-0006-0000-1500-000001000000}">
      <text>
        <r>
          <rPr>
            <b/>
            <sz val="9"/>
            <color indexed="81"/>
            <rFont val="Tahoma"/>
            <family val="2"/>
          </rPr>
          <t xml:space="preserve">Author:
payment amount is per fortnight </t>
        </r>
      </text>
    </comment>
    <comment ref="H4" authorId="0" shapeId="0" xr:uid="{00000000-0006-0000-1500-000002000000}">
      <text>
        <r>
          <rPr>
            <b/>
            <sz val="9"/>
            <color indexed="81"/>
            <rFont val="Tahoma"/>
            <family val="2"/>
          </rPr>
          <t xml:space="preserve">Author:
Sum of maximum basic rate and clean energy supplement.
payment amount is per fortnight </t>
        </r>
      </text>
    </comment>
    <comment ref="Y4" authorId="0" shapeId="0" xr:uid="{00000000-0006-0000-1500-000003000000}">
      <text>
        <r>
          <rPr>
            <b/>
            <sz val="9"/>
            <color indexed="81"/>
            <rFont val="Tahoma"/>
            <family val="2"/>
          </rPr>
          <t>Author:
Age of independence for DSS purposes. Used for NSA.
Only eligible for payment if actual age is greater than or equal to the age specified here.
See s1067A(4).</t>
        </r>
      </text>
    </comment>
    <comment ref="Z4" authorId="0" shapeId="0" xr:uid="{00000000-0006-0000-1500-000004000000}">
      <text>
        <r>
          <rPr>
            <b/>
            <sz val="9"/>
            <color indexed="81"/>
            <rFont val="Tahoma"/>
            <family val="2"/>
          </rPr>
          <t>Author:
Maximum age for youth allowance for person not undertaking full time study.
Only eligible for payment if actual age is less than the maximum age specified here.
See s543B(1)(b)</t>
        </r>
      </text>
    </comment>
    <comment ref="K5" authorId="0" shapeId="0" xr:uid="{00000000-0006-0000-1500-000005000000}">
      <text>
        <r>
          <rPr>
            <b/>
            <sz val="9"/>
            <color indexed="81"/>
            <rFont val="Tahoma"/>
            <family val="2"/>
          </rPr>
          <t xml:space="preserve">Author:
Sum of maximum basic rate and clean energy supplement.
payment amount is per fortnight </t>
        </r>
      </text>
    </comment>
    <comment ref="N5" authorId="0" shapeId="0" xr:uid="{00000000-0006-0000-1500-000006000000}">
      <text>
        <r>
          <rPr>
            <b/>
            <sz val="9"/>
            <color indexed="81"/>
            <rFont val="Tahoma"/>
            <family val="2"/>
          </rPr>
          <t xml:space="preserve">Author:
Sum of maximum basic rate and clean energy supplement.
payment amount is per fortnight </t>
        </r>
      </text>
    </comment>
    <comment ref="Q5" authorId="0" shapeId="0" xr:uid="{00000000-0006-0000-1500-000007000000}">
      <text>
        <r>
          <rPr>
            <b/>
            <sz val="9"/>
            <color indexed="81"/>
            <rFont val="Tahoma"/>
            <family val="2"/>
          </rPr>
          <t xml:space="preserve">Author:
Sum of maximum basic rate and clean energy supplement.
payment amount is per fortnight </t>
        </r>
      </text>
    </comment>
    <comment ref="T5" authorId="0" shapeId="0" xr:uid="{00000000-0006-0000-1500-000008000000}">
      <text>
        <r>
          <rPr>
            <b/>
            <sz val="9"/>
            <color indexed="81"/>
            <rFont val="Tahoma"/>
            <family val="2"/>
          </rPr>
          <t xml:space="preserve">Author:
Sum of maximum basic rate and clean energy supplement.
payment amount is per fortnight </t>
        </r>
      </text>
    </comment>
    <comment ref="C6" authorId="0" shapeId="0" xr:uid="{00000000-0006-0000-1500-000009000000}">
      <text>
        <r>
          <rPr>
            <b/>
            <sz val="9"/>
            <color indexed="81"/>
            <rFont val="Tahoma"/>
            <family val="2"/>
          </rPr>
          <t xml:space="preserve">Author:
Rate at table BA, item 1, clause 1067G-B2 SSA 1991.
Indexed by CPI each January as per table in s1191. (See CEUAP rate 4.) 
payment amount is per fortnight </t>
        </r>
      </text>
    </comment>
    <comment ref="D6" authorId="0" shapeId="0" xr:uid="{00000000-0006-0000-1500-00000A000000}">
      <text>
        <r>
          <rPr>
            <b/>
            <sz val="9"/>
            <color indexed="81"/>
            <rFont val="Tahoma"/>
            <family val="2"/>
          </rPr>
          <t>Author:
Amount at clause 1067G-BA3 SSA1991.
Indexed each January by CPI as per the table in s1191. (see CPEUA rate 4.)
payment amount is per fortnight 
From 1 July 2014 rename Clean Energy Supplement to Energy Supplement.</t>
        </r>
      </text>
    </comment>
    <comment ref="F6" authorId="0" shapeId="0" xr:uid="{00000000-0006-0000-1500-00000B000000}">
      <text>
        <r>
          <rPr>
            <b/>
            <sz val="9"/>
            <color indexed="81"/>
            <rFont val="Tahoma"/>
            <family val="2"/>
          </rPr>
          <t xml:space="preserve">Author:
Rate at table BA, item 2, clause 1067G-B2 SSA 1991.
Indexed by CPI each January as per table in s1191. (See CEUAP rate 4.) 
payment amount is per fortnight </t>
        </r>
      </text>
    </comment>
    <comment ref="G6" authorId="0" shapeId="0" xr:uid="{00000000-0006-0000-1500-00000C000000}">
      <text>
        <r>
          <rPr>
            <b/>
            <sz val="9"/>
            <color indexed="81"/>
            <rFont val="Tahoma"/>
            <family val="2"/>
          </rPr>
          <t>Author:
Amount at clause 1067G-BA3 SSA1991.
Indexed each January by CPI as per the table in s1191. (see CPEUA rate 4.)
payment amount is per fortnight 
From 1 July 2014 rename Clean Energy Supplement to Energy Supplement.</t>
        </r>
      </text>
    </comment>
    <comment ref="I6" authorId="0" shapeId="0" xr:uid="{00000000-0006-0000-1500-00000D000000}">
      <text>
        <r>
          <rPr>
            <b/>
            <sz val="9"/>
            <color indexed="81"/>
            <rFont val="Tahoma"/>
            <family val="2"/>
          </rPr>
          <t xml:space="preserve">Author:
Rate at table BA, item 3, clause 1067G-B2 SSA 1991 and table BB, item 8 clause 1067G-B3.
Indexed by CPI each January as per table in s1191. (See CEUAP rate 4.) 
payment amount is per fortnight </t>
        </r>
      </text>
    </comment>
    <comment ref="J6" authorId="0" shapeId="0" xr:uid="{00000000-0006-0000-1500-00000E000000}">
      <text>
        <r>
          <rPr>
            <b/>
            <sz val="9"/>
            <color indexed="81"/>
            <rFont val="Tahoma"/>
            <family val="2"/>
          </rPr>
          <t>Author:
Amount at clause 1067G-BA3 SSA1991.
Indexed each January by CPI as per the table in s1191. (see CPEUA rate 4.)
payment amount is per fortnight 
From 1 July 2014 rename Clean Energy Supplement to Energy Supplement.</t>
        </r>
      </text>
    </comment>
    <comment ref="L6" authorId="0" shapeId="0" xr:uid="{00000000-0006-0000-1500-00000F000000}">
      <text>
        <r>
          <rPr>
            <b/>
            <sz val="9"/>
            <color indexed="81"/>
            <rFont val="Tahoma"/>
            <family val="2"/>
          </rPr>
          <t xml:space="preserve">Author:
Rate at table BB, item 8, clause 1067G-B3 SSA 1991.
Indexed by CPI each January as per table in s1191. (See CEUAP rate 4.)
payment amount is per fortnight </t>
        </r>
      </text>
    </comment>
    <comment ref="M6" authorId="0" shapeId="0" xr:uid="{00000000-0006-0000-1500-000010000000}">
      <text>
        <r>
          <rPr>
            <b/>
            <sz val="9"/>
            <color indexed="81"/>
            <rFont val="Tahoma"/>
            <family val="2"/>
          </rPr>
          <t>Author:
Amount at clause 1067G-BA3 SSA1991.
Indexed each January by CPI as per the table in s1191. (see CPEUA rate 4.)
payment amount is per fortnight 
From 1 July 2014 rename Clean Energy Supplement to Energy Supplement.</t>
        </r>
      </text>
    </comment>
    <comment ref="O6" authorId="0" shapeId="0" xr:uid="{00000000-0006-0000-1500-000011000000}">
      <text>
        <r>
          <rPr>
            <b/>
            <sz val="9"/>
            <color indexed="81"/>
            <rFont val="Tahoma"/>
            <family val="2"/>
          </rPr>
          <t xml:space="preserve">Author:
Rate at table BB, item 7, clause 1067G-B3 SSA 1991.
Indexed by CPI each January as per table in s1191. (See CEUAP rate 4.) 
payment amount is per fortnight </t>
        </r>
      </text>
    </comment>
    <comment ref="P6" authorId="0" shapeId="0" xr:uid="{00000000-0006-0000-1500-000012000000}">
      <text>
        <r>
          <rPr>
            <b/>
            <sz val="9"/>
            <color indexed="81"/>
            <rFont val="Tahoma"/>
            <family val="2"/>
          </rPr>
          <t>Author:
Amount at clause 1067G-BA3 SSA1991.
Indexed each January by CPI as per the table in s1191. (see CPEUA rate 4.)
payment amount is per fortnight 
From 1 July 2014 rename Clean Energy Supplement to Energy Supplement.</t>
        </r>
      </text>
    </comment>
    <comment ref="R6" authorId="0" shapeId="0" xr:uid="{00000000-0006-0000-1500-000013000000}">
      <text>
        <r>
          <rPr>
            <b/>
            <sz val="9"/>
            <color indexed="81"/>
            <rFont val="Tahoma"/>
            <family val="2"/>
          </rPr>
          <t xml:space="preserve">Author:
Rate at table BB, item 6, clause 1067G-B3 SSA 1991.
Indexed by CPI each January as per table in s1191. (See CEUAP rate 4.) 
payment amount is per fortnight </t>
        </r>
      </text>
    </comment>
    <comment ref="S6" authorId="0" shapeId="0" xr:uid="{00000000-0006-0000-1500-000014000000}">
      <text>
        <r>
          <rPr>
            <b/>
            <sz val="9"/>
            <color indexed="81"/>
            <rFont val="Tahoma"/>
            <family val="2"/>
          </rPr>
          <t>Author:
Amount at clause 1067G-BA3 SSA1991.
Indexed each January by CPI as per the table in s1191. (see CPEUA rate 4.)
payment amount is per fortnight 
From 1 July 2014 rename Clean Energy Supplement to Energy Supplement.</t>
        </r>
      </text>
    </comment>
    <comment ref="U6" authorId="0" shapeId="0" xr:uid="{00000000-0006-0000-1500-000015000000}">
      <text>
        <r>
          <rPr>
            <b/>
            <sz val="9"/>
            <color indexed="81"/>
            <rFont val="Tahoma"/>
            <family val="2"/>
          </rPr>
          <t xml:space="preserve">Author:
Amout at clause 1067G-H29(c) SSA1991.
Not indexed.
amount is per fortnight </t>
        </r>
      </text>
    </comment>
    <comment ref="V6" authorId="0" shapeId="0" xr:uid="{00000000-0006-0000-1500-000016000000}">
      <text>
        <r>
          <rPr>
            <b/>
            <sz val="9"/>
            <color indexed="81"/>
            <rFont val="Tahoma"/>
            <family val="2"/>
          </rPr>
          <t xml:space="preserve">Author:
Amount at clause 1067G-H32© + lower threshod.
Not indexed.
amount is per fortnight </t>
        </r>
      </text>
    </comment>
    <comment ref="W6" authorId="0" shapeId="0" xr:uid="{00000000-0006-0000-1500-000017000000}">
      <text>
        <r>
          <rPr>
            <b/>
            <sz val="9"/>
            <color indexed="81"/>
            <rFont val="Tahoma"/>
            <family val="2"/>
          </rPr>
          <t>Author:
Factor at clause 1067G-H32 SSA1991</t>
        </r>
      </text>
    </comment>
    <comment ref="X6" authorId="0" shapeId="0" xr:uid="{00000000-0006-0000-1500-000018000000}">
      <text>
        <r>
          <rPr>
            <b/>
            <sz val="9"/>
            <color indexed="81"/>
            <rFont val="Tahoma"/>
            <family val="2"/>
          </rPr>
          <t>Author:
Factor at clause 067G-H33 SSA1991.</t>
        </r>
      </text>
    </comment>
    <comment ref="C14" authorId="0" shapeId="0" xr:uid="{00000000-0006-0000-1500-000019000000}">
      <text>
        <r>
          <rPr>
            <b/>
            <sz val="9"/>
            <color indexed="81"/>
            <rFont val="Tahoma"/>
            <family val="2"/>
          </rPr>
          <t>Author:
Indexation suppresion for ANTS package here. Value hard coded.</t>
        </r>
      </text>
    </comment>
    <comment ref="F14" authorId="0" shapeId="0" xr:uid="{00000000-0006-0000-1500-00001A000000}">
      <text>
        <r>
          <rPr>
            <b/>
            <sz val="9"/>
            <color indexed="81"/>
            <rFont val="Tahoma"/>
            <family val="2"/>
          </rPr>
          <t>Author:
Indexation suppresion for ANTS package here. Value hard coded.</t>
        </r>
      </text>
    </comment>
    <comment ref="I14" authorId="0" shapeId="0" xr:uid="{00000000-0006-0000-1500-00001B000000}">
      <text>
        <r>
          <rPr>
            <b/>
            <sz val="9"/>
            <color indexed="81"/>
            <rFont val="Tahoma"/>
            <family val="2"/>
          </rPr>
          <t>Author:
Indexation suppresion for ANTS package here. Value hard coded.</t>
        </r>
      </text>
    </comment>
    <comment ref="L14" authorId="0" shapeId="0" xr:uid="{00000000-0006-0000-1500-00001C000000}">
      <text>
        <r>
          <rPr>
            <b/>
            <sz val="9"/>
            <color indexed="81"/>
            <rFont val="Tahoma"/>
            <family val="2"/>
          </rPr>
          <t>Author:
Indexation suppresion for ANTS package here. Value hard coded.</t>
        </r>
      </text>
    </comment>
    <comment ref="O14" authorId="0" shapeId="0" xr:uid="{00000000-0006-0000-1500-00001D000000}">
      <text>
        <r>
          <rPr>
            <b/>
            <sz val="9"/>
            <color indexed="81"/>
            <rFont val="Tahoma"/>
            <family val="2"/>
          </rPr>
          <t>Author:
Indexation suppresion for ANTS package here. Value hard coded.</t>
        </r>
      </text>
    </comment>
    <comment ref="R14" authorId="0" shapeId="0" xr:uid="{00000000-0006-0000-1500-00001E000000}">
      <text>
        <r>
          <rPr>
            <b/>
            <sz val="9"/>
            <color indexed="81"/>
            <rFont val="Tahoma"/>
            <family val="2"/>
          </rPr>
          <t>Author:
Indexation suppresion for ANTS package here. Value hard coded.</t>
        </r>
      </text>
    </comment>
    <comment ref="B30" authorId="1" shapeId="0" xr:uid="{00000000-0006-0000-1500-00001F000000}">
      <text>
        <r>
          <rPr>
            <b/>
            <sz val="9"/>
            <color indexed="81"/>
            <rFont val="Tahoma"/>
            <family val="2"/>
          </rPr>
          <t>Author:
Checked on 30 January 2006 using the guide to Australian Government payment.</t>
        </r>
      </text>
    </comment>
    <comment ref="B31" authorId="1" shapeId="0" xr:uid="{00000000-0006-0000-1500-000020000000}">
      <text>
        <r>
          <rPr>
            <b/>
            <sz val="9"/>
            <color indexed="81"/>
            <rFont val="Tahoma"/>
            <family val="2"/>
          </rPr>
          <t>Author:
Checked on 13/3/06</t>
        </r>
      </text>
    </comment>
    <comment ref="B32" authorId="1" shapeId="0" xr:uid="{00000000-0006-0000-1500-000021000000}">
      <text>
        <r>
          <rPr>
            <b/>
            <sz val="9"/>
            <color indexed="81"/>
            <rFont val="Tahoma"/>
            <family val="2"/>
          </rPr>
          <t>Author:
Checked on 7 August 06</t>
        </r>
      </text>
    </comment>
    <comment ref="B33" authorId="1" shapeId="0" xr:uid="{00000000-0006-0000-1500-000022000000}">
      <text>
        <r>
          <rPr>
            <b/>
            <sz val="9"/>
            <color indexed="81"/>
            <rFont val="Tahoma"/>
            <family val="2"/>
          </rPr>
          <t>Author:
Checked on 26 Oct 06</t>
        </r>
      </text>
    </comment>
    <comment ref="B34" authorId="1" shapeId="0" xr:uid="{00000000-0006-0000-1500-000023000000}">
      <text>
        <r>
          <rPr>
            <b/>
            <sz val="9"/>
            <color indexed="81"/>
            <rFont val="Tahoma"/>
            <family val="2"/>
          </rPr>
          <t>Author:
Checked on 12 March 2007</t>
        </r>
      </text>
    </comment>
    <comment ref="B35" authorId="1" shapeId="0" xr:uid="{00000000-0006-0000-1500-000024000000}">
      <text>
        <r>
          <rPr>
            <b/>
            <sz val="9"/>
            <color indexed="81"/>
            <rFont val="Tahoma"/>
            <family val="2"/>
          </rPr>
          <t>Author:
Checked 21 March 2007</t>
        </r>
      </text>
    </comment>
    <comment ref="B36" authorId="1" shapeId="0" xr:uid="{00000000-0006-0000-1500-000025000000}">
      <text>
        <r>
          <rPr>
            <b/>
            <sz val="9"/>
            <color indexed="81"/>
            <rFont val="Tahoma"/>
            <family val="2"/>
          </rPr>
          <t>Author:
Checked 26 June 2007</t>
        </r>
      </text>
    </comment>
    <comment ref="B37" authorId="1" shapeId="0" xr:uid="{00000000-0006-0000-1500-000026000000}">
      <text>
        <r>
          <rPr>
            <b/>
            <sz val="9"/>
            <color indexed="81"/>
            <rFont val="Tahoma"/>
            <family val="2"/>
          </rPr>
          <t>Author:
Checked 13 November</t>
        </r>
      </text>
    </comment>
    <comment ref="B38" authorId="1" shapeId="0" xr:uid="{00000000-0006-0000-1500-000027000000}">
      <text>
        <r>
          <rPr>
            <b/>
            <sz val="9"/>
            <color indexed="81"/>
            <rFont val="Tahoma"/>
            <family val="2"/>
          </rPr>
          <t>Author:
Checked 5 march 08</t>
        </r>
      </text>
    </comment>
    <comment ref="B39" authorId="1" shapeId="0" xr:uid="{00000000-0006-0000-1500-000028000000}">
      <text>
        <r>
          <rPr>
            <b/>
            <sz val="9"/>
            <color indexed="81"/>
            <rFont val="Tahoma"/>
            <family val="2"/>
          </rPr>
          <t>Author:
Checked on 3 June 08</t>
        </r>
      </text>
    </comment>
    <comment ref="B40" authorId="1" shapeId="0" xr:uid="{00000000-0006-0000-1500-000029000000}">
      <text>
        <r>
          <rPr>
            <b/>
            <sz val="9"/>
            <color indexed="81"/>
            <rFont val="Tahoma"/>
            <family val="2"/>
          </rPr>
          <t>Author:
Checked on 30 July 08</t>
        </r>
      </text>
    </comment>
    <comment ref="B41" authorId="1" shapeId="0" xr:uid="{00000000-0006-0000-1500-00002A000000}">
      <text>
        <r>
          <rPr>
            <b/>
            <sz val="9"/>
            <color indexed="81"/>
            <rFont val="Tahoma"/>
            <family val="2"/>
          </rPr>
          <t>Author:
Checked 7 Oct 08</t>
        </r>
      </text>
    </comment>
    <comment ref="U56" authorId="1" shapeId="0" xr:uid="{00000000-0006-0000-1500-00002B000000}">
      <text>
        <r>
          <rPr>
            <b/>
            <sz val="9"/>
            <color indexed="81"/>
            <rFont val="Tahoma"/>
            <family val="2"/>
          </rPr>
          <t>Author:
Up'ed to $143 as age for NSA increases. As part of budget 2011-12</t>
        </r>
      </text>
    </comment>
    <comment ref="Y56" authorId="1" shapeId="0" xr:uid="{00000000-0006-0000-1500-00002C000000}">
      <text>
        <r>
          <rPr>
            <b/>
            <sz val="9"/>
            <color indexed="81"/>
            <rFont val="Tahoma"/>
            <family val="2"/>
          </rPr>
          <t>Author:
Budget 2011-12 - Increased from 21 to 22</t>
        </r>
      </text>
    </comment>
    <comment ref="Z56" authorId="1" shapeId="0" xr:uid="{00000000-0006-0000-1500-00002D000000}">
      <text>
        <r>
          <rPr>
            <b/>
            <sz val="9"/>
            <color indexed="81"/>
            <rFont val="Tahoma"/>
            <family val="2"/>
          </rPr>
          <t>Author:
Budget 2011-12 - Increased from 21 to 22</t>
        </r>
      </text>
    </comment>
    <comment ref="C62" authorId="1" shapeId="0" xr:uid="{00000000-0006-0000-1500-00002E000000}">
      <text>
        <r>
          <rPr>
            <b/>
            <sz val="9"/>
            <color indexed="81"/>
            <rFont val="Tahoma"/>
            <family val="2"/>
          </rPr>
          <t>Author:
clawback period</t>
        </r>
      </text>
    </comment>
    <comment ref="F62" authorId="1" shapeId="0" xr:uid="{00000000-0006-0000-1500-00002F000000}">
      <text>
        <r>
          <rPr>
            <b/>
            <sz val="9"/>
            <color indexed="81"/>
            <rFont val="Tahoma"/>
            <family val="2"/>
          </rPr>
          <t>Author:
clawback period</t>
        </r>
      </text>
    </comment>
    <comment ref="I62" authorId="1" shapeId="0" xr:uid="{00000000-0006-0000-1500-000030000000}">
      <text>
        <r>
          <rPr>
            <b/>
            <sz val="9"/>
            <color indexed="81"/>
            <rFont val="Tahoma"/>
            <family val="2"/>
          </rPr>
          <t>Author:
clawback period</t>
        </r>
      </text>
    </comment>
    <comment ref="L62" authorId="1" shapeId="0" xr:uid="{00000000-0006-0000-1500-000031000000}">
      <text>
        <r>
          <rPr>
            <b/>
            <sz val="9"/>
            <color indexed="81"/>
            <rFont val="Tahoma"/>
            <family val="2"/>
          </rPr>
          <t>Author:
clawback period</t>
        </r>
      </text>
    </comment>
    <comment ref="O62" authorId="1" shapeId="0" xr:uid="{00000000-0006-0000-1500-000032000000}">
      <text>
        <r>
          <rPr>
            <b/>
            <sz val="9"/>
            <color indexed="81"/>
            <rFont val="Tahoma"/>
            <family val="2"/>
          </rPr>
          <t>Author:
clawback period</t>
        </r>
      </text>
    </comment>
    <comment ref="R62" authorId="1" shapeId="0" xr:uid="{00000000-0006-0000-1500-000033000000}">
      <text>
        <r>
          <rPr>
            <b/>
            <sz val="9"/>
            <color indexed="81"/>
            <rFont val="Tahoma"/>
            <family val="2"/>
          </rPr>
          <t>Author:
clawback period</t>
        </r>
      </text>
    </comment>
    <comment ref="D64" authorId="2" shapeId="0" xr:uid="{00000000-0006-0000-1500-000034000000}">
      <text>
        <r>
          <rPr>
            <b/>
            <sz val="9"/>
            <color indexed="81"/>
            <rFont val="Tahoma"/>
            <family val="2"/>
          </rPr>
          <t>Author:
Cease indexation form 1 July 2014. Budget 2014-15</t>
        </r>
      </text>
    </comment>
    <comment ref="G64" authorId="2" shapeId="0" xr:uid="{00000000-0006-0000-1500-000035000000}">
      <text>
        <r>
          <rPr>
            <b/>
            <sz val="9"/>
            <color indexed="81"/>
            <rFont val="Tahoma"/>
            <family val="2"/>
          </rPr>
          <t>Author:
Cease indexation form 1 July 2014. Budget 2014-15</t>
        </r>
      </text>
    </comment>
    <comment ref="J64" authorId="2" shapeId="0" xr:uid="{00000000-0006-0000-1500-000036000000}">
      <text>
        <r>
          <rPr>
            <b/>
            <sz val="9"/>
            <color indexed="81"/>
            <rFont val="Tahoma"/>
            <family val="2"/>
          </rPr>
          <t>Author:
Cease indexation form 1 July 2014. Budget 2014-15</t>
        </r>
      </text>
    </comment>
    <comment ref="M64" authorId="2" shapeId="0" xr:uid="{00000000-0006-0000-1500-000037000000}">
      <text>
        <r>
          <rPr>
            <b/>
            <sz val="9"/>
            <color indexed="81"/>
            <rFont val="Tahoma"/>
            <family val="2"/>
          </rPr>
          <t>Author:
Cease indexation form 1 July 2014. Budget 2014-15</t>
        </r>
      </text>
    </comment>
    <comment ref="P64" authorId="2" shapeId="0" xr:uid="{00000000-0006-0000-1500-000038000000}">
      <text>
        <r>
          <rPr>
            <b/>
            <sz val="9"/>
            <color indexed="81"/>
            <rFont val="Tahoma"/>
            <family val="2"/>
          </rPr>
          <t>Author:
Cease indexation form 1 July 2014. Budget 2014-15</t>
        </r>
      </text>
    </comment>
    <comment ref="S64" authorId="2" shapeId="0" xr:uid="{00000000-0006-0000-1500-000039000000}">
      <text>
        <r>
          <rPr>
            <b/>
            <sz val="9"/>
            <color indexed="81"/>
            <rFont val="Tahoma"/>
            <family val="2"/>
          </rPr>
          <t>Author:
Cease indexation form 1 July 2014. Budget 2014-15</t>
        </r>
      </text>
    </comment>
    <comment ref="Y72" authorId="3" shapeId="0" xr:uid="{00000000-0006-0000-1500-00003A000000}">
      <text>
        <r>
          <rPr>
            <b/>
            <sz val="9"/>
            <color indexed="81"/>
            <rFont val="Tahoma"/>
            <family val="2"/>
          </rPr>
          <t xml:space="preserve">Author:
Increase eligibility age for NSA and Sickness Allowance from 22 to 25 from 1 July 2016. Budget 2015-16 BP2 p 158.
Legislation not debated in HoR, therefore slipped to 1 October 2016. 
Author:
Start date slipped further to 1 July 2017 - see DSS advice. </t>
        </r>
      </text>
    </comment>
    <comment ref="Z72" authorId="3" shapeId="0" xr:uid="{00000000-0006-0000-1500-00003B000000}">
      <text>
        <r>
          <rPr>
            <b/>
            <sz val="9"/>
            <color indexed="81"/>
            <rFont val="Tahoma"/>
            <family val="2"/>
          </rPr>
          <t xml:space="preserve">Author:
Increase eligibility age for NSA and Sickness Allowance from 22 to 25 from 1 July 2016. Budget 2015-16 BP2 p 158.
Legislation not debated in HoR, therefore slipped to 1 October 2016. However left in CPS as starting 1 July 2016 and make change in CAPITA code (If slips to 1 Jan 2017 then change to 22 for financial year). </t>
        </r>
      </text>
    </comment>
    <comment ref="D73" authorId="3" shapeId="0" xr:uid="{00000000-0006-0000-1500-00003C000000}">
      <text>
        <r>
          <rPr>
            <b/>
            <sz val="9"/>
            <color indexed="81"/>
            <rFont val="Tahoma"/>
            <family val="2"/>
          </rPr>
          <t xml:space="preserve">Author:
Budget 2016-17 - Energy supplement to be removed with grandfathering from 20/09/2016. Grandfathering modelled in CAPITA. 
See Budget 2016-17, BP2 (pg 143) - National Disability Insurance Scheme Savings Fund - removal of carbon tax compensation. </t>
        </r>
      </text>
    </comment>
    <comment ref="G73" authorId="3" shapeId="0" xr:uid="{00000000-0006-0000-1500-00003D000000}">
      <text>
        <r>
          <rPr>
            <b/>
            <sz val="9"/>
            <color indexed="81"/>
            <rFont val="Tahoma"/>
            <family val="2"/>
          </rPr>
          <t xml:space="preserve">Author:
Budget 2016-17 - Energy supplement to be removed with grandfathering from 20/09/2016. Grandfathering modelled in CAPITA. 
See Budget 2016-17, BP2 (pg 143) - National Disability Insurance Scheme Savings Fund - removal of carbon tax compensation. </t>
        </r>
      </text>
    </comment>
    <comment ref="J73" authorId="3" shapeId="0" xr:uid="{00000000-0006-0000-1500-00003E000000}">
      <text>
        <r>
          <rPr>
            <b/>
            <sz val="9"/>
            <color indexed="81"/>
            <rFont val="Tahoma"/>
            <family val="2"/>
          </rPr>
          <t xml:space="preserve">Author:
Budget 2016-17 - Energy supplement to be removed with grandfathering from 20/09/2016. Grandfathering modelled in CAPITA. 
See Budget 2016-17, BP2 (pg 143) - National Disability Insurance Scheme Savings Fund - removal of carbon tax compensation. </t>
        </r>
      </text>
    </comment>
    <comment ref="M73" authorId="3" shapeId="0" xr:uid="{00000000-0006-0000-1500-00003F000000}">
      <text>
        <r>
          <rPr>
            <b/>
            <sz val="9"/>
            <color indexed="81"/>
            <rFont val="Tahoma"/>
            <family val="2"/>
          </rPr>
          <t xml:space="preserve">Author:
Budget 2016-17 - Energy supplement to be removed with grandfathering from 20/09/2016. Grandfathering modelled in CAPITA. 
See Budget 2016-17, BP2 (pg 143) - National Disability Insurance Scheme Savings Fund - removal of carbon tax compensation. </t>
        </r>
      </text>
    </comment>
    <comment ref="P73" authorId="3" shapeId="0" xr:uid="{00000000-0006-0000-1500-000040000000}">
      <text>
        <r>
          <rPr>
            <b/>
            <sz val="9"/>
            <color indexed="81"/>
            <rFont val="Tahoma"/>
            <family val="2"/>
          </rPr>
          <t xml:space="preserve">Author:
Budget 2016-17 - Energy supplement to be removed with grandfathering from 20/09/2016. Grandfathering modelled in CAPITA. 
See Budget 2016-17, BP2 (pg 143) - National Disability Insurance Scheme Savings Fund - removal of carbon tax compensation. </t>
        </r>
      </text>
    </comment>
    <comment ref="S73" authorId="3" shapeId="0" xr:uid="{00000000-0006-0000-1500-000041000000}">
      <text>
        <r>
          <rPr>
            <b/>
            <sz val="9"/>
            <color indexed="81"/>
            <rFont val="Tahoma"/>
            <family val="2"/>
          </rPr>
          <t xml:space="preserve">Author:
Budget 2016-17 - Energy supplement to be removed with grandfathering from 20/09/2016. Grandfathering modelled in CAPITA. 
See Budget 2016-17, BP2 (pg 143) - National Disability Insurance Scheme Savings Fund - removal of carbon tax compensation. </t>
        </r>
      </text>
    </comment>
    <comment ref="Y76" authorId="4" shapeId="0" xr:uid="{00000000-0006-0000-1500-000042000000}">
      <text>
        <r>
          <rPr>
            <b/>
            <sz val="9"/>
            <color indexed="81"/>
            <rFont val="Tahoma"/>
            <family val="2"/>
          </rPr>
          <t xml:space="preserve">Author:
in line with Budget Measure to not proceed with measure to increase the age of eligibility for newstart allowance and sickness allowance. </t>
        </r>
      </text>
    </comment>
    <comment ref="D77" authorId="3" shapeId="0" xr:uid="{00000000-0006-0000-1500-000043000000}">
      <text>
        <r>
          <rPr>
            <b/>
            <sz val="9"/>
            <color indexed="81"/>
            <rFont val="Tahoma"/>
            <family val="2"/>
          </rPr>
          <t xml:space="preserve">Author:
Removal of energy supplement with grandfathering for Income Support Payments (measure from 1617 Budget) to commence 20 Sep 2017 (slipped from 20 Sep 2016), however the grandfathering date remains at 20 Sep 2016. 
Advice provided by DSS. Changes made to CAPITA code. </t>
        </r>
      </text>
    </comment>
    <comment ref="G77" authorId="3" shapeId="0" xr:uid="{00000000-0006-0000-1500-000044000000}">
      <text>
        <r>
          <rPr>
            <b/>
            <sz val="9"/>
            <color indexed="81"/>
            <rFont val="Tahoma"/>
            <family val="2"/>
          </rPr>
          <t xml:space="preserve">Author:
Removal of energy supplement with grandfathering for Income Support Payments (measure from 1617 Budget) to commence 20 Sep 2017 (slipped from 20 Sep 2016), however the grandfathering date remains at 20 Sep 2016. 
Advice provided by DSS. Changes made to CAPITA code. </t>
        </r>
      </text>
    </comment>
    <comment ref="J77" authorId="3" shapeId="0" xr:uid="{00000000-0006-0000-1500-000045000000}">
      <text>
        <r>
          <rPr>
            <b/>
            <sz val="9"/>
            <color indexed="81"/>
            <rFont val="Tahoma"/>
            <family val="2"/>
          </rPr>
          <t xml:space="preserve">Author:
Removal of energy supplement with grandfathering for Income Support Payments (measure from 1617 Budget) to commence 20 Sep 2017 (slipped from 20 Sep 2016), however the grandfathering date remains at 20 Sep 2016. 
Advice provided by DSS. Changes made to CAPITA code. </t>
        </r>
      </text>
    </comment>
    <comment ref="M77" authorId="3" shapeId="0" xr:uid="{00000000-0006-0000-1500-000046000000}">
      <text>
        <r>
          <rPr>
            <b/>
            <sz val="9"/>
            <color indexed="81"/>
            <rFont val="Tahoma"/>
            <family val="2"/>
          </rPr>
          <t xml:space="preserve">Author:
Removal of energy supplement with grandfathering for Income Support Payments (measure from 1617 Budget) to commence 20 Sep 2017 (slipped from 20 Sep 2016), however the grandfathering date remains at 20 Sep 2016. 
Advice provided by DSS. Changes made to CAPITA code. </t>
        </r>
      </text>
    </comment>
    <comment ref="P77" authorId="3" shapeId="0" xr:uid="{00000000-0006-0000-1500-000047000000}">
      <text>
        <r>
          <rPr>
            <b/>
            <sz val="9"/>
            <color indexed="81"/>
            <rFont val="Tahoma"/>
            <family val="2"/>
          </rPr>
          <t xml:space="preserve">Author:
Removal of energy supplement with grandfathering for Income Support Payments (measure from 1617 Budget) to commence 20 Sep 2017 (slipped from 20 Sep 2016), however the grandfathering date remains at 20 Sep 2016. 
Advice provided by DSS. Changes made to CAPITA code. </t>
        </r>
      </text>
    </comment>
    <comment ref="S77" authorId="3" shapeId="0" xr:uid="{00000000-0006-0000-1500-000048000000}">
      <text>
        <r>
          <rPr>
            <b/>
            <sz val="9"/>
            <color indexed="81"/>
            <rFont val="Tahoma"/>
            <family val="2"/>
          </rPr>
          <t xml:space="preserve">Author:
Removal of energy supplement with grandfathering for Income Support Payments (measure from 1617 Budget) to commence 20 Sep 2017 (slipped from 20 Sep 2016), however the grandfathering date remains at 20 Sep 2016. 
Advice provided by DSS. Changes made to CAPITA code. </t>
        </r>
      </text>
    </comment>
  </commentList>
</comments>
</file>

<file path=xl/comments23.xml><?xml version="1.0" encoding="utf-8"?>
<comments xmlns="http://schemas.openxmlformats.org/spreadsheetml/2006/main" xmlns:mc="http://schemas.openxmlformats.org/markup-compatibility/2006" xmlns:xr="http://schemas.microsoft.com/office/spreadsheetml/2014/revision" mc:Ignorable="xr">
  <authors>
    <author>Bott, Mark</author>
  </authors>
  <commentList>
    <comment ref="Y3" authorId="0" shapeId="0" xr:uid="{00000000-0006-0000-1600-000001000000}">
      <text>
        <r>
          <rPr>
            <b/>
            <sz val="9"/>
            <color indexed="81"/>
            <rFont val="Tahoma"/>
            <family val="2"/>
          </rPr>
          <t>Author:
Maximum age for youth allowance for person not undertaking full time study.
See s543B(1)(b).</t>
        </r>
      </text>
    </comment>
    <comment ref="Z3" authorId="0" shapeId="0" xr:uid="{00000000-0006-0000-1600-000002000000}">
      <text>
        <r>
          <rPr>
            <b/>
            <sz val="9"/>
            <color indexed="81"/>
            <rFont val="Tahoma"/>
            <family val="2"/>
          </rPr>
          <t>Author:
Maximum age for youth allowance for person not undertaking full time study.
See s543B(1)(b).</t>
        </r>
      </text>
    </comment>
    <comment ref="E4" authorId="0" shapeId="0" xr:uid="{00000000-0006-0000-1600-000003000000}">
      <text>
        <r>
          <rPr>
            <b/>
            <sz val="9"/>
            <color indexed="81"/>
            <rFont val="Tahoma"/>
            <family val="2"/>
          </rPr>
          <t xml:space="preserve">Author:
payment amount is per fortnight </t>
        </r>
      </text>
    </comment>
    <comment ref="H4" authorId="0" shapeId="0" xr:uid="{00000000-0006-0000-1600-000004000000}">
      <text>
        <r>
          <rPr>
            <b/>
            <sz val="9"/>
            <color indexed="81"/>
            <rFont val="Tahoma"/>
            <family val="2"/>
          </rPr>
          <t xml:space="preserve">Author:
Sum of maximum basic rate and clean energy supplement.
payment amount is per fortnight </t>
        </r>
      </text>
    </comment>
    <comment ref="K5" authorId="0" shapeId="0" xr:uid="{00000000-0006-0000-1600-000005000000}">
      <text>
        <r>
          <rPr>
            <b/>
            <sz val="9"/>
            <color indexed="81"/>
            <rFont val="Tahoma"/>
            <family val="2"/>
          </rPr>
          <t xml:space="preserve">Author:
Sum of maximum basic rate and clean energy supplement.
payment amount is per fortnight </t>
        </r>
      </text>
    </comment>
    <comment ref="N5" authorId="0" shapeId="0" xr:uid="{00000000-0006-0000-1600-000006000000}">
      <text>
        <r>
          <rPr>
            <b/>
            <sz val="9"/>
            <color indexed="81"/>
            <rFont val="Tahoma"/>
            <family val="2"/>
          </rPr>
          <t xml:space="preserve">Author:
Sum of maximum basic rate and clean energy supplement.
payment amount is per fortnight </t>
        </r>
      </text>
    </comment>
    <comment ref="Q5" authorId="0" shapeId="0" xr:uid="{00000000-0006-0000-1600-000007000000}">
      <text>
        <r>
          <rPr>
            <b/>
            <sz val="9"/>
            <color indexed="81"/>
            <rFont val="Tahoma"/>
            <family val="2"/>
          </rPr>
          <t xml:space="preserve">Author:
Sum of maximum basic rate and clean energy supplement.
payment amount is per fortnight </t>
        </r>
      </text>
    </comment>
    <comment ref="T5" authorId="0" shapeId="0" xr:uid="{00000000-0006-0000-1600-000008000000}">
      <text>
        <r>
          <rPr>
            <b/>
            <sz val="9"/>
            <color indexed="81"/>
            <rFont val="Tahoma"/>
            <family val="2"/>
          </rPr>
          <t xml:space="preserve">Author:
Sum of maximum basic rate and clean energy supplement.
payment amount is per fortnight </t>
        </r>
      </text>
    </comment>
    <comment ref="C6" authorId="0" shapeId="0" xr:uid="{00000000-0006-0000-1600-000009000000}">
      <text>
        <r>
          <rPr>
            <b/>
            <sz val="9"/>
            <color indexed="81"/>
            <rFont val="Tahoma"/>
            <family val="2"/>
          </rPr>
          <t xml:space="preserve">Author:
Rate at table BA, item 1, clause 1067G-B2 SSA 1991.
Indexed by CPI each January as per table in s1191. (See CEUAP rate 4.) 
payment amount is per fortnight </t>
        </r>
      </text>
    </comment>
    <comment ref="D6" authorId="0" shapeId="0" xr:uid="{00000000-0006-0000-1600-00000A000000}">
      <text>
        <r>
          <rPr>
            <b/>
            <sz val="9"/>
            <color indexed="81"/>
            <rFont val="Tahoma"/>
            <family val="2"/>
          </rPr>
          <t>Author:
Amount at clause 1067G-BA3 SSA1991.
Indexed each January by CPI as per the table in s1191. (see CPEUA rate 4.)
payment amount is per fortnight 
From 1 July 2014 rename Clean Energy Supplement to Energy Supplement.</t>
        </r>
      </text>
    </comment>
    <comment ref="F6" authorId="0" shapeId="0" xr:uid="{00000000-0006-0000-1600-00000B000000}">
      <text>
        <r>
          <rPr>
            <b/>
            <sz val="9"/>
            <color indexed="81"/>
            <rFont val="Tahoma"/>
            <family val="2"/>
          </rPr>
          <t xml:space="preserve">Author:
Rate at table BA, item 2, clause 1067G-B2 SSA 1991.
Indexed by CPI each January as per table in s1191. (See CEUAP rate 4.) 
payment amount is per fortnight </t>
        </r>
      </text>
    </comment>
    <comment ref="G6" authorId="0" shapeId="0" xr:uid="{00000000-0006-0000-1600-00000C000000}">
      <text>
        <r>
          <rPr>
            <b/>
            <sz val="9"/>
            <color indexed="81"/>
            <rFont val="Tahoma"/>
            <family val="2"/>
          </rPr>
          <t>Author:
Amount at clause 1067G-BA3 SSA1991.
Indexed each January by CPI as per the table in s1191. (see CPEUA rate 4.)
payment amount is per fortnight 
From 1 July 2014 rename Clean Energy Supplement to Energy Supplement.</t>
        </r>
      </text>
    </comment>
    <comment ref="I6" authorId="0" shapeId="0" xr:uid="{00000000-0006-0000-1600-00000D000000}">
      <text>
        <r>
          <rPr>
            <b/>
            <sz val="9"/>
            <color indexed="81"/>
            <rFont val="Tahoma"/>
            <family val="2"/>
          </rPr>
          <t xml:space="preserve">Author:
Rate at table BA, item 3, clause 1067G-B2 SSA 1991 and table BB, item 8 clause 1067G-B3.
Indexed by CPI each January as per table in s1191. (See CEUAP rate 4.) 
payment amount is per fortnight </t>
        </r>
      </text>
    </comment>
    <comment ref="J6" authorId="0" shapeId="0" xr:uid="{00000000-0006-0000-1600-00000E000000}">
      <text>
        <r>
          <rPr>
            <b/>
            <sz val="9"/>
            <color indexed="81"/>
            <rFont val="Tahoma"/>
            <family val="2"/>
          </rPr>
          <t>Author:
Amount at clause 1067G-BA3 SSA1991.
Indexed each January by CPI as per the table in s1191. (see CPEUA rate 4.)
payment amount is per fortnight 
From 1 July 2014 rename Clean Energy Supplement to Energy Supplement.</t>
        </r>
      </text>
    </comment>
    <comment ref="L6" authorId="0" shapeId="0" xr:uid="{00000000-0006-0000-1600-00000F000000}">
      <text>
        <r>
          <rPr>
            <b/>
            <sz val="9"/>
            <color indexed="81"/>
            <rFont val="Tahoma"/>
            <family val="2"/>
          </rPr>
          <t xml:space="preserve">Author:
Rate at table BB, item 8, clause 1067G-B3 SSA 1991.
Indexed by CPI each January as per table in s1191. (See CEUAP rate 4.)
payment amount is per fortnight </t>
        </r>
      </text>
    </comment>
    <comment ref="M6" authorId="0" shapeId="0" xr:uid="{00000000-0006-0000-1600-000010000000}">
      <text>
        <r>
          <rPr>
            <b/>
            <sz val="9"/>
            <color indexed="81"/>
            <rFont val="Tahoma"/>
            <family val="2"/>
          </rPr>
          <t>Author:
Amount at clause 1067G-BA3 SSA1991.
Indexed each January by CPI as per the table in s1191. (see CPEUA rate 4.)
payment amount is per fortnight 
From 1 July 2014 rename Clean Energy Supplement to Energy Supplement.</t>
        </r>
      </text>
    </comment>
    <comment ref="O6" authorId="0" shapeId="0" xr:uid="{00000000-0006-0000-1600-000011000000}">
      <text>
        <r>
          <rPr>
            <b/>
            <sz val="9"/>
            <color indexed="81"/>
            <rFont val="Tahoma"/>
            <family val="2"/>
          </rPr>
          <t xml:space="preserve">Author:
Rate at table BB, item 7, clause 1067G-B3 SSA 1991.
Indexed by CPI each January as per table in s1191. (See CEUAP rate 4.) 
payment amount is per fortnight </t>
        </r>
      </text>
    </comment>
    <comment ref="P6" authorId="0" shapeId="0" xr:uid="{00000000-0006-0000-1600-000012000000}">
      <text>
        <r>
          <rPr>
            <b/>
            <sz val="9"/>
            <color indexed="81"/>
            <rFont val="Tahoma"/>
            <family val="2"/>
          </rPr>
          <t>Author:
Amount at clause 1067G-BA3 SSA1991.
Indexed each January by CPI as per the table in s1191. (see CPEUA rate 4.)
payment amount is per fortnight 
From 1 July 2014 rename Clean Energy Supplement to Energy Supplement.</t>
        </r>
      </text>
    </comment>
    <comment ref="R6" authorId="0" shapeId="0" xr:uid="{00000000-0006-0000-1600-000013000000}">
      <text>
        <r>
          <rPr>
            <b/>
            <sz val="9"/>
            <color indexed="81"/>
            <rFont val="Tahoma"/>
            <family val="2"/>
          </rPr>
          <t xml:space="preserve">Author:
Rate at table BB, item 6, clause 1067G-B3 SSA 1991.
Indexed by CPI each January as per table in s1191. (See CEUAP rate 4.) 
payment amount is per fortnight </t>
        </r>
      </text>
    </comment>
    <comment ref="S6" authorId="0" shapeId="0" xr:uid="{00000000-0006-0000-1600-000014000000}">
      <text>
        <r>
          <rPr>
            <b/>
            <sz val="9"/>
            <color indexed="81"/>
            <rFont val="Tahoma"/>
            <family val="2"/>
          </rPr>
          <t>Author:
Amount at clause 1067G-BA3 SSA1991.
Indexed each January by CPI as per the table in s1191. (see CPEUA rate 4.)
payment amount is per fortnight 
From 1 July 2014 rename Clean Energy Supplement to Energy Supplement.</t>
        </r>
      </text>
    </comment>
    <comment ref="U6" authorId="0" shapeId="0" xr:uid="{00000000-0006-0000-1600-000015000000}">
      <text>
        <r>
          <rPr>
            <b/>
            <sz val="9"/>
            <color indexed="81"/>
            <rFont val="Tahoma"/>
            <family val="2"/>
          </rPr>
          <t xml:space="preserve">Author:
Amout at clause 1067G-H29(c) SSA1991.
Not indexed.
amount is per fortnight </t>
        </r>
      </text>
    </comment>
    <comment ref="V6" authorId="0" shapeId="0" xr:uid="{00000000-0006-0000-1600-000016000000}">
      <text>
        <r>
          <rPr>
            <b/>
            <sz val="9"/>
            <color indexed="81"/>
            <rFont val="Tahoma"/>
            <family val="2"/>
          </rPr>
          <t xml:space="preserve">Author:
Amount at clause 1067G-H32© + lower threshod.
Not indexed.
amount is per fortnight </t>
        </r>
      </text>
    </comment>
    <comment ref="W6" authorId="0" shapeId="0" xr:uid="{00000000-0006-0000-1600-000017000000}">
      <text>
        <r>
          <rPr>
            <b/>
            <sz val="9"/>
            <color indexed="81"/>
            <rFont val="Tahoma"/>
            <family val="2"/>
          </rPr>
          <t>Author:
Factor at clause 1067G-H32 SSA1991</t>
        </r>
      </text>
    </comment>
    <comment ref="X6" authorId="0" shapeId="0" xr:uid="{00000000-0006-0000-1600-000018000000}">
      <text>
        <r>
          <rPr>
            <b/>
            <sz val="9"/>
            <color indexed="81"/>
            <rFont val="Tahoma"/>
            <family val="2"/>
          </rPr>
          <t>Author:
Factor at clause 067G-H33 SSA1991.</t>
        </r>
      </text>
    </comment>
  </commentList>
</comments>
</file>

<file path=xl/comments24.xml><?xml version="1.0" encoding="utf-8"?>
<comments xmlns="http://schemas.openxmlformats.org/spreadsheetml/2006/main" xmlns:mc="http://schemas.openxmlformats.org/markup-compatibility/2006" xmlns:xr="http://schemas.microsoft.com/office/spreadsheetml/2014/revision" mc:Ignorable="xr">
  <authors>
    <author>Li, Taike</author>
    <author>Bott, Mark</author>
    <author>Bullen, Jared</author>
    <author>Ledda, Daniel</author>
  </authors>
  <commentList>
    <comment ref="E1" authorId="0" shapeId="0" xr:uid="{00000000-0006-0000-1700-000001000000}">
      <text>
        <r>
          <rPr>
            <b/>
            <sz val="9"/>
            <color indexed="81"/>
            <rFont val="Tahoma"/>
            <family val="2"/>
          </rPr>
          <t>Author:
PES minimum age is given by 1061PK of the SSA 1991.</t>
        </r>
      </text>
    </comment>
    <comment ref="C4" authorId="1" shapeId="0" xr:uid="{00000000-0006-0000-1700-000002000000}">
      <text>
        <r>
          <rPr>
            <b/>
            <sz val="9"/>
            <color indexed="81"/>
            <rFont val="Tahoma"/>
            <family val="2"/>
          </rPr>
          <t>Author:
Additonal fortnightly payment made available to some pensioners undertaking study.
This is the rate at s1061PZG(2) SSA1991. 
This is a fortnightly amount</t>
        </r>
      </text>
    </comment>
    <comment ref="D4" authorId="1" shapeId="0" xr:uid="{00000000-0006-0000-1700-000003000000}">
      <text>
        <r>
          <rPr>
            <b/>
            <sz val="9"/>
            <color indexed="81"/>
            <rFont val="Tahoma"/>
            <family val="2"/>
          </rPr>
          <t>Author:
Additonal fortnightly payment made available to some pensioners undertaking study.
This is the rate at s1061PZG(2) SSA1991. 
This is a fortnightly amount</t>
        </r>
      </text>
    </comment>
    <comment ref="B30" authorId="2" shapeId="0" xr:uid="{00000000-0006-0000-1700-000004000000}">
      <text>
        <r>
          <rPr>
            <b/>
            <sz val="9"/>
            <color indexed="81"/>
            <rFont val="Tahoma"/>
            <family val="2"/>
          </rPr>
          <t>Author:
Checked on 30 January 2006 using the guide to Australian Government payment.</t>
        </r>
      </text>
    </comment>
    <comment ref="B31" authorId="2" shapeId="0" xr:uid="{00000000-0006-0000-1700-000005000000}">
      <text>
        <r>
          <rPr>
            <b/>
            <sz val="9"/>
            <color indexed="81"/>
            <rFont val="Tahoma"/>
            <family val="2"/>
          </rPr>
          <t>Author:
Checked on 13/3/06</t>
        </r>
      </text>
    </comment>
    <comment ref="B32" authorId="2" shapeId="0" xr:uid="{00000000-0006-0000-1700-000006000000}">
      <text>
        <r>
          <rPr>
            <b/>
            <sz val="9"/>
            <color indexed="81"/>
            <rFont val="Tahoma"/>
            <family val="2"/>
          </rPr>
          <t>Author:
Checked on 7 August 06</t>
        </r>
      </text>
    </comment>
    <comment ref="B33" authorId="2" shapeId="0" xr:uid="{00000000-0006-0000-1700-000007000000}">
      <text>
        <r>
          <rPr>
            <b/>
            <sz val="9"/>
            <color indexed="81"/>
            <rFont val="Tahoma"/>
            <family val="2"/>
          </rPr>
          <t>Author:
Checked on 26 Oct 06</t>
        </r>
      </text>
    </comment>
    <comment ref="B34" authorId="2" shapeId="0" xr:uid="{00000000-0006-0000-1700-000008000000}">
      <text>
        <r>
          <rPr>
            <b/>
            <sz val="9"/>
            <color indexed="81"/>
            <rFont val="Tahoma"/>
            <family val="2"/>
          </rPr>
          <t>Author:
Checked on 12 March 2007</t>
        </r>
      </text>
    </comment>
    <comment ref="B35" authorId="2" shapeId="0" xr:uid="{00000000-0006-0000-1700-000009000000}">
      <text>
        <r>
          <rPr>
            <b/>
            <sz val="9"/>
            <color indexed="81"/>
            <rFont val="Tahoma"/>
            <family val="2"/>
          </rPr>
          <t>Author:
Checked 21 March 2007</t>
        </r>
      </text>
    </comment>
    <comment ref="B36" authorId="2" shapeId="0" xr:uid="{00000000-0006-0000-1700-00000A000000}">
      <text>
        <r>
          <rPr>
            <b/>
            <sz val="9"/>
            <color indexed="81"/>
            <rFont val="Tahoma"/>
            <family val="2"/>
          </rPr>
          <t>Author:
Checked 26 June 2007</t>
        </r>
      </text>
    </comment>
    <comment ref="B37" authorId="2" shapeId="0" xr:uid="{00000000-0006-0000-1700-00000B000000}">
      <text>
        <r>
          <rPr>
            <b/>
            <sz val="9"/>
            <color indexed="81"/>
            <rFont val="Tahoma"/>
            <family val="2"/>
          </rPr>
          <t>Author:
Checked 13 November</t>
        </r>
      </text>
    </comment>
    <comment ref="B38" authorId="2" shapeId="0" xr:uid="{00000000-0006-0000-1700-00000C000000}">
      <text>
        <r>
          <rPr>
            <b/>
            <sz val="9"/>
            <color indexed="81"/>
            <rFont val="Tahoma"/>
            <family val="2"/>
          </rPr>
          <t>Author:
Checked 5 march 08</t>
        </r>
      </text>
    </comment>
    <comment ref="B39" authorId="2" shapeId="0" xr:uid="{00000000-0006-0000-1700-00000D000000}">
      <text>
        <r>
          <rPr>
            <b/>
            <sz val="9"/>
            <color indexed="81"/>
            <rFont val="Tahoma"/>
            <family val="2"/>
          </rPr>
          <t>Author:
Checked on 3 June 08</t>
        </r>
      </text>
    </comment>
    <comment ref="B40" authorId="2" shapeId="0" xr:uid="{00000000-0006-0000-1700-00000E000000}">
      <text>
        <r>
          <rPr>
            <b/>
            <sz val="9"/>
            <color indexed="81"/>
            <rFont val="Tahoma"/>
            <family val="2"/>
          </rPr>
          <t>Author:
Checked on 30 July 08</t>
        </r>
      </text>
    </comment>
    <comment ref="B41" authorId="2" shapeId="0" xr:uid="{00000000-0006-0000-1700-00000F000000}">
      <text>
        <r>
          <rPr>
            <b/>
            <sz val="9"/>
            <color indexed="81"/>
            <rFont val="Tahoma"/>
            <family val="2"/>
          </rPr>
          <t>Author:
Checked 7 Oct 08</t>
        </r>
      </text>
    </comment>
    <comment ref="C68" authorId="0" shapeId="0" xr:uid="{00000000-0006-0000-1700-000010000000}">
      <text>
        <r>
          <rPr>
            <b/>
            <sz val="9"/>
            <color indexed="81"/>
            <rFont val="Tahoma"/>
            <family val="2"/>
          </rPr>
          <t>Author:
Cessation of PES from 1 Jan 2015 in Budget 2014-15.
Due to legislation not passing, cessation now assumed to be 1 January 2016.</t>
        </r>
      </text>
    </comment>
    <comment ref="D68" authorId="0" shapeId="0" xr:uid="{00000000-0006-0000-1700-000011000000}">
      <text>
        <r>
          <rPr>
            <b/>
            <sz val="9"/>
            <color indexed="81"/>
            <rFont val="Tahoma"/>
            <family val="2"/>
          </rPr>
          <t xml:space="preserve">Author:
Cessation of PES from 1 Jan 2015 in Budget 2014-15.
Due to legislation not passing, cessation now assumed to be 1 January 2016. </t>
        </r>
      </text>
    </comment>
    <comment ref="E68" authorId="0" shapeId="0" xr:uid="{00000000-0006-0000-1700-000012000000}">
      <text>
        <r>
          <rPr>
            <b/>
            <sz val="9"/>
            <color indexed="81"/>
            <rFont val="Tahoma"/>
            <family val="2"/>
          </rPr>
          <t>Author:
Cessation of PES from 1 Jan 2015 in Budget 2014-15.
Due to legislation not passing, cessation now assumed to be 1 January 2016.</t>
        </r>
      </text>
    </comment>
    <comment ref="C73" authorId="3" shapeId="0" xr:uid="{00000000-0006-0000-1700-000013000000}">
      <text>
        <r>
          <rPr>
            <b/>
            <sz val="9"/>
            <color indexed="81"/>
            <rFont val="Tahoma"/>
            <family val="2"/>
          </rPr>
          <t xml:space="preserve">Author:
PES abolished from 1 October 2016 (slippage from 1 July 2016) due to legislation not passing. 
Author:
Payment reinstated for this quarter due to further slippage to 1 July 2017
</t>
        </r>
      </text>
    </comment>
    <comment ref="C74" authorId="3" shapeId="0" xr:uid="{00000000-0006-0000-1700-000014000000}">
      <text>
        <r>
          <rPr>
            <b/>
            <sz val="9"/>
            <color indexed="81"/>
            <rFont val="Tahoma"/>
            <family val="2"/>
          </rPr>
          <t xml:space="preserve">Author:
PES abolished from 1 July 2017 (slippage from 1 October 2016) due to legislation not passing. See advice provided by DSS on 16/01/2017 - PoEM policy measures. 
</t>
        </r>
      </text>
    </comment>
  </commentList>
</comments>
</file>

<file path=xl/comments25.xml><?xml version="1.0" encoding="utf-8"?>
<comments xmlns="http://schemas.openxmlformats.org/spreadsheetml/2006/main" xmlns:mc="http://schemas.openxmlformats.org/markup-compatibility/2006" xmlns:xr="http://schemas.microsoft.com/office/spreadsheetml/2014/revision" mc:Ignorable="xr">
  <authors>
    <author>Li, Taike</author>
    <author>Bott, Mark</author>
  </authors>
  <commentList>
    <comment ref="E1" authorId="0" shapeId="0" xr:uid="{00000000-0006-0000-1800-000001000000}">
      <text>
        <r>
          <rPr>
            <b/>
            <sz val="9"/>
            <color indexed="81"/>
            <rFont val="Tahoma"/>
            <family val="2"/>
          </rPr>
          <t>Author:
PES minimum age is given by 1061PK of the SSA 1991.</t>
        </r>
      </text>
    </comment>
    <comment ref="C4" authorId="1" shapeId="0" xr:uid="{00000000-0006-0000-1800-000002000000}">
      <text>
        <r>
          <rPr>
            <b/>
            <sz val="9"/>
            <color indexed="81"/>
            <rFont val="Tahoma"/>
            <family val="2"/>
          </rPr>
          <t>Author:
Additonal fortnightly payment made available to some pensioners undertaking study.
This is the rate at s1061PZG(2) SSA1991. 
This is a fortnightly amount</t>
        </r>
      </text>
    </comment>
    <comment ref="D4" authorId="1" shapeId="0" xr:uid="{00000000-0006-0000-1800-000003000000}">
      <text>
        <r>
          <rPr>
            <b/>
            <sz val="9"/>
            <color indexed="81"/>
            <rFont val="Tahoma"/>
            <family val="2"/>
          </rPr>
          <t>Author:
Additonal fortnightly payment made available to some pensioners undertaking study.
This is the rate at s1061PZG(2) SSA1991. 
This is a fortnightly amount</t>
        </r>
      </text>
    </comment>
  </commentList>
</comments>
</file>

<file path=xl/comments26.xml><?xml version="1.0" encoding="utf-8"?>
<comments xmlns="http://schemas.openxmlformats.org/spreadsheetml/2006/main" xmlns:mc="http://schemas.openxmlformats.org/markup-compatibility/2006" xmlns:xr="http://schemas.microsoft.com/office/spreadsheetml/2014/revision" mc:Ignorable="xr">
  <authors>
    <author>Li, Taike</author>
    <author>Bott, Mark</author>
  </authors>
  <commentList>
    <comment ref="C2" authorId="0" shapeId="0" xr:uid="{00000000-0006-0000-1900-000001000000}">
      <text>
        <r>
          <rPr>
            <b/>
            <sz val="9"/>
            <color indexed="81"/>
            <rFont val="Tahoma"/>
            <family val="2"/>
          </rPr>
          <t>Author:
See Social Security Guide 1.1.D.70</t>
        </r>
      </text>
    </comment>
    <comment ref="C5" authorId="1" shapeId="0" xr:uid="{00000000-0006-0000-1900-000002000000}">
      <text>
        <r>
          <rPr>
            <b/>
            <sz val="9"/>
            <color indexed="81"/>
            <rFont val="Tahoma"/>
            <family val="2"/>
          </rPr>
          <t>Author:
Amount specified in s5 (3)(c) SSA1991.
Indexed annualy on 1 January as per table item 28 s1191 SSA1991.
amount is weekly</t>
        </r>
      </text>
    </comment>
    <comment ref="D5" authorId="1" shapeId="0" xr:uid="{00000000-0006-0000-1900-000003000000}">
      <text>
        <r>
          <rPr>
            <b/>
            <sz val="9"/>
            <color indexed="81"/>
            <rFont val="Tahoma"/>
            <family val="2"/>
          </rPr>
          <t>Author:
Amount specified in s5 (4)(b) SSA1991.
Indexed annualy on 1 January as per table item 28A s1191 SSA1991.
amount is on an annual basis</t>
        </r>
      </text>
    </comment>
  </commentList>
</comments>
</file>

<file path=xl/comments27.xml><?xml version="1.0" encoding="utf-8"?>
<comments xmlns="http://schemas.openxmlformats.org/spreadsheetml/2006/main" xmlns:mc="http://schemas.openxmlformats.org/markup-compatibility/2006" xmlns:xr="http://schemas.microsoft.com/office/spreadsheetml/2014/revision" mc:Ignorable="xr">
  <authors>
    <author>Bott, Mark</author>
  </authors>
  <commentList>
    <comment ref="C5" authorId="0" shapeId="0" xr:uid="{00000000-0006-0000-1A00-000001000000}">
      <text>
        <r>
          <rPr>
            <b/>
            <sz val="9"/>
            <color indexed="81"/>
            <rFont val="Tahoma"/>
            <family val="2"/>
          </rPr>
          <t>Author:
Amount specified in s5 (3)(c) SSA1991.
Indexed annualy on 1 January as per table item 28 s1191 SSA1991.
amount is on a weekly basis</t>
        </r>
      </text>
    </comment>
    <comment ref="D5" authorId="0" shapeId="0" xr:uid="{00000000-0006-0000-1A00-000002000000}">
      <text>
        <r>
          <rPr>
            <b/>
            <sz val="9"/>
            <color indexed="81"/>
            <rFont val="Tahoma"/>
            <family val="2"/>
          </rPr>
          <t>Author:
Amount specified in s5 (4)(b) SSA1991.
Indexed annualy on 1 January as per table item 28A s1191 SSA1991.
amount is on an annual basis</t>
        </r>
      </text>
    </comment>
  </commentList>
</comments>
</file>

<file path=xl/comments28.xml><?xml version="1.0" encoding="utf-8"?>
<comments xmlns="http://schemas.openxmlformats.org/spreadsheetml/2006/main" xmlns:mc="http://schemas.openxmlformats.org/markup-compatibility/2006" xmlns:xr="http://schemas.microsoft.com/office/spreadsheetml/2014/revision" mc:Ignorable="xr">
  <authors>
    <author>Bott, Mark</author>
  </authors>
  <commentList>
    <comment ref="C2" authorId="0" shapeId="0" xr:uid="{00000000-0006-0000-1B00-000001000000}">
      <text>
        <r>
          <rPr>
            <b/>
            <sz val="9"/>
            <color indexed="81"/>
            <rFont val="Tahoma"/>
            <family val="2"/>
          </rPr>
          <t>Author:
This is the value of pharmaceutical allowance paid to recipients of certain income support payments. 
See the rate calculators in sections 1064-1068 of SSA1991 for further details.</t>
        </r>
      </text>
    </comment>
    <comment ref="C5" authorId="0" shapeId="0" xr:uid="{00000000-0006-0000-1B00-000002000000}">
      <text>
        <r>
          <rPr>
            <b/>
            <sz val="9"/>
            <color indexed="81"/>
            <rFont val="Tahoma"/>
            <family val="2"/>
          </rPr>
          <t>Author:
Pharamceutical Allowance amount specified in pension and benefit rate calculators for single recipiets. 
Fixed as twice the married rate, see s1206A, SSA1991
This is a fortnightly amount</t>
        </r>
      </text>
    </comment>
    <comment ref="D5" authorId="0" shapeId="0" xr:uid="{00000000-0006-0000-1B00-000003000000}">
      <text>
        <r>
          <rPr>
            <b/>
            <sz val="9"/>
            <color indexed="81"/>
            <rFont val="Tahoma"/>
            <family val="2"/>
          </rPr>
          <t>Author:
Pharamceutical Allowance amount specified in pension and benefit rate calculators for partnered recipiets. 
Indexed as per table item 31, s1191 SSA1991. Note that the indexed amount is rounded down to the nearest multipl of 10cents as per s1194 (6).
This is a fortnightly amount</t>
        </r>
      </text>
    </comment>
  </commentList>
</comments>
</file>

<file path=xl/comments29.xml><?xml version="1.0" encoding="utf-8"?>
<comments xmlns="http://schemas.openxmlformats.org/spreadsheetml/2006/main" xmlns:mc="http://schemas.openxmlformats.org/markup-compatibility/2006" xmlns:xr="http://schemas.microsoft.com/office/spreadsheetml/2014/revision" mc:Ignorable="xr">
  <authors>
    <author>Bott, Mark</author>
  </authors>
  <commentList>
    <comment ref="C5" authorId="0" shapeId="0" xr:uid="{00000000-0006-0000-1C00-000001000000}">
      <text>
        <r>
          <rPr>
            <b/>
            <sz val="9"/>
            <color indexed="81"/>
            <rFont val="Tahoma"/>
            <family val="2"/>
          </rPr>
          <t>Author:
Pharamceutical Allowance amount specified in pension and benefit rate calculators for single recipiets. 
Fixed as twice the married rate, see s1206A, SSA1991
This is a fortnightly amount</t>
        </r>
      </text>
    </comment>
    <comment ref="D5" authorId="0" shapeId="0" xr:uid="{00000000-0006-0000-1C00-000002000000}">
      <text>
        <r>
          <rPr>
            <b/>
            <sz val="9"/>
            <color indexed="81"/>
            <rFont val="Tahoma"/>
            <family val="2"/>
          </rPr>
          <t>Author:
Pharamceutical Allowance amount specified in pension and benefit rate calculators for partnered recipiets. 
Indexed as per table item 31, s1191 SSA1991. Note that the indexed amount is rounded down to the nearest multipl of 10cents as per s1194 (6).
This is a fortnightly amount</t>
        </r>
      </text>
    </comment>
  </commentList>
</comments>
</file>

<file path=xl/comments30.xml><?xml version="1.0" encoding="utf-8"?>
<comments xmlns="http://schemas.openxmlformats.org/spreadsheetml/2006/main" xmlns:mc="http://schemas.openxmlformats.org/markup-compatibility/2006" xmlns:xr="http://schemas.microsoft.com/office/spreadsheetml/2014/revision" mc:Ignorable="xr">
  <authors>
    <author>Bott, Mark</author>
    <author>Guttmann, Ben</author>
  </authors>
  <commentList>
    <comment ref="C4" authorId="0" shapeId="0" xr:uid="{00000000-0006-0000-1D00-000001000000}">
      <text>
        <r>
          <rPr>
            <b/>
            <sz val="9"/>
            <color indexed="81"/>
            <rFont val="Tahoma"/>
            <family val="2"/>
          </rPr>
          <t>Author:
Index as per table items 33 and 33AAA s1191 SSA1991. Indexed amount is rounded up as per s1194 (7).</t>
        </r>
      </text>
    </comment>
    <comment ref="E4" authorId="0" shapeId="0" xr:uid="{00000000-0006-0000-1D00-000002000000}">
      <text>
        <r>
          <rPr>
            <b/>
            <sz val="9"/>
            <color indexed="81"/>
            <rFont val="Tahoma"/>
            <family val="2"/>
          </rPr>
          <t>Author:
Rate of utilites allowance for singles as perscribed by table item 1, s1061TB (1) SSA1991.
Indexed as per table item 33AA, s1191 SSA1991.
This is an annual amount</t>
        </r>
      </text>
    </comment>
    <comment ref="F4" authorId="0" shapeId="0" xr:uid="{00000000-0006-0000-1D00-000003000000}">
      <text>
        <r>
          <rPr>
            <b/>
            <sz val="9"/>
            <color indexed="81"/>
            <rFont val="Tahoma"/>
            <family val="2"/>
          </rPr>
          <t>Author:
Partnered telephone allowance rates are set as half of single rates as per s1206B of SSA1991.</t>
        </r>
      </text>
    </comment>
    <comment ref="H4" authorId="0" shapeId="0" xr:uid="{00000000-0006-0000-1D00-000004000000}">
      <text>
        <r>
          <rPr>
            <b/>
            <sz val="9"/>
            <color indexed="81"/>
            <rFont val="Tahoma"/>
            <family val="2"/>
          </rPr>
          <t>Author:
Rate of utilites allowance for partnered individuals as perscribed by table item 4, s1061TB (1) SSA1991.
Fixed as half the couple rate.
This is an annual amount</t>
        </r>
      </text>
    </comment>
    <comment ref="C6" authorId="0" shapeId="0" xr:uid="{00000000-0006-0000-1D00-000005000000}">
      <text>
        <r>
          <rPr>
            <b/>
            <sz val="9"/>
            <color indexed="81"/>
            <rFont val="Tahoma"/>
            <family val="2"/>
          </rPr>
          <t>Author:
Standard telephone allowance rate for unpartnered individuals  as specified by s1061S (1), table item (1).
This is a yearly amount</t>
        </r>
      </text>
    </comment>
    <comment ref="D6" authorId="0" shapeId="0" xr:uid="{00000000-0006-0000-1D00-000006000000}">
      <text>
        <r>
          <rPr>
            <b/>
            <sz val="9"/>
            <color indexed="81"/>
            <rFont val="Tahoma"/>
            <family val="2"/>
          </rPr>
          <t>Author:
Increased (internet) telephone allowance rate for unpartnered individuals  as specified by s1061SA (1), table item (1).
This is a yearly amount</t>
        </r>
      </text>
    </comment>
    <comment ref="F6" authorId="0" shapeId="0" xr:uid="{00000000-0006-0000-1D00-000007000000}">
      <text>
        <r>
          <rPr>
            <b/>
            <sz val="9"/>
            <color indexed="81"/>
            <rFont val="Tahoma"/>
            <family val="2"/>
          </rPr>
          <t>Author:
Standard telephone allowance rate for unpartnered individuals  as specified by s1061S (1), table item (2).
This is an annual amount</t>
        </r>
      </text>
    </comment>
    <comment ref="G6" authorId="0" shapeId="0" xr:uid="{00000000-0006-0000-1D00-000008000000}">
      <text>
        <r>
          <rPr>
            <b/>
            <sz val="9"/>
            <color indexed="81"/>
            <rFont val="Tahoma"/>
            <family val="2"/>
          </rPr>
          <t>Author:
Increased (internet) telephone allowance rate for unpartnered individuals  as specified by s1061SA (1), table item (2).
This is an annual amount</t>
        </r>
      </text>
    </comment>
    <comment ref="C13" authorId="0" shapeId="0" xr:uid="{00000000-0006-0000-1D00-000009000000}">
      <text>
        <r>
          <rPr>
            <b/>
            <sz val="9"/>
            <color indexed="81"/>
            <rFont val="Tahoma"/>
            <family val="2"/>
          </rPr>
          <t>Author:
Some kind of post ANTS adjustment was made here.</t>
        </r>
      </text>
    </comment>
    <comment ref="E27" authorId="1" shapeId="0" xr:uid="{00000000-0006-0000-1D00-00000A000000}">
      <text>
        <r>
          <rPr>
            <b/>
            <sz val="9"/>
            <color indexed="81"/>
            <rFont val="Tahoma"/>
            <family val="2"/>
          </rPr>
          <t>Author:
Utility Allowance introduced http://guidesacts.fahcsia.gov.au/guides_acts/ssg/ssguide-5/ssguide-5.2/ssguide-5.2.6/pc_13792.html</t>
        </r>
      </text>
    </comment>
    <comment ref="E28" authorId="0" shapeId="0" xr:uid="{00000000-0006-0000-1D00-00000B000000}">
      <text>
        <r>
          <rPr>
            <b/>
            <sz val="9"/>
            <color indexed="81"/>
            <rFont val="Tahoma"/>
            <family val="2"/>
          </rPr>
          <t>Author:
Utilities allowance introduced.</t>
        </r>
      </text>
    </comment>
    <comment ref="E39" authorId="0" shapeId="0" xr:uid="{00000000-0006-0000-1D00-00000C000000}">
      <text>
        <r>
          <rPr>
            <b/>
            <sz val="9"/>
            <color indexed="81"/>
            <rFont val="Tahoma"/>
            <family val="2"/>
          </rPr>
          <t>Author:
Increase of UA to $500</t>
        </r>
      </text>
    </comment>
  </commentList>
</comments>
</file>

<file path=xl/comments31.xml><?xml version="1.0" encoding="utf-8"?>
<comments xmlns="http://schemas.openxmlformats.org/spreadsheetml/2006/main" xmlns:mc="http://schemas.openxmlformats.org/markup-compatibility/2006" xmlns:xr="http://schemas.microsoft.com/office/spreadsheetml/2014/revision" mc:Ignorable="xr">
  <authors>
    <author>Bott, Mark</author>
  </authors>
  <commentList>
    <comment ref="C4" authorId="0" shapeId="0" xr:uid="{00000000-0006-0000-1E00-000001000000}">
      <text>
        <r>
          <rPr>
            <b/>
            <sz val="9"/>
            <color indexed="81"/>
            <rFont val="Tahoma"/>
            <family val="2"/>
          </rPr>
          <t>Author:
Index as per table items 33 and 33AAA s1191 SSA1991. Indexed amount is rounded up as per s1194 (7).</t>
        </r>
      </text>
    </comment>
    <comment ref="E4" authorId="0" shapeId="0" xr:uid="{00000000-0006-0000-1E00-000002000000}">
      <text>
        <r>
          <rPr>
            <b/>
            <sz val="9"/>
            <color indexed="81"/>
            <rFont val="Tahoma"/>
            <family val="2"/>
          </rPr>
          <t>Author:
Rate of utilites allowance for singles as perscribed by table item 1, s1061TB (1) SSA1991.
Indexed as per table item 33AA, s1191 SSA1991.
This is an annual amount</t>
        </r>
      </text>
    </comment>
    <comment ref="F4" authorId="0" shapeId="0" xr:uid="{00000000-0006-0000-1E00-000003000000}">
      <text>
        <r>
          <rPr>
            <b/>
            <sz val="9"/>
            <color indexed="81"/>
            <rFont val="Tahoma"/>
            <family val="2"/>
          </rPr>
          <t>Author:
Partnered telephone allowance rates are set as half of single rates as per s1206B of SSA1991.</t>
        </r>
      </text>
    </comment>
    <comment ref="H4" authorId="0" shapeId="0" xr:uid="{00000000-0006-0000-1E00-000004000000}">
      <text>
        <r>
          <rPr>
            <b/>
            <sz val="9"/>
            <color indexed="81"/>
            <rFont val="Tahoma"/>
            <family val="2"/>
          </rPr>
          <t>Author:
Rate of utilites allowance for partnered individuals as perscribed by table item 4, s1061TB (1) SSA1991.
Fixed as half the couple rate.
This is an annual amount</t>
        </r>
      </text>
    </comment>
    <comment ref="C6" authorId="0" shapeId="0" xr:uid="{00000000-0006-0000-1E00-000005000000}">
      <text>
        <r>
          <rPr>
            <b/>
            <sz val="9"/>
            <color indexed="81"/>
            <rFont val="Tahoma"/>
            <family val="2"/>
          </rPr>
          <t>Author:
Standard telephone allowance rate for unpartnered individuals  as specified by s1061S (1), table item (1).
This is a yearly amount</t>
        </r>
      </text>
    </comment>
    <comment ref="D6" authorId="0" shapeId="0" xr:uid="{00000000-0006-0000-1E00-000006000000}">
      <text>
        <r>
          <rPr>
            <b/>
            <sz val="9"/>
            <color indexed="81"/>
            <rFont val="Tahoma"/>
            <family val="2"/>
          </rPr>
          <t>Author:
Increased (internet) telephone allowance rate for unpartnered individuals  as specified by s1061SA (1), table item (1).
This is a yearly amount</t>
        </r>
      </text>
    </comment>
    <comment ref="F6" authorId="0" shapeId="0" xr:uid="{00000000-0006-0000-1E00-000007000000}">
      <text>
        <r>
          <rPr>
            <b/>
            <sz val="9"/>
            <color indexed="81"/>
            <rFont val="Tahoma"/>
            <family val="2"/>
          </rPr>
          <t>Author:
Standard telephone allowance rate for unpartnered individuals  as specified by s1061S (1), table item (2).
This is an annual amount</t>
        </r>
      </text>
    </comment>
    <comment ref="G6" authorId="0" shapeId="0" xr:uid="{00000000-0006-0000-1E00-000008000000}">
      <text>
        <r>
          <rPr>
            <b/>
            <sz val="9"/>
            <color indexed="81"/>
            <rFont val="Tahoma"/>
            <family val="2"/>
          </rPr>
          <t>Author:
Increased (internet) telephone allowance rate for unpartnered individuals  as specified by s1061SA (1), table item (2).
This is an annual amount</t>
        </r>
      </text>
    </comment>
  </commentList>
</comments>
</file>

<file path=xl/comments32.xml><?xml version="1.0" encoding="utf-8"?>
<comments xmlns="http://schemas.openxmlformats.org/spreadsheetml/2006/main" xmlns:mc="http://schemas.openxmlformats.org/markup-compatibility/2006" xmlns:xr="http://schemas.microsoft.com/office/spreadsheetml/2014/revision" mc:Ignorable="xr">
  <authors>
    <author>Bott, Mark</author>
    <author>Li, Taike</author>
    <author>O'Shea, Mark</author>
    <author>Ledda, Daniel</author>
  </authors>
  <commentList>
    <comment ref="C2" authorId="0" shapeId="0" xr:uid="{00000000-0006-0000-1F00-000001000000}">
      <text>
        <r>
          <rPr>
            <b/>
            <sz val="9"/>
            <color indexed="81"/>
            <rFont val="Tahoma"/>
            <family val="2"/>
          </rPr>
          <t>Author:
This is the amount of seniors' supplement payable. 
Prior to 20 September 2009 this series contains the sensiors concession allowance amounts.
From this date, SCA was replaceed with the seniors supplement, which combined the SCA and internet rate of TAL. 
Annual rate as specified by 1061UB SSA1991. It is the sum of pension supplement minimum amount and from 20 March 2012, pension clean energy supplement. 
This is an annual amount</t>
        </r>
      </text>
    </comment>
    <comment ref="G2" authorId="0" shapeId="0" xr:uid="{00000000-0006-0000-1F00-000002000000}">
      <text>
        <r>
          <rPr>
            <b/>
            <sz val="9"/>
            <color indexed="81"/>
            <rFont val="Tahoma"/>
            <family val="2"/>
          </rPr>
          <t>Author:
eligibility for seniors supplement (and SCA before it) is linked to holding CSHC.
These amounts are as specified in s1071 SSA1991. They are not indexed.
These are all annual amounts</t>
        </r>
      </text>
    </comment>
    <comment ref="D4" authorId="1" shapeId="0" xr:uid="{00000000-0006-0000-1F00-000003000000}">
      <text>
        <r>
          <rPr>
            <b/>
            <sz val="9"/>
            <color indexed="81"/>
            <rFont val="Tahoma"/>
            <family val="2"/>
          </rPr>
          <t>Author:
From 1 July 2014 rename Clean Energy Supplement to Energy Supplement.</t>
        </r>
      </text>
    </comment>
    <comment ref="F4" authorId="1" shapeId="0" xr:uid="{00000000-0006-0000-1F00-000004000000}">
      <text>
        <r>
          <rPr>
            <b/>
            <sz val="9"/>
            <color indexed="81"/>
            <rFont val="Tahoma"/>
            <family val="2"/>
          </rPr>
          <t>Author:
From 1 July 2014 rename Clean Energy Supplement to Energy Supplement.</t>
        </r>
      </text>
    </comment>
    <comment ref="C39" authorId="0" shapeId="0" xr:uid="{00000000-0006-0000-1F00-000005000000}">
      <text>
        <r>
          <rPr>
            <b/>
            <sz val="9"/>
            <color indexed="81"/>
            <rFont val="Tahoma"/>
            <family val="2"/>
          </rPr>
          <t>Author:
SCA increased to $500.</t>
        </r>
      </text>
    </comment>
    <comment ref="C45" authorId="0" shapeId="0" xr:uid="{00000000-0006-0000-1F00-000006000000}">
      <text>
        <r>
          <rPr>
            <b/>
            <sz val="9"/>
            <color indexed="81"/>
            <rFont val="Tahoma"/>
            <family val="2"/>
          </rPr>
          <t>Author:
First payment of sensiors supplement.</t>
        </r>
      </text>
    </comment>
    <comment ref="E45" authorId="0" shapeId="0" xr:uid="{00000000-0006-0000-1F00-000007000000}">
      <text>
        <r>
          <rPr>
            <b/>
            <sz val="9"/>
            <color indexed="81"/>
            <rFont val="Tahoma"/>
            <family val="2"/>
          </rPr>
          <t>Author:
First payment of sensiors supplement.</t>
        </r>
      </text>
    </comment>
    <comment ref="C59" authorId="0" shapeId="0" xr:uid="{00000000-0006-0000-1F00-000008000000}">
      <text>
        <r>
          <rPr>
            <b/>
            <sz val="9"/>
            <color indexed="81"/>
            <rFont val="Tahoma"/>
            <family val="2"/>
          </rPr>
          <t>Author:
Clean Energy Supplement included for the first time.</t>
        </r>
      </text>
    </comment>
    <comment ref="E59" authorId="0" shapeId="0" xr:uid="{00000000-0006-0000-1F00-000009000000}">
      <text>
        <r>
          <rPr>
            <b/>
            <sz val="9"/>
            <color indexed="81"/>
            <rFont val="Tahoma"/>
            <family val="2"/>
          </rPr>
          <t>Author:
Clean Energy Supplement included for the first time.</t>
        </r>
      </text>
    </comment>
    <comment ref="D64" authorId="1" shapeId="0" xr:uid="{00000000-0006-0000-1F00-00000A000000}">
      <text>
        <r>
          <rPr>
            <b/>
            <sz val="9"/>
            <color indexed="81"/>
            <rFont val="Tahoma"/>
            <family val="2"/>
          </rPr>
          <t>Author:
Cease indexation form 1 July 2014. Budget 2014-15</t>
        </r>
      </text>
    </comment>
    <comment ref="F64" authorId="1" shapeId="0" xr:uid="{00000000-0006-0000-1F00-00000B000000}">
      <text>
        <r>
          <rPr>
            <b/>
            <sz val="9"/>
            <color indexed="81"/>
            <rFont val="Tahoma"/>
            <family val="2"/>
          </rPr>
          <t>Author:
Cease indexation form 1 July 2014. Budget 2014-15</t>
        </r>
      </text>
    </comment>
    <comment ref="D65" authorId="2" shapeId="0" xr:uid="{00000000-0006-0000-1F00-00000C000000}">
      <text>
        <r>
          <rPr>
            <b/>
            <sz val="9"/>
            <color indexed="81"/>
            <rFont val="Tahoma"/>
            <family val="2"/>
          </rPr>
          <t>Author:
12/12/2014:
Indexation pause delayed due to delay in passing of legislation. Legislation now passed - Social Services and Other Legislation Amendment (2014 Budget Measures No. 6) Bill 2014.</t>
        </r>
      </text>
    </comment>
    <comment ref="F65" authorId="2" shapeId="0" xr:uid="{00000000-0006-0000-1F00-00000D000000}">
      <text>
        <r>
          <rPr>
            <b/>
            <sz val="9"/>
            <color indexed="81"/>
            <rFont val="Tahoma"/>
            <family val="2"/>
          </rPr>
          <t>Author:
12/12/2014:
Indexation pause delayed due to delay in passing of legislation. Legislation now passed - Social Services and Other Legislation Amendment (2014 Budget Measures No. 6) Bill 2014.</t>
        </r>
      </text>
    </comment>
    <comment ref="G65" authorId="2" shapeId="0" xr:uid="{00000000-0006-0000-1F00-00000E000000}">
      <text>
        <r>
          <rPr>
            <b/>
            <sz val="9"/>
            <color indexed="81"/>
            <rFont val="Tahoma"/>
            <family val="2"/>
          </rPr>
          <t>Author:
12/12/2014
Commence indexation from 20 September 2014, in line with Social Services and Other Legislation Amendment (Seniors Health Card and Other Measures) Act 2014 (passed 11 September 2014).</t>
        </r>
      </text>
    </comment>
    <comment ref="H65" authorId="2" shapeId="0" xr:uid="{00000000-0006-0000-1F00-00000F000000}">
      <text>
        <r>
          <rPr>
            <b/>
            <sz val="9"/>
            <color indexed="81"/>
            <rFont val="Tahoma"/>
            <family val="2"/>
          </rPr>
          <t>Author:
12/12/2014
Commence indexation from 20 September 2014, in line with Social Services and Other Legislation Amendment (Seniors Health Card and Other Measures) Act 2014 (passed 11 September 2014).</t>
        </r>
      </text>
    </comment>
    <comment ref="C68" authorId="1" shapeId="0" xr:uid="{00000000-0006-0000-1F00-000010000000}">
      <text>
        <r>
          <rPr>
            <b/>
            <sz val="9"/>
            <color indexed="81"/>
            <rFont val="Tahoma"/>
            <family val="2"/>
          </rPr>
          <t>Author:
Cessation of Senior Supplement from 20 Sep 2014. Start date postponed due to legislation not passing. Budget 2014-15
Author:
Passed on 22 June 2015. Abolished from 20 June 2015.</t>
        </r>
      </text>
    </comment>
    <comment ref="E68" authorId="1" shapeId="0" xr:uid="{00000000-0006-0000-1F00-000011000000}">
      <text>
        <r>
          <rPr>
            <b/>
            <sz val="9"/>
            <color indexed="81"/>
            <rFont val="Tahoma"/>
            <family val="2"/>
          </rPr>
          <t>Author:
Cessation of Senior Supplement from 20 Sep 2014. Start date postponed due to legislation not passing. Budget 2014
Author:
Passed on 22 June 2015. Abolished from 20 June 2015.</t>
        </r>
      </text>
    </comment>
    <comment ref="D77" authorId="3" shapeId="0" xr:uid="{00000000-0006-0000-1F00-000012000000}">
      <text>
        <r>
          <rPr>
            <b/>
            <sz val="9"/>
            <color indexed="81"/>
            <rFont val="Tahoma"/>
            <family val="2"/>
          </rPr>
          <t xml:space="preserve">Author:
Removal of energy supplement with grandfathering for Income Support Payments (measure from 1617 Budget) to commence 20 Sep 2017 (slipped from 20 Sep 2016), however the grandfathering date remains at 20 Sep 2016. 
Advice provided by DSS. Changes made to CAPITA code. 
</t>
        </r>
      </text>
    </comment>
    <comment ref="F77" authorId="3" shapeId="0" xr:uid="{00000000-0006-0000-1F00-000013000000}">
      <text>
        <r>
          <rPr>
            <b/>
            <sz val="9"/>
            <color indexed="81"/>
            <rFont val="Tahoma"/>
            <family val="2"/>
          </rPr>
          <t xml:space="preserve">Author:
Removal of energy supplement with grandfathering for Income Support Payments (measure from 1617 Budget) to commence 20 Sep 2017 (slipped from 20 Sep 2016), however the grandfathering date remains at 20 Sep 2016. 
Advice provided by DSS. Changes made to CAPITA code. 
</t>
        </r>
      </text>
    </comment>
  </commentList>
</comments>
</file>

<file path=xl/comments33.xml><?xml version="1.0" encoding="utf-8"?>
<comments xmlns="http://schemas.openxmlformats.org/spreadsheetml/2006/main" xmlns:mc="http://schemas.openxmlformats.org/markup-compatibility/2006" xmlns:xr="http://schemas.microsoft.com/office/spreadsheetml/2014/revision" mc:Ignorable="xr">
  <authors>
    <author>Bott, Mark</author>
    <author>Li, Taike</author>
  </authors>
  <commentList>
    <comment ref="C2" authorId="0" shapeId="0" xr:uid="{00000000-0006-0000-2000-000001000000}">
      <text>
        <r>
          <rPr>
            <b/>
            <sz val="9"/>
            <color indexed="81"/>
            <rFont val="Tahoma"/>
            <family val="2"/>
          </rPr>
          <t>Author:
Prior to 20 September 2009 this series contains the sensionrs concession allowance amounts.
From this date, SCA was replaceed with the seniors supplement, which combined the SCA and internet rate of TAL. 
Annual rate as specified by 1061UB SSA1991. It is the sum of pension supplement minimum amount and from 20 March 2012, pension clean energy supplement. 
These are all annual amounts</t>
        </r>
      </text>
    </comment>
    <comment ref="G2" authorId="0" shapeId="0" xr:uid="{00000000-0006-0000-2000-000002000000}">
      <text>
        <r>
          <rPr>
            <b/>
            <sz val="9"/>
            <color indexed="81"/>
            <rFont val="Tahoma"/>
            <family val="2"/>
          </rPr>
          <t>Author:
eligibility for seniors supplement (and SCA before it) is linked to holding CSHC.
These amounts are as specified in s1071 SSA1991. They are not indexed.
These are all annual amounts</t>
        </r>
      </text>
    </comment>
    <comment ref="D4" authorId="1" shapeId="0" xr:uid="{00000000-0006-0000-2000-000003000000}">
      <text>
        <r>
          <rPr>
            <b/>
            <sz val="9"/>
            <color indexed="81"/>
            <rFont val="Tahoma"/>
            <family val="2"/>
          </rPr>
          <t>Author:
From 1 July 2014 rename Clean Energy Supplement to Energy Supplement.</t>
        </r>
      </text>
    </comment>
    <comment ref="F4" authorId="1" shapeId="0" xr:uid="{00000000-0006-0000-2000-000004000000}">
      <text>
        <r>
          <rPr>
            <b/>
            <sz val="9"/>
            <color indexed="81"/>
            <rFont val="Tahoma"/>
            <family val="2"/>
          </rPr>
          <t>Author:
From 1 July 2014 rename Clean Energy Supplement to Energy Supplement.</t>
        </r>
      </text>
    </comment>
  </commentList>
</comments>
</file>

<file path=xl/comments34.xml><?xml version="1.0" encoding="utf-8"?>
<comments xmlns="http://schemas.openxmlformats.org/spreadsheetml/2006/main" xmlns:mc="http://schemas.openxmlformats.org/markup-compatibility/2006" xmlns:xr="http://schemas.microsoft.com/office/spreadsheetml/2014/revision" mc:Ignorable="xr">
  <authors>
    <author>Bott, Mark</author>
    <author>Kwong, Leron</author>
    <author>Thompson, Alyse</author>
  </authors>
  <commentList>
    <comment ref="C2" authorId="0" shapeId="0" xr:uid="{00000000-0006-0000-2100-000001000000}">
      <text>
        <r>
          <rPr>
            <b/>
            <sz val="9"/>
            <color indexed="81"/>
            <rFont val="Tahoma"/>
            <family val="2"/>
          </rPr>
          <t xml:space="preserve">Author:
Maximum amount of RA payable per fortnight.
</t>
        </r>
      </text>
    </comment>
    <comment ref="I2" authorId="0" shapeId="0" xr:uid="{00000000-0006-0000-2100-000002000000}">
      <text>
        <r>
          <rPr>
            <b/>
            <sz val="9"/>
            <color indexed="81"/>
            <rFont val="Tahoma"/>
            <family val="2"/>
          </rPr>
          <t>Author:
Rent assistance is not payable if fortnightly rent is below this amount.</t>
        </r>
      </text>
    </comment>
    <comment ref="O2" authorId="1" shapeId="0" xr:uid="{00000000-0006-0000-2100-000003000000}">
      <text>
        <r>
          <rPr>
            <b/>
            <sz val="9"/>
            <color indexed="81"/>
            <rFont val="Tahoma"/>
            <family val="2"/>
          </rPr>
          <t>Author:
This parameter has been hard coded as 0.75.</t>
        </r>
      </text>
    </comment>
    <comment ref="C6" authorId="0" shapeId="0" xr:uid="{00000000-0006-0000-2100-000004000000}">
      <text>
        <r>
          <rPr>
            <b/>
            <sz val="9"/>
            <color indexed="81"/>
            <rFont val="Tahoma"/>
            <family val="2"/>
          </rPr>
          <t>Author:
Amount perscribed in section 1070Q SSA1991. Table item 1, column 4.
Indexed as per table item 11, section 1191 SSA1991. 
amount is per fortnight</t>
        </r>
      </text>
    </comment>
    <comment ref="D6" authorId="0" shapeId="0" xr:uid="{00000000-0006-0000-2100-000005000000}">
      <text>
        <r>
          <rPr>
            <b/>
            <sz val="9"/>
            <color indexed="81"/>
            <rFont val="Tahoma"/>
            <family val="2"/>
          </rPr>
          <t>Author:
Amount specified in  column 3A, clause 38D, schedule 1 ANTS(FA)1999. Amount has been converted from annual to fortnightly.
Indexed as per idexation table item 2, schedule 4 ANTS(FA)1999.
amount is per fortnight</t>
        </r>
      </text>
    </comment>
    <comment ref="E6" authorId="0" shapeId="0" xr:uid="{00000000-0006-0000-2100-000006000000}">
      <text>
        <r>
          <rPr>
            <b/>
            <sz val="9"/>
            <color indexed="81"/>
            <rFont val="Tahoma"/>
            <family val="2"/>
          </rPr>
          <t>Author:
Amount specified in  column 3B, clause 38D, schedule 1 ANTS(FA)1999. Amount has been converted from annual to fortnightly.
Indexed as per idexation table item 2, schedule 4 ANTS(FA)1999.
amount is per fortnight</t>
        </r>
      </text>
    </comment>
    <comment ref="F6" authorId="0" shapeId="0" xr:uid="{00000000-0006-0000-2100-000007000000}">
      <text>
        <r>
          <rPr>
            <b/>
            <sz val="9"/>
            <color indexed="81"/>
            <rFont val="Tahoma"/>
            <family val="2"/>
          </rPr>
          <t>Author:
Amount perscribed in section 1070Q SSA1991. Table item 2, column 4.
Indexed as per table item 11, section 1191 SSA1991. 
amount is per fortnight</t>
        </r>
      </text>
    </comment>
    <comment ref="G6" authorId="0" shapeId="0" xr:uid="{00000000-0006-0000-2100-000008000000}">
      <text>
        <r>
          <rPr>
            <b/>
            <sz val="9"/>
            <color indexed="81"/>
            <rFont val="Tahoma"/>
            <family val="2"/>
          </rPr>
          <t>Author:
Amount specified in  column 3A, clause 38D, schedule 1 ANTS(FA)1999. Amount has been converted from annual to fortnightly.
Indexed as per idexation table item 2, schedule 4 ANTS(FA)1999.
amount is per fortnight</t>
        </r>
      </text>
    </comment>
    <comment ref="H6" authorId="0" shapeId="0" xr:uid="{00000000-0006-0000-2100-000009000000}">
      <text>
        <r>
          <rPr>
            <b/>
            <sz val="9"/>
            <color indexed="81"/>
            <rFont val="Tahoma"/>
            <family val="2"/>
          </rPr>
          <t>Author:
Amount specified in  column 3B, clause 38D, schedule 1 ANTS(FA)1999. Amount has been converted from annual to fortnightly.
Indexed as per idexation table item 2, schedule 4 ANTS(FA)1999.
amount is per fortnight</t>
        </r>
      </text>
    </comment>
    <comment ref="I6" authorId="0" shapeId="0" xr:uid="{00000000-0006-0000-2100-00000A000000}">
      <text>
        <r>
          <rPr>
            <b/>
            <sz val="9"/>
            <color indexed="81"/>
            <rFont val="Tahoma"/>
            <family val="2"/>
          </rPr>
          <t>Author:
Amount perscribed in section 1070Q SSA1991. Table item 1, column 3.
Indexed as per table item 12, section 1191 SSA1991. 
amount is per fortnight</t>
        </r>
      </text>
    </comment>
    <comment ref="J6" authorId="0" shapeId="0" xr:uid="{00000000-0006-0000-2100-00000B000000}">
      <text>
        <r>
          <rPr>
            <b/>
            <sz val="9"/>
            <color indexed="81"/>
            <rFont val="Tahoma"/>
            <family val="2"/>
          </rPr>
          <t>Author:
Amount specified in item 1, column 2, clause 38D, schedule 1 ANTS(FA)1999. Amount has been converted from annual to fortnightly.
Indexed as per idexation table item 2, schedule 4 ANTS(FA)1999.
amount is per fortnight</t>
        </r>
      </text>
    </comment>
    <comment ref="K6" authorId="0" shapeId="0" xr:uid="{00000000-0006-0000-2100-00000C000000}">
      <text>
        <r>
          <rPr>
            <b/>
            <sz val="9"/>
            <color indexed="81"/>
            <rFont val="Tahoma"/>
            <family val="2"/>
          </rPr>
          <t>Author:
Amount specified in item 1, column 2, clause 38D, schedule 1 ANTS(FA)1999. Amount has been converted from annual to fortnightly.
Indexed as per idexation table item 2, schedule 4 ANTS(FA)1999.
amount is per fortnight</t>
        </r>
      </text>
    </comment>
    <comment ref="L6" authorId="2" shapeId="0" xr:uid="{00000000-0006-0000-2100-00000D000000}">
      <text>
        <r>
          <rPr>
            <b/>
            <sz val="9"/>
            <color indexed="81"/>
            <rFont val="Tahoma"/>
            <family val="2"/>
          </rPr>
          <t>Author:
Amount perscribed in section 1070Q SSA1991.
Indexed as per table item 12, section 1191 SSA1991. 
amount is per fortnight</t>
        </r>
      </text>
    </comment>
    <comment ref="M6" authorId="0" shapeId="0" xr:uid="{00000000-0006-0000-2100-00000E000000}">
      <text>
        <r>
          <rPr>
            <b/>
            <sz val="9"/>
            <color indexed="81"/>
            <rFont val="Tahoma"/>
            <family val="2"/>
          </rPr>
          <t>Author:
Amount specified in item 2, column 2, clause 38D, schedule 1 ANTS(FA)1999. Amount has been converted from annual to fortnightly.
Indexed as per idexation table item 2, schedule 4 ANTS(FA)1999.
amount is per fortnight</t>
        </r>
      </text>
    </comment>
    <comment ref="N6" authorId="0" shapeId="0" xr:uid="{00000000-0006-0000-2100-00000F000000}">
      <text>
        <r>
          <rPr>
            <b/>
            <sz val="9"/>
            <color indexed="81"/>
            <rFont val="Tahoma"/>
            <family val="2"/>
          </rPr>
          <t>Author:
Amount specified in item 2, column 2, clause 38D, schedule 1 ANTS(FA)1999. Amount has been converted from annual to fortnightly.
Indexed as per idexation table item 2, schedule 4 ANTS(FA)1999.
amount is per fortnight</t>
        </r>
      </text>
    </comment>
    <comment ref="C8" authorId="0" shapeId="0" xr:uid="{00000000-0006-0000-2100-000010000000}">
      <text>
        <r>
          <rPr>
            <b/>
            <sz val="9"/>
            <color indexed="81"/>
            <rFont val="Tahoma"/>
            <family val="2"/>
          </rPr>
          <t>Author:
RA increased on this date as part of ANTS package</t>
        </r>
      </text>
    </comment>
    <comment ref="H8" authorId="0" shapeId="0" xr:uid="{00000000-0006-0000-2100-000011000000}">
      <text>
        <r>
          <rPr>
            <b/>
            <sz val="9"/>
            <color indexed="81"/>
            <rFont val="Tahoma"/>
            <family val="2"/>
          </rPr>
          <t xml:space="preserve">Author:
</t>
        </r>
      </text>
    </comment>
    <comment ref="C11" authorId="0" shapeId="0" xr:uid="{00000000-0006-0000-2100-000012000000}">
      <text>
        <r>
          <rPr>
            <b/>
            <sz val="9"/>
            <color indexed="81"/>
            <rFont val="Tahoma"/>
            <family val="2"/>
          </rPr>
          <t>Author:
Rent assistance not fully increased on this date due CPI clawback relating to GST compensation.</t>
        </r>
      </text>
    </comment>
    <comment ref="D11" authorId="0" shapeId="0" xr:uid="{00000000-0006-0000-2100-000013000000}">
      <text>
        <r>
          <rPr>
            <b/>
            <sz val="9"/>
            <color indexed="81"/>
            <rFont val="Tahoma"/>
            <family val="2"/>
          </rPr>
          <t>Author:
Rent assistance not fully increased on this date due CPI clawback relating to GST compensation.</t>
        </r>
      </text>
    </comment>
    <comment ref="E11" authorId="0" shapeId="0" xr:uid="{00000000-0006-0000-2100-000014000000}">
      <text>
        <r>
          <rPr>
            <b/>
            <sz val="9"/>
            <color indexed="81"/>
            <rFont val="Tahoma"/>
            <family val="2"/>
          </rPr>
          <t>Author:
Rent assistance not fully increased on this date due CPI clawback relating to GST compensation.</t>
        </r>
      </text>
    </comment>
    <comment ref="F11" authorId="0" shapeId="0" xr:uid="{00000000-0006-0000-2100-000015000000}">
      <text>
        <r>
          <rPr>
            <b/>
            <sz val="9"/>
            <color indexed="81"/>
            <rFont val="Tahoma"/>
            <family val="2"/>
          </rPr>
          <t>Author:
Rent assistance not fully increased on this date due CPI clawback relating to GST compensation.</t>
        </r>
      </text>
    </comment>
    <comment ref="G11" authorId="0" shapeId="0" xr:uid="{00000000-0006-0000-2100-000016000000}">
      <text>
        <r>
          <rPr>
            <b/>
            <sz val="9"/>
            <color indexed="81"/>
            <rFont val="Tahoma"/>
            <family val="2"/>
          </rPr>
          <t>Author:
Rent assistance not fully increased on this date due CPI clawback relating to GST compensation.</t>
        </r>
      </text>
    </comment>
    <comment ref="H11" authorId="0" shapeId="0" xr:uid="{00000000-0006-0000-2100-000017000000}">
      <text>
        <r>
          <rPr>
            <b/>
            <sz val="9"/>
            <color indexed="81"/>
            <rFont val="Tahoma"/>
            <family val="2"/>
          </rPr>
          <t>Author:
Rent assistance not fully increased on this date due CPI clawback relating to GST compensation.</t>
        </r>
      </text>
    </comment>
  </commentList>
</comments>
</file>

<file path=xl/comments35.xml><?xml version="1.0" encoding="utf-8"?>
<comments xmlns="http://schemas.openxmlformats.org/spreadsheetml/2006/main" xmlns:mc="http://schemas.openxmlformats.org/markup-compatibility/2006" xmlns:xr="http://schemas.microsoft.com/office/spreadsheetml/2014/revision" mc:Ignorable="xr">
  <authors>
    <author>Kwong, Leron</author>
    <author>Bott, Mark</author>
    <author>Thompson, Alyse</author>
  </authors>
  <commentList>
    <comment ref="O2" authorId="0" shapeId="0" xr:uid="{00000000-0006-0000-2200-000001000000}">
      <text>
        <r>
          <rPr>
            <b/>
            <sz val="9"/>
            <color indexed="81"/>
            <rFont val="Tahoma"/>
            <family val="2"/>
          </rPr>
          <t xml:space="preserve">Author:
This parameter has been hard coded. </t>
        </r>
      </text>
    </comment>
    <comment ref="C6" authorId="1" shapeId="0" xr:uid="{00000000-0006-0000-2200-000002000000}">
      <text>
        <r>
          <rPr>
            <b/>
            <sz val="9"/>
            <color indexed="81"/>
            <rFont val="Tahoma"/>
            <family val="2"/>
          </rPr>
          <t>Author:
Amount perscribed in section 1070Q SSA1991. Table item 1, column 4.
Indexed as per table item 11, section 1191 SSA1991. 
amount is per fortnight</t>
        </r>
      </text>
    </comment>
    <comment ref="D6" authorId="1" shapeId="0" xr:uid="{00000000-0006-0000-2200-000003000000}">
      <text>
        <r>
          <rPr>
            <b/>
            <sz val="9"/>
            <color indexed="81"/>
            <rFont val="Tahoma"/>
            <family val="2"/>
          </rPr>
          <t>Author:
Amount specified in  column 3A, clause 38D, schedule 1 ANTS(FA)1999. Amount has been converted from annual to fortnightly.
Indexed as per idexation table item 2, schedule 4 ANTS(FA)1999.
amount is per fortnight</t>
        </r>
      </text>
    </comment>
    <comment ref="E6" authorId="1" shapeId="0" xr:uid="{00000000-0006-0000-2200-000004000000}">
      <text>
        <r>
          <rPr>
            <b/>
            <sz val="9"/>
            <color indexed="81"/>
            <rFont val="Tahoma"/>
            <family val="2"/>
          </rPr>
          <t>Author:
Amount specified in  column 3B, clause 38D, schedule 1 ANTS(FA)1999. Amount has been converted from annual to fortnightly.
Indexed as per idexation table item 2, schedule 4 ANTS(FA)1999.
amount is per fortnight</t>
        </r>
      </text>
    </comment>
    <comment ref="F6" authorId="1" shapeId="0" xr:uid="{00000000-0006-0000-2200-000005000000}">
      <text>
        <r>
          <rPr>
            <b/>
            <sz val="9"/>
            <color indexed="81"/>
            <rFont val="Tahoma"/>
            <family val="2"/>
          </rPr>
          <t>Author:
Amount perscribed in section 1070Q SSA1991. Table item 2, column 4.
Indexed as per table item 11, section 1191 SSA1991. 
amount is per fortnight</t>
        </r>
      </text>
    </comment>
    <comment ref="G6" authorId="1" shapeId="0" xr:uid="{00000000-0006-0000-2200-000006000000}">
      <text>
        <r>
          <rPr>
            <b/>
            <sz val="9"/>
            <color indexed="81"/>
            <rFont val="Tahoma"/>
            <family val="2"/>
          </rPr>
          <t>Author:
Amount specified in  column 3A, clause 38D, schedule 1 ANTS(FA)1999. Amount has been converted from annual to fortnightly.
Indexed as per idexation table item 2, schedule 4 ANTS(FA)1999.
amount is per fortnight</t>
        </r>
      </text>
    </comment>
    <comment ref="H6" authorId="1" shapeId="0" xr:uid="{00000000-0006-0000-2200-000007000000}">
      <text>
        <r>
          <rPr>
            <b/>
            <sz val="9"/>
            <color indexed="81"/>
            <rFont val="Tahoma"/>
            <family val="2"/>
          </rPr>
          <t>Author:
Amount specified in  column 3B, clause 38D, schedule 1 ANTS(FA)1999. Amount has been converted from annual to fortnightly.
Indexed as per idexation table item 2, schedule 4 ANTS(FA)1999.
amount is per fortnight</t>
        </r>
      </text>
    </comment>
    <comment ref="I6" authorId="1" shapeId="0" xr:uid="{00000000-0006-0000-2200-000008000000}">
      <text>
        <r>
          <rPr>
            <b/>
            <sz val="9"/>
            <color indexed="81"/>
            <rFont val="Tahoma"/>
            <family val="2"/>
          </rPr>
          <t>Author:
Amount perscribed in section 1070Q SSA1991. Table item 1, column 3.
Indexed as per table item 12, section 1191 SSA1991. 
amount is per fortnight</t>
        </r>
      </text>
    </comment>
    <comment ref="J6" authorId="1" shapeId="0" xr:uid="{00000000-0006-0000-2200-000009000000}">
      <text>
        <r>
          <rPr>
            <b/>
            <sz val="9"/>
            <color indexed="81"/>
            <rFont val="Tahoma"/>
            <family val="2"/>
          </rPr>
          <t>Author:
Amount specified in item 1, column 2, clause 38D, schedule 1 ANTS(FA)1999. Amount has been converted from annual to fortnightly.
Indexed as per idexation table item 2, schedule 4 ANTS(FA)1999.
amount is per fortnight</t>
        </r>
      </text>
    </comment>
    <comment ref="K6" authorId="1" shapeId="0" xr:uid="{00000000-0006-0000-2200-00000A000000}">
      <text>
        <r>
          <rPr>
            <b/>
            <sz val="9"/>
            <color indexed="81"/>
            <rFont val="Tahoma"/>
            <family val="2"/>
          </rPr>
          <t>Author:
Amount specified in item 1, column 2, clause 38D, schedule 1 ANTS(FA)1999. Amount has been converted from annual to fortnightly.
Indexed as per idexation table item 2, schedule 4 ANTS(FA)1999.
amount is per fortnight</t>
        </r>
      </text>
    </comment>
    <comment ref="L6" authorId="2" shapeId="0" xr:uid="{00000000-0006-0000-2200-00000B000000}">
      <text>
        <r>
          <rPr>
            <b/>
            <sz val="9"/>
            <color indexed="81"/>
            <rFont val="Tahoma"/>
            <family val="2"/>
          </rPr>
          <t>Author:
Amount perscribed in section 1070Q SSA1991.
Indexed as per table item 12, section 1191 SSA1991. 
amount is per fortnight</t>
        </r>
      </text>
    </comment>
    <comment ref="M6" authorId="1" shapeId="0" xr:uid="{00000000-0006-0000-2200-00000C000000}">
      <text>
        <r>
          <rPr>
            <b/>
            <sz val="9"/>
            <color indexed="81"/>
            <rFont val="Tahoma"/>
            <family val="2"/>
          </rPr>
          <t>Author:
Amount specified in item 2, column 2, clause 38D, schedule 1 ANTS(FA)1999. Amount has been converted from annual to fortnightly.
Indexed as per idexation table item 2, schedule 4 ANTS(FA)1999.
amount is per fortnight</t>
        </r>
      </text>
    </comment>
    <comment ref="N6" authorId="1" shapeId="0" xr:uid="{00000000-0006-0000-2200-00000D000000}">
      <text>
        <r>
          <rPr>
            <b/>
            <sz val="9"/>
            <color indexed="81"/>
            <rFont val="Tahoma"/>
            <family val="2"/>
          </rPr>
          <t>Author:
Amount specified in item 2, column 2, clause 38D, schedule 1 ANTS(FA)1999. Amount has been converted from annual to fortnightly.
Indexed as per idexation table item 2, schedule 4 ANTS(FA)1999.
amount is per fortnight</t>
        </r>
      </text>
    </comment>
  </commentList>
</comments>
</file>

<file path=xl/comments36.xml><?xml version="1.0" encoding="utf-8"?>
<comments xmlns="http://schemas.openxmlformats.org/spreadsheetml/2006/main" xmlns:mc="http://schemas.openxmlformats.org/markup-compatibility/2006" xmlns:xr="http://schemas.microsoft.com/office/spreadsheetml/2014/revision" mc:Ignorable="xr">
  <authors>
    <author>Bott, Mark</author>
    <author>Pawley, John</author>
  </authors>
  <commentList>
    <comment ref="C4" authorId="0" shapeId="0" xr:uid="{00000000-0006-0000-2300-000001000000}">
      <text>
        <r>
          <rPr>
            <b/>
            <sz val="9"/>
            <color indexed="81"/>
            <rFont val="Tahoma"/>
            <family val="2"/>
          </rPr>
          <t>Author:
All LIS recipients receive this rate of payment.
See s916J SSA1991.
The LIS is an annual amount</t>
        </r>
      </text>
    </comment>
    <comment ref="D4" authorId="0" shapeId="0" xr:uid="{00000000-0006-0000-2300-000002000000}">
      <text>
        <r>
          <rPr>
            <b/>
            <sz val="9"/>
            <color indexed="81"/>
            <rFont val="Tahoma"/>
            <family val="2"/>
          </rPr>
          <t>Author:
LIS is not payable if the persons' qualifying income is in excess of their specified threshold.
These are the thresholds specified under s916C(1) SSA1991.
These are annual amounts</t>
        </r>
      </text>
    </comment>
    <comment ref="G4" authorId="0" shapeId="0" xr:uid="{00000000-0006-0000-2300-000003000000}">
      <text>
        <r>
          <rPr>
            <b/>
            <sz val="9"/>
            <color indexed="81"/>
            <rFont val="Tahoma"/>
            <family val="2"/>
          </rPr>
          <t>Author:
People cannot receive LIS if their taxable income is above their LIS threshold amount.
The LIS threshold is this amount plus (any eligible offsets they are entitled to/0.15). See s916E(1),(4) SSA1991.
This is a yearly amount</t>
        </r>
      </text>
    </comment>
    <comment ref="C76" authorId="1" shapeId="0" xr:uid="{00000000-0006-0000-2300-000004000000}">
      <text>
        <r>
          <rPr>
            <b/>
            <sz val="9"/>
            <color indexed="81"/>
            <rFont val="Tahoma"/>
            <family val="2"/>
          </rPr>
          <t>Author:
Legislation passed, Assent 12 Nov 2015
http://www.aph.gov.au/Parliamentary_Business/Bills_Legislation/Bills_Search_Results/Result?bId=r5485
Author:
LIS to cease from 1 July 2017 
2015-16 Budget BP2 p162</t>
        </r>
      </text>
    </comment>
  </commentList>
</comments>
</file>

<file path=xl/comments37.xml><?xml version="1.0" encoding="utf-8"?>
<comments xmlns="http://schemas.openxmlformats.org/spreadsheetml/2006/main" xmlns:mc="http://schemas.openxmlformats.org/markup-compatibility/2006" xmlns:xr="http://schemas.microsoft.com/office/spreadsheetml/2014/revision" mc:Ignorable="xr">
  <authors>
    <author>Bott, Mark</author>
  </authors>
  <commentList>
    <comment ref="C4" authorId="0" shapeId="0" xr:uid="{00000000-0006-0000-2400-000001000000}">
      <text>
        <r>
          <rPr>
            <b/>
            <sz val="9"/>
            <color indexed="81"/>
            <rFont val="Tahoma"/>
            <family val="2"/>
          </rPr>
          <t>Author:
All LIS recipients receive this rate of payment.
See s916J SSA1991.
The LIS is an annual amount</t>
        </r>
      </text>
    </comment>
    <comment ref="D4" authorId="0" shapeId="0" xr:uid="{00000000-0006-0000-2400-000002000000}">
      <text>
        <r>
          <rPr>
            <b/>
            <sz val="9"/>
            <color indexed="81"/>
            <rFont val="Tahoma"/>
            <family val="2"/>
          </rPr>
          <t>Author:
LIS is not payable if the persons' qualifying income is in excess of their specified threshold.
These are the thresholds specified under s916C(1) SSA1991.
These are annual amounts</t>
        </r>
      </text>
    </comment>
    <comment ref="G4" authorId="0" shapeId="0" xr:uid="{00000000-0006-0000-2400-000003000000}">
      <text>
        <r>
          <rPr>
            <b/>
            <sz val="9"/>
            <color indexed="81"/>
            <rFont val="Tahoma"/>
            <family val="2"/>
          </rPr>
          <t>Author:
People cannot receive LIS if their taxable income is aboce their LIS threshold amount.
The LIS threshold is this amount plus (any eligible offsets they are entitled to/0.15). See s916E(1),(4) SSA1991.
This is a yearly amount</t>
        </r>
      </text>
    </comment>
  </commentList>
</comments>
</file>

<file path=xl/comments38.xml><?xml version="1.0" encoding="utf-8"?>
<comments xmlns="http://schemas.openxmlformats.org/spreadsheetml/2006/main" xmlns:mc="http://schemas.openxmlformats.org/markup-compatibility/2006" xmlns:xr="http://schemas.microsoft.com/office/spreadsheetml/2014/revision" mc:Ignorable="xr">
  <authors>
    <author>Bott, Mark</author>
    <author>McAndrew, Krispin</author>
    <author>Krolikowski, Michal</author>
    <author>Li, Taike</author>
  </authors>
  <commentList>
    <comment ref="C2" authorId="0" shapeId="0" xr:uid="{00000000-0006-0000-2500-000001000000}">
      <text>
        <r>
          <rPr>
            <b/>
            <sz val="9"/>
            <color indexed="81"/>
            <rFont val="Tahoma"/>
            <family val="2"/>
          </rPr>
          <t>Author:
The income support bonus is paid twice yearly (20 Sept/20 March) to recipients of social security benefits and PPS. 
To make annual averaging work, the amounts payable in Sep are specified in both Sep &amp; Dec quarters and the March amount in Mar &amp; Jun quarters. This is because ISB is paid in March and Sep, so annual averages should reflect the average of the values at those two quarters, and not the value from previous quarters.
These amounts are the rates of single installments specified in the table in s920 SSA1991 and indexed by CPI half yearly as per table item 43 in s1191. (Note while the indexation date says 20 September, we index on 1 July to make our annual averages reflect the amount paid in the financial year.)
The income support bonus is stated in bi-annual amounts</t>
        </r>
      </text>
    </comment>
    <comment ref="C5" authorId="1" shapeId="0" xr:uid="{00000000-0006-0000-2500-000002000000}">
      <text>
        <r>
          <rPr>
            <b/>
            <sz val="9"/>
            <color indexed="81"/>
            <rFont val="Tahoma"/>
            <family val="2"/>
          </rPr>
          <t>Author:
Sep quarter actuals won't be available until Dec quarter payment guide (see 3rd para of comment on cell D2)</t>
        </r>
      </text>
    </comment>
    <comment ref="C72" authorId="2" shapeId="0" xr:uid="{00000000-0006-0000-2500-000003000000}">
      <text>
        <r>
          <rPr>
            <b/>
            <sz val="9"/>
            <color indexed="81"/>
            <rFont val="Tahoma"/>
            <family val="2"/>
          </rPr>
          <t>Author:
July - Sep payment will be in Sep Guide, not July</t>
        </r>
      </text>
    </comment>
    <comment ref="C73" authorId="3" shapeId="0" xr:uid="{00000000-0006-0000-2500-000004000000}">
      <text>
        <r>
          <rPr>
            <b/>
            <sz val="9"/>
            <color indexed="81"/>
            <rFont val="Tahoma"/>
            <family val="2"/>
          </rPr>
          <t>Author:
Cessation start 31 Dec 2016. 2013-14 MYEFO.</t>
        </r>
      </text>
    </comment>
    <comment ref="D73" authorId="3" shapeId="0" xr:uid="{00000000-0006-0000-2500-000005000000}">
      <text>
        <r>
          <rPr>
            <b/>
            <sz val="9"/>
            <color indexed="81"/>
            <rFont val="Tahoma"/>
            <family val="2"/>
          </rPr>
          <t>Author:
Cessation start 31 Dec 2016. 2013-14 MYEFO.</t>
        </r>
      </text>
    </comment>
  </commentList>
</comments>
</file>

<file path=xl/comments39.xml><?xml version="1.0" encoding="utf-8"?>
<comments xmlns="http://schemas.openxmlformats.org/spreadsheetml/2006/main" xmlns:mc="http://schemas.openxmlformats.org/markup-compatibility/2006" xmlns:xr="http://schemas.microsoft.com/office/spreadsheetml/2014/revision" mc:Ignorable="xr">
  <authors>
    <author>Bott, Mark</author>
  </authors>
  <commentList>
    <comment ref="C1" authorId="0" shapeId="0" xr:uid="{00000000-0006-0000-2600-000001000000}">
      <text>
        <r>
          <rPr>
            <b/>
            <sz val="9"/>
            <color indexed="81"/>
            <rFont val="Tahoma"/>
            <family val="2"/>
          </rPr>
          <t>Author:
The income support bonus is paid twice yearly (Sept/March) to recipients of social security benefits and PPS. 
To make annual averaging work, the amounts payable in Sep are specified in both Sep &amp; Dec quarters and the March amount in Mar &amp; Jun quarters.
These amounts are the rates of single installments specified in the table in s920 SSA1991 and indexed by CPI half yearly as per table item 43 in s1191. (Note while the indexation date says 20 September, we index on 1 July to make our annual averages reflect the amount paid in the financial year.)
The income support bonus is stated in bi-annual amounts</t>
        </r>
      </text>
    </comment>
  </commentList>
</comments>
</file>

<file path=xl/comments40.xml><?xml version="1.0" encoding="utf-8"?>
<comments xmlns="http://schemas.openxmlformats.org/spreadsheetml/2006/main" xmlns:mc="http://schemas.openxmlformats.org/markup-compatibility/2006" xmlns:xr="http://schemas.microsoft.com/office/spreadsheetml/2014/revision" mc:Ignorable="xr">
  <authors>
    <author>Bott, Mark</author>
    <author>Black, Belinda</author>
    <author>Stacey, Emma</author>
    <author>Pawley, John</author>
    <author>McKenzie, Luke</author>
    <author>O'Shea, Mark</author>
    <author>Thompson, Alyse</author>
  </authors>
  <commentList>
    <comment ref="AC1" authorId="0" shapeId="0" xr:uid="{00000000-0006-0000-2700-000001000000}">
      <text>
        <r>
          <rPr>
            <b/>
            <sz val="9"/>
            <color indexed="81"/>
            <rFont val="Tahoma"/>
            <family val="2"/>
          </rPr>
          <t>Author:
Note that prior to 2006-7 CCTR was only payable through the tax system, and does not appear here.
From 2006-7 to 2008-9 CCTR was claimable through either tax or transfer system. From 2009-10 it was renamed CCR and became a purely transfer payment.</t>
        </r>
      </text>
    </comment>
    <comment ref="AE1" authorId="1" shapeId="0" xr:uid="{00000000-0006-0000-2700-000002000000}">
      <text>
        <r>
          <rPr>
            <b/>
            <sz val="9"/>
            <color indexed="81"/>
            <rFont val="Tahoma"/>
            <family val="2"/>
          </rPr>
          <t>Author:
A New Tax System (Family Assistance) Act 1999</t>
        </r>
      </text>
    </comment>
    <comment ref="J2" authorId="0" shapeId="0" xr:uid="{00000000-0006-0000-2700-000003000000}">
      <text>
        <r>
          <rPr>
            <b/>
            <sz val="9"/>
            <color indexed="81"/>
            <rFont val="Tahoma"/>
            <family val="2"/>
          </rPr>
          <t>Author:
Amounts specified in the table at clause 10 of Schedule 2 to ANTS(FA)A1999.
http://guides.dss.gov.au/family-assistance-guide/1/1/t/40</t>
        </r>
      </text>
    </comment>
    <comment ref="N2" authorId="0" shapeId="0" xr:uid="{00000000-0006-0000-2700-000004000000}">
      <text>
        <r>
          <rPr>
            <b/>
            <sz val="9"/>
            <color indexed="81"/>
            <rFont val="Tahoma"/>
            <family val="2"/>
          </rPr>
          <t>Author:
Amounts specified under section 53 of ANTS(FA)A1999.</t>
        </r>
      </text>
    </comment>
    <comment ref="P2" authorId="0" shapeId="0" xr:uid="{00000000-0006-0000-2700-000005000000}">
      <text>
        <r>
          <rPr>
            <b/>
            <sz val="9"/>
            <color indexed="81"/>
            <rFont val="Tahoma"/>
            <family val="2"/>
          </rPr>
          <t>Author:
Number of hours specified in section 17A of ANTS(FA)A1999.</t>
        </r>
      </text>
    </comment>
    <comment ref="R2" authorId="2" shapeId="0" xr:uid="{00000000-0006-0000-2700-000006000000}">
      <text>
        <r>
          <rPr>
            <b/>
            <sz val="9"/>
            <color indexed="81"/>
            <rFont val="Tahoma"/>
            <family val="2"/>
          </rPr>
          <t>Author:
Schedule 2, subclause 2 of A New Tax System (Family Assistance) ACT 1999
http://www.austlii.edu.au/au/legis/cth/consol_act/antsaa1999357/sch2.html</t>
        </r>
      </text>
    </comment>
    <comment ref="AS2" authorId="1" shapeId="0" xr:uid="{00000000-0006-0000-2700-000007000000}">
      <text>
        <r>
          <rPr>
            <b/>
            <sz val="9"/>
            <color indexed="81"/>
            <rFont val="Tahoma"/>
            <family val="2"/>
          </rPr>
          <t xml:space="preserve">Author:
Weekly basis
</t>
        </r>
      </text>
    </comment>
    <comment ref="AV2" authorId="1" shapeId="0" xr:uid="{00000000-0006-0000-2700-000008000000}">
      <text>
        <r>
          <rPr>
            <b/>
            <sz val="9"/>
            <color indexed="81"/>
            <rFont val="Tahoma"/>
            <family val="2"/>
          </rPr>
          <t xml:space="preserve">Author:
Weekly basis
</t>
        </r>
      </text>
    </comment>
    <comment ref="C3" authorId="0" shapeId="0" xr:uid="{00000000-0006-0000-2700-000009000000}">
      <text>
        <r>
          <rPr>
            <b/>
            <sz val="9"/>
            <color indexed="81"/>
            <rFont val="Tahoma"/>
            <family val="2"/>
          </rPr>
          <t xml:space="preserve">Author:
Amount specified at table item 1, clause 4(1) of Schedule 2 to ANTS(FA)A1999. 
Indexed as per table item 18, clause 3 of Schedule 4.
This figure represents an hourly amount.
Author: 
Indexation base is $0.01 per 12months. Indexed 1 July each year with CPI. </t>
        </r>
      </text>
    </comment>
    <comment ref="D3" authorId="0" shapeId="0" xr:uid="{00000000-0006-0000-2700-00000A000000}">
      <text>
        <r>
          <rPr>
            <b/>
            <sz val="9"/>
            <color indexed="81"/>
            <rFont val="Tahoma"/>
            <family val="2"/>
          </rPr>
          <t xml:space="preserve">Author:
Amount specified at Section 83 of ANTS(FA)A1999. 
Indexed amount defined in clause 2 of Schedule 4 (item 18).
Indexed as per table item 18, clause 3 of Schedule 4.
This figure represents an hourly amount.
Author: 
Indexation base is $0.01 per 12months. [Based on historical rates, indexation base of $0.001 per 12months is applied, until indexed amount reaches $1.00.] Indexed 1 July each year with CPI. </t>
        </r>
      </text>
    </comment>
    <comment ref="E3" authorId="0" shapeId="0" xr:uid="{00000000-0006-0000-2700-00000B000000}">
      <text>
        <r>
          <rPr>
            <b/>
            <sz val="9"/>
            <color indexed="81"/>
            <rFont val="Tahoma"/>
            <family val="2"/>
          </rPr>
          <t xml:space="preserve">Author:
Amounts specified in table items 3 and 5 of clause 11(1) of Schedule 2 to ANTS(FA)A1999.
Indexed as per table item 20A of clause 2 of Schedule 4.
These figures represent hourly amounts.
Author:
Indexation base is $0.01 per 12months. Indexed 1 July each year with CPI. </t>
        </r>
      </text>
    </comment>
    <comment ref="G3" authorId="0" shapeId="0" xr:uid="{00000000-0006-0000-2700-00000C000000}">
      <text>
        <r>
          <rPr>
            <b/>
            <sz val="9"/>
            <color indexed="81"/>
            <rFont val="Tahoma"/>
            <family val="2"/>
          </rPr>
          <t>Author:
Amount specified at clause 2(2)(a) of Schedule 2 to ANTS(FA)A1999.</t>
        </r>
      </text>
    </comment>
    <comment ref="R3" authorId="2" shapeId="0" xr:uid="{00000000-0006-0000-2700-00000D000000}">
      <text>
        <r>
          <rPr>
            <b/>
            <sz val="9"/>
            <color indexed="81"/>
            <rFont val="Tahoma"/>
            <family val="2"/>
          </rPr>
          <t>Author:
Hours categories were set up this way (ie opposite to the percent loading categories) .</t>
        </r>
      </text>
    </comment>
    <comment ref="AD3" authorId="0" shapeId="0" xr:uid="{00000000-0006-0000-2700-00000E000000}">
      <text>
        <r>
          <rPr>
            <b/>
            <sz val="9"/>
            <color indexed="81"/>
            <rFont val="Tahoma"/>
            <family val="2"/>
          </rPr>
          <t xml:space="preserve">Author:
Amounts specified by section 84F of ANTS(FA)A1999.
From 1st July 2014 indexed as per table item 22 in clause 2 of Schedule 4.
This figure represents a yearly figure.
Author: 
Indexation base is $1.00 per 12months. Indexed 1 July each year with CPI. 
</t>
        </r>
      </text>
    </comment>
    <comment ref="AH3" authorId="3" shapeId="0" xr:uid="{00000000-0006-0000-2700-00000F000000}">
      <text>
        <r>
          <rPr>
            <b/>
            <sz val="9"/>
            <color indexed="81"/>
            <rFont val="Tahoma"/>
            <family val="2"/>
          </rPr>
          <t>Author:
Annual assistance rate</t>
        </r>
      </text>
    </comment>
    <comment ref="AI3" authorId="3" shapeId="0" xr:uid="{00000000-0006-0000-2700-000010000000}">
      <text>
        <r>
          <rPr>
            <b/>
            <sz val="9"/>
            <color indexed="81"/>
            <rFont val="Tahoma"/>
            <family val="2"/>
          </rPr>
          <t>Author:
Annual assistance rate</t>
        </r>
      </text>
    </comment>
    <comment ref="AJ3" authorId="3" shapeId="0" xr:uid="{00000000-0006-0000-2700-000011000000}">
      <text>
        <r>
          <rPr>
            <b/>
            <sz val="9"/>
            <color indexed="81"/>
            <rFont val="Tahoma"/>
            <family val="2"/>
          </rPr>
          <t>Author:
Annual assistance rate</t>
        </r>
      </text>
    </comment>
    <comment ref="AK3" authorId="3" shapeId="0" xr:uid="{00000000-0006-0000-2700-000012000000}">
      <text>
        <r>
          <rPr>
            <b/>
            <sz val="9"/>
            <color indexed="81"/>
            <rFont val="Tahoma"/>
            <family val="2"/>
          </rPr>
          <t xml:space="preserve">Author:
Family Assistance Legislation Amendment (Jobs for Families Child
Care Package) Bill 2017 
Schedule 1 s3(2)-(3)
</t>
        </r>
      </text>
    </comment>
    <comment ref="AP3" authorId="4" shapeId="0" xr:uid="{00000000-0006-0000-2700-000013000000}">
      <text>
        <r>
          <rPr>
            <b/>
            <sz val="9"/>
            <color indexed="81"/>
            <rFont val="Tahoma"/>
            <family val="2"/>
          </rPr>
          <t>Author:
See ‘Family Assistance Legislation Amendment (Jobs for Families Child Care Package) Bill 2017'
This is an annual amount
http://parlinfo.aph.gov.au/parlInfo/download/legislation/bills/r5696_aspassed/toc_pdf/16105b01.pdf;fileType=application%2Fpdf (page 41)</t>
        </r>
      </text>
    </comment>
    <comment ref="AS3" authorId="3" shapeId="0" xr:uid="{00000000-0006-0000-2700-000014000000}">
      <text>
        <r>
          <rPr>
            <b/>
            <sz val="9"/>
            <color indexed="81"/>
            <rFont val="Tahoma"/>
            <family val="2"/>
          </rPr>
          <t>Author:
Weekly figures
Family Assistance Legislation Amendment (Jobs for Families Child Care Package) Bill 2016 
s12(1)</t>
        </r>
      </text>
    </comment>
    <comment ref="AT3" authorId="3" shapeId="0" xr:uid="{00000000-0006-0000-2700-000015000000}">
      <text>
        <r>
          <rPr>
            <b/>
            <sz val="9"/>
            <color indexed="81"/>
            <rFont val="Tahoma"/>
            <family val="2"/>
          </rPr>
          <t>Author:
Weekly figures</t>
        </r>
      </text>
    </comment>
    <comment ref="AU3" authorId="3" shapeId="0" xr:uid="{00000000-0006-0000-2700-000016000000}">
      <text>
        <r>
          <rPr>
            <b/>
            <sz val="9"/>
            <color indexed="81"/>
            <rFont val="Tahoma"/>
            <family val="2"/>
          </rPr>
          <t>Author:
Weekly figures</t>
        </r>
      </text>
    </comment>
    <comment ref="AV3" authorId="3" shapeId="0" xr:uid="{00000000-0006-0000-2700-000017000000}">
      <text>
        <r>
          <rPr>
            <b/>
            <sz val="9"/>
            <color indexed="81"/>
            <rFont val="Tahoma"/>
            <family val="2"/>
          </rPr>
          <t>Author:
Weekly figures</t>
        </r>
      </text>
    </comment>
    <comment ref="AW3" authorId="3" shapeId="0" xr:uid="{00000000-0006-0000-2700-000018000000}">
      <text>
        <r>
          <rPr>
            <b/>
            <sz val="9"/>
            <color indexed="81"/>
            <rFont val="Tahoma"/>
            <family val="2"/>
          </rPr>
          <t>Author:
Weekly figures</t>
        </r>
      </text>
    </comment>
    <comment ref="AX3" authorId="3" shapeId="0" xr:uid="{00000000-0006-0000-2700-000019000000}">
      <text>
        <r>
          <rPr>
            <b/>
            <sz val="9"/>
            <color indexed="81"/>
            <rFont val="Tahoma"/>
            <family val="2"/>
          </rPr>
          <t>Author:
Weekly figures</t>
        </r>
      </text>
    </comment>
    <comment ref="AY3" authorId="3" shapeId="0" xr:uid="{00000000-0006-0000-2700-00001A000000}">
      <text>
        <r>
          <rPr>
            <b/>
            <sz val="9"/>
            <color indexed="81"/>
            <rFont val="Tahoma"/>
            <family val="2"/>
          </rPr>
          <t>Author:
Weekly figures</t>
        </r>
      </text>
    </comment>
    <comment ref="AZ3" authorId="3" shapeId="0" xr:uid="{00000000-0006-0000-2700-00001B000000}">
      <text>
        <r>
          <rPr>
            <b/>
            <sz val="9"/>
            <color indexed="81"/>
            <rFont val="Tahoma"/>
            <family val="2"/>
          </rPr>
          <t>Author:
Weekly figures
Referred to as the low income result
This Special category provides for a small amount of maximum assitance hours for those families whose combined income is less than the lower income threshold and do not meet the activity test.</t>
        </r>
      </text>
    </comment>
    <comment ref="H4" authorId="0" shapeId="0" xr:uid="{00000000-0006-0000-2700-00001C000000}">
      <text>
        <r>
          <rPr>
            <b/>
            <sz val="9"/>
            <color indexed="81"/>
            <rFont val="Tahoma"/>
            <family val="2"/>
          </rPr>
          <t xml:space="preserve">Author:
Amount specified at clause 2(2) of Schedule 2 to ANTS(FA)A1999.
Indexed as per table item 19 of clause (2) of Schedule 4.
This figure is a yearly amount.
Author:
Indexation base is $73.00 per 12months. Indexed 1 July each year with CPI. </t>
        </r>
      </text>
    </comment>
    <comment ref="I4" authorId="0" shapeId="0" xr:uid="{00000000-0006-0000-2700-00001D000000}">
      <text>
        <r>
          <rPr>
            <b/>
            <sz val="9"/>
            <color indexed="81"/>
            <rFont val="Tahoma"/>
            <family val="2"/>
          </rPr>
          <t xml:space="preserve">Author:
Amount specified at clause 2(3) of Schedule 2 to ANTS(FA)A1999.
Indexed as per table item 20 of clause (2) of Schedule 4.
This figure represents a yearly figure.
Author:
Indexation base is $1.00 per 12months. Indexed 1 July each year with CPI. </t>
        </r>
      </text>
    </comment>
    <comment ref="R4" authorId="3" shapeId="0" xr:uid="{00000000-0006-0000-2700-00001E000000}">
      <text>
        <r>
          <rPr>
            <b/>
            <sz val="9"/>
            <color indexed="81"/>
            <rFont val="Tahoma"/>
            <family val="2"/>
          </rPr>
          <t>Author:
This category corresponds to the sixth percent loading variable faCcbLdcLdPct6</t>
        </r>
      </text>
    </comment>
    <comment ref="S4" authorId="3" shapeId="0" xr:uid="{00000000-0006-0000-2700-00001F000000}">
      <text>
        <r>
          <rPr>
            <b/>
            <sz val="9"/>
            <color indexed="81"/>
            <rFont val="Tahoma"/>
            <family val="2"/>
          </rPr>
          <t>Author:
This category corresponds to the fifth percent loading variable faCcbLdcLdPct5</t>
        </r>
      </text>
    </comment>
    <comment ref="T4" authorId="3" shapeId="0" xr:uid="{00000000-0006-0000-2700-000020000000}">
      <text>
        <r>
          <rPr>
            <b/>
            <sz val="9"/>
            <color indexed="81"/>
            <rFont val="Tahoma"/>
            <family val="2"/>
          </rPr>
          <t>Author:
This category corresponds to the fourth percent loading variable faCcbLdcLdPct4</t>
        </r>
      </text>
    </comment>
    <comment ref="U4" authorId="3" shapeId="0" xr:uid="{00000000-0006-0000-2700-000021000000}">
      <text>
        <r>
          <rPr>
            <b/>
            <sz val="9"/>
            <color indexed="81"/>
            <rFont val="Tahoma"/>
            <family val="2"/>
          </rPr>
          <t>Author:
This category corresponds to the third percent loading variable faCcbLdcLdPct3</t>
        </r>
      </text>
    </comment>
    <comment ref="V4" authorId="3" shapeId="0" xr:uid="{00000000-0006-0000-2700-000022000000}">
      <text>
        <r>
          <rPr>
            <b/>
            <sz val="9"/>
            <color indexed="81"/>
            <rFont val="Tahoma"/>
            <family val="2"/>
          </rPr>
          <t>Author:
This category corresponds to the second percent loading variable faCcbLdcLdPct2</t>
        </r>
      </text>
    </comment>
    <comment ref="C36" authorId="0" shapeId="0" xr:uid="{00000000-0006-0000-2700-000023000000}">
      <text>
        <r>
          <rPr>
            <b/>
            <sz val="9"/>
            <color indexed="81"/>
            <rFont val="Tahoma"/>
            <family val="2"/>
          </rPr>
          <t>Author:
Boost given to standard hourly rate on 1 July 2007.</t>
        </r>
      </text>
    </comment>
    <comment ref="E36" authorId="0" shapeId="0" xr:uid="{00000000-0006-0000-2700-000024000000}">
      <text>
        <r>
          <rPr>
            <b/>
            <sz val="9"/>
            <color indexed="81"/>
            <rFont val="Tahoma"/>
            <family val="2"/>
          </rPr>
          <t>Author:
Corresponding boost also given to multiple child loadings.</t>
        </r>
      </text>
    </comment>
    <comment ref="F36" authorId="0" shapeId="0" xr:uid="{00000000-0006-0000-2700-000025000000}">
      <text>
        <r>
          <rPr>
            <b/>
            <sz val="9"/>
            <color indexed="81"/>
            <rFont val="Tahoma"/>
            <family val="2"/>
          </rPr>
          <t>Author:
Corresponding boost also given to multiple child loadings.</t>
        </r>
      </text>
    </comment>
    <comment ref="AD64" authorId="1" shapeId="0" xr:uid="{00000000-0006-0000-2700-000026000000}">
      <text>
        <r>
          <rPr>
            <b/>
            <sz val="9"/>
            <color indexed="81"/>
            <rFont val="Tahoma"/>
            <family val="2"/>
          </rPr>
          <t>Author:
Budget 13-14. Indexation paused for a further 3 years until 1 July 2017.
refer to ANTS(FA) Act, Part 4, Division 4A, Section 84F.</t>
        </r>
      </text>
    </comment>
    <comment ref="H68" authorId="1" shapeId="0" xr:uid="{00000000-0006-0000-2700-000027000000}">
      <text>
        <r>
          <rPr>
            <b/>
            <sz val="9"/>
            <color indexed="81"/>
            <rFont val="Tahoma"/>
            <family val="2"/>
          </rPr>
          <t>Author:
Budget 2014-15, BP2 (p204) - pause indexation on all CCB income thresholds until 1 July 2017.</t>
        </r>
      </text>
    </comment>
    <comment ref="I68" authorId="1" shapeId="0" xr:uid="{00000000-0006-0000-2700-000028000000}">
      <text>
        <r>
          <rPr>
            <b/>
            <sz val="9"/>
            <color indexed="81"/>
            <rFont val="Tahoma"/>
            <family val="2"/>
          </rPr>
          <t xml:space="preserve">Author:
Budget 2014-15, BP2 (p204) - pause indexation on all CCB income thresholds until 1 July 2017.
</t>
        </r>
      </text>
    </comment>
    <comment ref="E72" authorId="1" shapeId="0" xr:uid="{00000000-0006-0000-2700-000029000000}">
      <text>
        <r>
          <rPr>
            <b/>
            <sz val="9"/>
            <color indexed="81"/>
            <rFont val="Tahoma"/>
            <family val="2"/>
          </rPr>
          <t xml:space="preserve">Author:
value not in DSS booklet, confirmed at https://docs.education.gov.au/system/files/doc/other/ccb_summary_indexed_rates_2016-17_0.pdf
</t>
        </r>
      </text>
    </comment>
    <comment ref="H72" authorId="1" shapeId="0" xr:uid="{00000000-0006-0000-2700-00002A000000}">
      <text>
        <r>
          <rPr>
            <b/>
            <sz val="9"/>
            <color indexed="81"/>
            <rFont val="Tahoma"/>
            <family val="2"/>
          </rPr>
          <t xml:space="preserve">Author:
Measure slippled. Re-applied indexation.  
Advised by DSS that the measure to pause indexation has been reversed out. </t>
        </r>
      </text>
    </comment>
    <comment ref="I72" authorId="1" shapeId="0" xr:uid="{00000000-0006-0000-2700-00002B000000}">
      <text>
        <r>
          <rPr>
            <b/>
            <sz val="9"/>
            <color indexed="81"/>
            <rFont val="Tahoma"/>
            <family val="2"/>
          </rPr>
          <t xml:space="preserve">Author:
Measure slippled. Re-applied indexation. 
value not in DSS booklet, confirmed at: https://docs.education.gov.au/system/files/doc/other/ccb_summary_indexed_rates_2016-17_0.pdf
Advised by DSS that the measure to pause indexation has been reversed out. </t>
        </r>
      </text>
    </comment>
    <comment ref="H76" authorId="5" shapeId="0" xr:uid="{00000000-0006-0000-2700-00002C000000}">
      <text>
        <r>
          <rPr>
            <b/>
            <sz val="9"/>
            <color indexed="81"/>
            <rFont val="Tahoma"/>
            <family val="2"/>
          </rPr>
          <t>Author:
1 July 2017 indexation re-instated as per DSS advice (email from Bodie Kane 17/12/2015).</t>
        </r>
      </text>
    </comment>
    <comment ref="I76" authorId="5" shapeId="0" xr:uid="{00000000-0006-0000-2700-00002D000000}">
      <text>
        <r>
          <rPr>
            <b/>
            <sz val="9"/>
            <color indexed="81"/>
            <rFont val="Tahoma"/>
            <family val="2"/>
          </rPr>
          <t>Author:
1 July 2017 indexation re-instated as per DSS advice (email from Bodie Kane 17/12/2015).</t>
        </r>
      </text>
    </comment>
    <comment ref="AD76" authorId="1" shapeId="0" xr:uid="{00000000-0006-0000-2700-00002E000000}">
      <text>
        <r>
          <rPr>
            <b/>
            <sz val="9"/>
            <color indexed="81"/>
            <rFont val="Tahoma"/>
            <family val="2"/>
          </rPr>
          <t>Author:
Indexation to resume
refer to ANTS(FA) Act, Part 4, Division 4A, Section 84F.</t>
        </r>
      </text>
    </comment>
    <comment ref="AE76" authorId="1" shapeId="0" xr:uid="{00000000-0006-0000-2700-00002F000000}">
      <text>
        <r>
          <rPr>
            <b/>
            <sz val="9"/>
            <color indexed="81"/>
            <rFont val="Tahoma"/>
            <family val="2"/>
          </rPr>
          <t>Author:
This value was $11.55 in 2017-18.
‘Family Assistance Legislation Amendment (Jobs for Families Child Care Package) Bill 2015’. This amount is specifed as $11.55 in 2017-18 and is subject to indexation thereafter.</t>
        </r>
      </text>
    </comment>
    <comment ref="AF76" authorId="1" shapeId="0" xr:uid="{00000000-0006-0000-2700-000030000000}">
      <text>
        <r>
          <rPr>
            <b/>
            <sz val="9"/>
            <color indexed="81"/>
            <rFont val="Tahoma"/>
            <family val="2"/>
          </rPr>
          <t>Author:
This value was $10.70 in 2017-18.
‘Family Assistance Legislation Amendment (Jobs for Families Child Care Package) Bill 2015’. This amount is specifed as $10.70 in 2017-18 and is subject to indexation thereafter.</t>
        </r>
      </text>
    </comment>
    <comment ref="AG76" authorId="1" shapeId="0" xr:uid="{00000000-0006-0000-2700-000031000000}">
      <text>
        <r>
          <rPr>
            <b/>
            <sz val="9"/>
            <color indexed="81"/>
            <rFont val="Tahoma"/>
            <family val="2"/>
          </rPr>
          <t>Author:
This value was $10.10 in 2017-18.
‘Family Assistance Legislation Amendment (Jobs for Families Child Care Package) Bill 2015’. This amount is specifed as $10.10 in 2017-18 and is subject to indexation thereafter.</t>
        </r>
      </text>
    </comment>
    <comment ref="AH76" authorId="1" shapeId="0" xr:uid="{00000000-0006-0000-2700-000032000000}">
      <text>
        <r>
          <rPr>
            <b/>
            <sz val="9"/>
            <color indexed="81"/>
            <rFont val="Tahoma"/>
            <family val="2"/>
          </rPr>
          <t xml:space="preserve">Author:
‘Family Assistance Legislation Amendment (Jobs for Families Child Care Package) Bill 2015’. This amount is specified as 85% with no variation thereafter. </t>
        </r>
      </text>
    </comment>
    <comment ref="AI76" authorId="1" shapeId="0" xr:uid="{00000000-0006-0000-2700-000033000000}">
      <text>
        <r>
          <rPr>
            <b/>
            <sz val="9"/>
            <color indexed="81"/>
            <rFont val="Tahoma"/>
            <family val="2"/>
          </rPr>
          <t xml:space="preserve">Author:
‘Family Assistance Legislation Amendment (Jobs for Families Child Care Package) Bill 2015’. This amount is specified as 50% with no variation thereafter. </t>
        </r>
      </text>
    </comment>
    <comment ref="AJ76" authorId="1" shapeId="0" xr:uid="{00000000-0006-0000-2700-000034000000}">
      <text>
        <r>
          <rPr>
            <b/>
            <sz val="9"/>
            <color indexed="81"/>
            <rFont val="Tahoma"/>
            <family val="2"/>
          </rPr>
          <t xml:space="preserve">Author:
‘Family Assistance Legislation Amendment (Jobs for Families Child Care Package) Bill 2015’. This amount is specified as 20% with no variation thereafter. </t>
        </r>
      </text>
    </comment>
    <comment ref="AL76" authorId="5" shapeId="0" xr:uid="{00000000-0006-0000-2700-000035000000}">
      <text>
        <r>
          <rPr>
            <b/>
            <sz val="9"/>
            <color indexed="81"/>
            <rFont val="Tahoma"/>
            <family val="2"/>
          </rPr>
          <t xml:space="preserve">Author:
‘Family Assistance Legislation Amendment (Jobs for Families Child Care Package) Bill 2015’. This amount is indexed whilst the second, third and upper thresholds are maintained at the specified dollar amounts above the lower income thresholds.
(In the bill, is specified as $65,710 in  2017-18 and indexed thereafter)
</t>
        </r>
      </text>
    </comment>
    <comment ref="AM76" authorId="5" shapeId="0" xr:uid="{00000000-0006-0000-2700-000036000000}">
      <text>
        <r>
          <rPr>
            <b/>
            <sz val="9"/>
            <color indexed="81"/>
            <rFont val="Tahoma"/>
            <family val="2"/>
          </rPr>
          <t>Author:
‘Family Assistance Legislation Amendment (Jobs for Families Child Care Package) Bill 2015’. This amount is maintained at $105,000 above the lower income threshold.
(2017-18 value was $170,710)</t>
        </r>
      </text>
    </comment>
    <comment ref="AN76" authorId="5" shapeId="0" xr:uid="{00000000-0006-0000-2700-000037000000}">
      <text>
        <r>
          <rPr>
            <b/>
            <sz val="9"/>
            <color indexed="81"/>
            <rFont val="Tahoma"/>
            <family val="2"/>
          </rPr>
          <t xml:space="preserve">Author:
‘Family Assistance Legislation Amendment (Jobs for Families Child Care Package) Bill 2015’. This amount is maintained at $184,290 above the lower income threshold.
(2017-18 value was $250,000)
</t>
        </r>
      </text>
    </comment>
    <comment ref="AO76" authorId="5" shapeId="0" xr:uid="{00000000-0006-0000-2700-000038000000}">
      <text>
        <r>
          <rPr>
            <b/>
            <sz val="9"/>
            <color indexed="81"/>
            <rFont val="Tahoma"/>
            <family val="2"/>
          </rPr>
          <t xml:space="preserve">Author:
‘Family Assistance Legislation Amendment (Jobs for Families Child Care Package) Bill 2015’. This amount is maintained at $274,290 above the lower income threshold.
(2017-18 value was $340,000)
</t>
        </r>
      </text>
    </comment>
    <comment ref="AP76" authorId="4" shapeId="0" xr:uid="{00000000-0006-0000-2700-000039000000}">
      <text>
        <r>
          <rPr>
            <b/>
            <sz val="9"/>
            <color indexed="81"/>
            <rFont val="Tahoma"/>
            <family val="2"/>
          </rPr>
          <t>Author:
‘Family Assistance Legislation Amendment (Jobs for Families Child Care Package) Bill 2017’. This amount is maintained at $284,290 above the lower income threshold.
(2017-18 value was $350,000)</t>
        </r>
      </text>
    </comment>
    <comment ref="AQ76" authorId="1" shapeId="0" xr:uid="{00000000-0006-0000-2700-00003A000000}">
      <text>
        <r>
          <rPr>
            <b/>
            <sz val="9"/>
            <color indexed="81"/>
            <rFont val="Tahoma"/>
            <family val="2"/>
          </rPr>
          <t>Author:
‘Family Assistance Legislation Amendment (Jobs for Families Child Care Package) Bill 2015’. This amount is maintained at $120,000 above the lower income threshold.
(Value in 2017-18 was $185,710)</t>
        </r>
      </text>
    </comment>
    <comment ref="AR76" authorId="1" shapeId="0" xr:uid="{00000000-0006-0000-2700-00003B000000}">
      <text>
        <r>
          <rPr>
            <b/>
            <sz val="9"/>
            <color indexed="81"/>
            <rFont val="Tahoma"/>
            <family val="2"/>
          </rPr>
          <t xml:space="preserve">Author:
This value was $10,000 in 2017-18.
‘Family Assistance Legislation Amendment (Jobs for Families Child Care Package) Bill 2015’. This amount is specified as $10,000 in 2017-18 with indexation thereafter. </t>
        </r>
      </text>
    </comment>
    <comment ref="AS76" authorId="1" shapeId="0" xr:uid="{00000000-0006-0000-2700-00003C000000}">
      <text>
        <r>
          <rPr>
            <b/>
            <sz val="9"/>
            <color indexed="81"/>
            <rFont val="Tahoma"/>
            <family val="2"/>
          </rPr>
          <t>Author:
This value was 4 hours  in 2017-18.</t>
        </r>
      </text>
    </comment>
    <comment ref="AT76" authorId="1" shapeId="0" xr:uid="{00000000-0006-0000-2700-00003D000000}">
      <text>
        <r>
          <rPr>
            <b/>
            <sz val="9"/>
            <color indexed="81"/>
            <rFont val="Tahoma"/>
            <family val="2"/>
          </rPr>
          <t>Author:
This value was 8
 hours  in 2017-18.</t>
        </r>
      </text>
    </comment>
    <comment ref="AU76" authorId="1" shapeId="0" xr:uid="{00000000-0006-0000-2700-00003E000000}">
      <text>
        <r>
          <rPr>
            <b/>
            <sz val="9"/>
            <color indexed="81"/>
            <rFont val="Tahoma"/>
            <family val="2"/>
          </rPr>
          <t>Author:
This value was 24 hours  in 2017-18.</t>
        </r>
      </text>
    </comment>
    <comment ref="AV76" authorId="1" shapeId="0" xr:uid="{00000000-0006-0000-2700-00003F000000}">
      <text>
        <r>
          <rPr>
            <b/>
            <sz val="9"/>
            <color indexed="81"/>
            <rFont val="Tahoma"/>
            <family val="2"/>
          </rPr>
          <t>Author:
This value was 0 hours  in 2017-18.</t>
        </r>
      </text>
    </comment>
    <comment ref="AW76" authorId="1" shapeId="0" xr:uid="{00000000-0006-0000-2700-000040000000}">
      <text>
        <r>
          <rPr>
            <b/>
            <sz val="9"/>
            <color indexed="81"/>
            <rFont val="Tahoma"/>
            <family val="2"/>
          </rPr>
          <t>Author:
This value was 18 hours  in 2017-18.</t>
        </r>
      </text>
    </comment>
    <comment ref="AX76" authorId="1" shapeId="0" xr:uid="{00000000-0006-0000-2700-000041000000}">
      <text>
        <r>
          <rPr>
            <b/>
            <sz val="9"/>
            <color indexed="81"/>
            <rFont val="Tahoma"/>
            <family val="2"/>
          </rPr>
          <t>Author:
This value was 36 hours  in 2017-18.</t>
        </r>
      </text>
    </comment>
    <comment ref="AY76" authorId="1" shapeId="0" xr:uid="{00000000-0006-0000-2700-000042000000}">
      <text>
        <r>
          <rPr>
            <b/>
            <sz val="9"/>
            <color indexed="81"/>
            <rFont val="Tahoma"/>
            <family val="2"/>
          </rPr>
          <t>Author:
This value was 50 hours  in 2017-18.</t>
        </r>
      </text>
    </comment>
    <comment ref="AZ76" authorId="1" shapeId="0" xr:uid="{00000000-0006-0000-2700-000043000000}">
      <text>
        <r>
          <rPr>
            <b/>
            <sz val="9"/>
            <color indexed="81"/>
            <rFont val="Tahoma"/>
            <family val="2"/>
          </rPr>
          <t>Author:
This value was 12 hours  in 2017-18.</t>
        </r>
      </text>
    </comment>
    <comment ref="C80" authorId="6" shapeId="0" xr:uid="{00000000-0006-0000-2700-000044000000}">
      <text>
        <r>
          <rPr>
            <b/>
            <sz val="9"/>
            <color indexed="81"/>
            <rFont val="Tahoma"/>
            <family val="2"/>
          </rPr>
          <t>Author:
This payment will cease
Family Assistance Legislation Amendment (Jobs for Families Child Care Package) Bill 2016 passed 27 March 2017.</t>
        </r>
      </text>
    </comment>
    <comment ref="D80" authorId="6" shapeId="0" xr:uid="{00000000-0006-0000-2700-000045000000}">
      <text>
        <r>
          <rPr>
            <b/>
            <sz val="9"/>
            <color indexed="81"/>
            <rFont val="Tahoma"/>
            <family val="2"/>
          </rPr>
          <t>Author:
This payment will cease
Family Assistance Legislation Amendment (Jobs for Families Child Care Package) Bill 2016 passed 27 March</t>
        </r>
      </text>
    </comment>
    <comment ref="E80" authorId="6" shapeId="0" xr:uid="{00000000-0006-0000-2700-000046000000}">
      <text>
        <r>
          <rPr>
            <b/>
            <sz val="9"/>
            <color indexed="81"/>
            <rFont val="Tahoma"/>
            <family val="2"/>
          </rPr>
          <t>Author:
This payment will cease
Family Assistance Legislation Amendment (Jobs for Families Child Care Package) Bill 2016 passed 27 March</t>
        </r>
      </text>
    </comment>
    <comment ref="F80" authorId="6" shapeId="0" xr:uid="{00000000-0006-0000-2700-000047000000}">
      <text>
        <r>
          <rPr>
            <b/>
            <sz val="9"/>
            <color indexed="81"/>
            <rFont val="Tahoma"/>
            <family val="2"/>
          </rPr>
          <t>Author:
This payment will cease
Family Assistance Legislation Amendment (Jobs for Families Child Care Package) Bill 2016 passed 27 March</t>
        </r>
      </text>
    </comment>
    <comment ref="G80" authorId="6" shapeId="0" xr:uid="{00000000-0006-0000-2700-000048000000}">
      <text>
        <r>
          <rPr>
            <b/>
            <sz val="9"/>
            <color indexed="81"/>
            <rFont val="Tahoma"/>
            <family val="2"/>
          </rPr>
          <t>Author:
This payment will cease
Family Assistance Legislation Amendment (Jobs for Families Child Care Package) Bill 2016 passed 27 March 2017</t>
        </r>
      </text>
    </comment>
    <comment ref="H80" authorId="6" shapeId="0" xr:uid="{00000000-0006-0000-2700-000049000000}">
      <text>
        <r>
          <rPr>
            <b/>
            <sz val="9"/>
            <color indexed="81"/>
            <rFont val="Tahoma"/>
            <family val="2"/>
          </rPr>
          <t>Author:
This payment will cease
Family Assistance Legislation Amendment (Jobs for Families Child Care Package) Bill 2016 passed 27 March</t>
        </r>
      </text>
    </comment>
    <comment ref="I80" authorId="6" shapeId="0" xr:uid="{00000000-0006-0000-2700-00004A000000}">
      <text>
        <r>
          <rPr>
            <b/>
            <sz val="9"/>
            <color indexed="81"/>
            <rFont val="Tahoma"/>
            <family val="2"/>
          </rPr>
          <t>Author:
This payment will cease
Family Assistance Legislation Amendment (Jobs for Families Child Care Package) Bill 2016 passed 27 March</t>
        </r>
      </text>
    </comment>
    <comment ref="J80" authorId="6" shapeId="0" xr:uid="{00000000-0006-0000-2700-00004B000000}">
      <text>
        <r>
          <rPr>
            <b/>
            <sz val="9"/>
            <color indexed="81"/>
            <rFont val="Tahoma"/>
            <family val="2"/>
          </rPr>
          <t>Author:
This payment will cease
Family Assistance Legislation Amendment (Jobs for Families Child Care Package) Bill 2016 passed 27 March</t>
        </r>
      </text>
    </comment>
    <comment ref="K80" authorId="6" shapeId="0" xr:uid="{00000000-0006-0000-2700-00004C000000}">
      <text>
        <r>
          <rPr>
            <b/>
            <sz val="9"/>
            <color indexed="81"/>
            <rFont val="Tahoma"/>
            <family val="2"/>
          </rPr>
          <t>Author:
This payment will cease
Family Assistance Legislation Amendment (Jobs for Families Child Care Package) Bill 2016 passed 27 March</t>
        </r>
      </text>
    </comment>
    <comment ref="L80" authorId="6" shapeId="0" xr:uid="{00000000-0006-0000-2700-00004D000000}">
      <text>
        <r>
          <rPr>
            <b/>
            <sz val="9"/>
            <color indexed="81"/>
            <rFont val="Tahoma"/>
            <family val="2"/>
          </rPr>
          <t>Author:
This payment will cease
Family Assistance Legislation Amendment (Jobs for Families Child Care Package) Bill 2016 passed 27 March</t>
        </r>
      </text>
    </comment>
    <comment ref="M80" authorId="6" shapeId="0" xr:uid="{00000000-0006-0000-2700-00004E000000}">
      <text>
        <r>
          <rPr>
            <b/>
            <sz val="9"/>
            <color indexed="81"/>
            <rFont val="Tahoma"/>
            <family val="2"/>
          </rPr>
          <t>Author:
This payment will cease
Family Assistance Legislation Amendment (Jobs for Families Child Care Package) Bill 2016 passed 27 March</t>
        </r>
      </text>
    </comment>
    <comment ref="N80" authorId="6" shapeId="0" xr:uid="{00000000-0006-0000-2700-00004F000000}">
      <text>
        <r>
          <rPr>
            <b/>
            <sz val="9"/>
            <color indexed="81"/>
            <rFont val="Tahoma"/>
            <family val="2"/>
          </rPr>
          <t>Author:
This payment will cease
Family Assistance Legislation Amendment (Jobs for Families Child Care Package) Bill 2016 passed 27 March</t>
        </r>
      </text>
    </comment>
    <comment ref="O80" authorId="6" shapeId="0" xr:uid="{00000000-0006-0000-2700-000050000000}">
      <text>
        <r>
          <rPr>
            <b/>
            <sz val="9"/>
            <color indexed="81"/>
            <rFont val="Tahoma"/>
            <family val="2"/>
          </rPr>
          <t>Author:
This payment will cease
Family Assistance Legislation Amendment (Jobs for Families Child Care Package) Bill 2016 passed 27 March</t>
        </r>
      </text>
    </comment>
    <comment ref="P80" authorId="6" shapeId="0" xr:uid="{00000000-0006-0000-2700-000051000000}">
      <text>
        <r>
          <rPr>
            <b/>
            <sz val="9"/>
            <color indexed="81"/>
            <rFont val="Tahoma"/>
            <family val="2"/>
          </rPr>
          <t>Author:
This payment will cease
Family Assistance Legislation Amendment (Jobs for Families Child Care Package) Bill 2016 passed 27 March</t>
        </r>
      </text>
    </comment>
    <comment ref="R80" authorId="6" shapeId="0" xr:uid="{00000000-0006-0000-2700-000052000000}">
      <text>
        <r>
          <rPr>
            <b/>
            <sz val="9"/>
            <color indexed="81"/>
            <rFont val="Tahoma"/>
            <family val="2"/>
          </rPr>
          <t>Author:
This payment will cease
Family Assistance Legislation Amendment (Jobs for Families Child Care Package) Bill 2016 passed 27 March</t>
        </r>
      </text>
    </comment>
    <comment ref="S80" authorId="6" shapeId="0" xr:uid="{00000000-0006-0000-2700-000053000000}">
      <text>
        <r>
          <rPr>
            <b/>
            <sz val="9"/>
            <color indexed="81"/>
            <rFont val="Tahoma"/>
            <family val="2"/>
          </rPr>
          <t>Author:
This payment will cease
Family Assistance Legislation Amendment (Jobs for Families Child Care Package) Bill 2016 passed 27 March</t>
        </r>
      </text>
    </comment>
    <comment ref="T80" authorId="6" shapeId="0" xr:uid="{00000000-0006-0000-2700-000054000000}">
      <text>
        <r>
          <rPr>
            <b/>
            <sz val="9"/>
            <color indexed="81"/>
            <rFont val="Tahoma"/>
            <family val="2"/>
          </rPr>
          <t>Author:
This payment will cease
Family Assistance Legislation Amendment (Jobs for Families Child Care Package) Bill 2016 passed 27 March</t>
        </r>
      </text>
    </comment>
    <comment ref="U80" authorId="6" shapeId="0" xr:uid="{00000000-0006-0000-2700-000055000000}">
      <text>
        <r>
          <rPr>
            <b/>
            <sz val="9"/>
            <color indexed="81"/>
            <rFont val="Tahoma"/>
            <family val="2"/>
          </rPr>
          <t>Author:
This payment will cease
Family Assistance Legislation Amendment (Jobs for Families Child Care Package) Bill 2016 passed 27 March</t>
        </r>
      </text>
    </comment>
    <comment ref="V80" authorId="6" shapeId="0" xr:uid="{00000000-0006-0000-2700-000056000000}">
      <text>
        <r>
          <rPr>
            <b/>
            <sz val="9"/>
            <color indexed="81"/>
            <rFont val="Tahoma"/>
            <family val="2"/>
          </rPr>
          <t>Author:
This payment will cease
Family Assistance Legislation Amendment (Jobs for Families Child Care Package) Bill 2016 passed 27 March</t>
        </r>
      </text>
    </comment>
    <comment ref="W80" authorId="6" shapeId="0" xr:uid="{00000000-0006-0000-2700-000057000000}">
      <text>
        <r>
          <rPr>
            <b/>
            <sz val="9"/>
            <color indexed="81"/>
            <rFont val="Tahoma"/>
            <family val="2"/>
          </rPr>
          <t>Author:
This payment will cease
Family Assistance Legislation Amendment (Jobs for Families Child Care Package) Bill 2016 passed 27 March</t>
        </r>
      </text>
    </comment>
    <comment ref="X80" authorId="6" shapeId="0" xr:uid="{00000000-0006-0000-2700-000058000000}">
      <text>
        <r>
          <rPr>
            <b/>
            <sz val="9"/>
            <color indexed="81"/>
            <rFont val="Tahoma"/>
            <family val="2"/>
          </rPr>
          <t>Author:
This payment will cease
Family Assistance Legislation Amendment (Jobs for Families Child Care Package) Bill 2016 passed 27 March</t>
        </r>
      </text>
    </comment>
    <comment ref="Y80" authorId="6" shapeId="0" xr:uid="{00000000-0006-0000-2700-000059000000}">
      <text>
        <r>
          <rPr>
            <b/>
            <sz val="9"/>
            <color indexed="81"/>
            <rFont val="Tahoma"/>
            <family val="2"/>
          </rPr>
          <t>Author:
This payment will cease
Family Assistance Legislation Amendment (Jobs for Families Child Care Package) Bill 2016 passed 27 March</t>
        </r>
      </text>
    </comment>
    <comment ref="Z80" authorId="6" shapeId="0" xr:uid="{00000000-0006-0000-2700-00005A000000}">
      <text>
        <r>
          <rPr>
            <b/>
            <sz val="9"/>
            <color indexed="81"/>
            <rFont val="Tahoma"/>
            <family val="2"/>
          </rPr>
          <t>Author:
This payment will cease
Family Assistance Legislation Amendment (Jobs for Families Child Care Package) Bill 2016 passed 27 March</t>
        </r>
      </text>
    </comment>
    <comment ref="AA80" authorId="6" shapeId="0" xr:uid="{00000000-0006-0000-2700-00005B000000}">
      <text>
        <r>
          <rPr>
            <b/>
            <sz val="9"/>
            <color indexed="81"/>
            <rFont val="Tahoma"/>
            <family val="2"/>
          </rPr>
          <t>Author:
This payment will cease
Family Assistance Legislation Amendment (Jobs for Families Child Care Package) Bill 2016 passed 27 March</t>
        </r>
      </text>
    </comment>
    <comment ref="AB80" authorId="6" shapeId="0" xr:uid="{00000000-0006-0000-2700-00005C000000}">
      <text>
        <r>
          <rPr>
            <b/>
            <sz val="9"/>
            <color indexed="81"/>
            <rFont val="Tahoma"/>
            <family val="2"/>
          </rPr>
          <t>Author:
This payment will cease
Family Assistance Legislation Amendment (Jobs for Families Child Care Package) Bill 2016 passed 27 March</t>
        </r>
      </text>
    </comment>
    <comment ref="AC80" authorId="6" shapeId="0" xr:uid="{00000000-0006-0000-2700-00005D000000}">
      <text>
        <r>
          <rPr>
            <b/>
            <sz val="9"/>
            <color indexed="81"/>
            <rFont val="Tahoma"/>
            <family val="2"/>
          </rPr>
          <t>Author:
This payment will cease
Family Assistance Legislation Amendment (Jobs for Families Child Care Package) Bill 2016 passed 27 March</t>
        </r>
      </text>
    </comment>
    <comment ref="AD80" authorId="6" shapeId="0" xr:uid="{00000000-0006-0000-2700-00005E000000}">
      <text>
        <r>
          <rPr>
            <b/>
            <sz val="9"/>
            <color indexed="81"/>
            <rFont val="Tahoma"/>
            <family val="2"/>
          </rPr>
          <t>Author:
This payment will cease
Family Assistance Legislation Amendment (Jobs for Families Child Care Package) Bill 2016 passed 27 March</t>
        </r>
      </text>
    </comment>
    <comment ref="AE80" authorId="1" shapeId="0" xr:uid="{00000000-0006-0000-2700-00005F000000}">
      <text>
        <r>
          <rPr>
            <b/>
            <sz val="9"/>
            <color indexed="81"/>
            <rFont val="Tahoma"/>
            <family val="2"/>
          </rPr>
          <t>Author:
Budget 16-17, BP2, p78 - defer implementation by 1 year to 1 July 2018. 
(based on 2017-18 value of $11.55)</t>
        </r>
      </text>
    </comment>
    <comment ref="AF80" authorId="1" shapeId="0" xr:uid="{00000000-0006-0000-2700-000060000000}">
      <text>
        <r>
          <rPr>
            <b/>
            <sz val="9"/>
            <color indexed="81"/>
            <rFont val="Tahoma"/>
            <family val="2"/>
          </rPr>
          <t xml:space="preserve">Author:
Budget 16-17, BP2, p78 - defer implementation by 1 year to 1 July 2018. 
(based on 2017-18 value of $10.70)
</t>
        </r>
      </text>
    </comment>
    <comment ref="AG80" authorId="1" shapeId="0" xr:uid="{00000000-0006-0000-2700-000061000000}">
      <text>
        <r>
          <rPr>
            <b/>
            <sz val="9"/>
            <color indexed="81"/>
            <rFont val="Tahoma"/>
            <family val="2"/>
          </rPr>
          <t xml:space="preserve">Author:
Budget 16-17, BP2, p78 - defer implementation by 1 year to 1 July 2018. 
(based on 2017-18 value of $10.10)
</t>
        </r>
      </text>
    </comment>
    <comment ref="AH80" authorId="1" shapeId="0" xr:uid="{00000000-0006-0000-2700-000062000000}">
      <text>
        <r>
          <rPr>
            <b/>
            <sz val="9"/>
            <color indexed="81"/>
            <rFont val="Tahoma"/>
            <family val="2"/>
          </rPr>
          <t xml:space="preserve">Author:
Budget 16-17, BP2, p78 - defer implementation by 1 year to 1 July 2018. 
(based on 2017-18 value of 85%)
</t>
        </r>
      </text>
    </comment>
    <comment ref="AI80" authorId="1" shapeId="0" xr:uid="{00000000-0006-0000-2700-000063000000}">
      <text>
        <r>
          <rPr>
            <b/>
            <sz val="9"/>
            <color indexed="81"/>
            <rFont val="Tahoma"/>
            <family val="2"/>
          </rPr>
          <t>Author:
Budget 16-17, BP2, p78 - defer implementation by 1 year to 1 July 2018. 
(based on 2017-18 value of 50%)</t>
        </r>
      </text>
    </comment>
    <comment ref="AJ80" authorId="1" shapeId="0" xr:uid="{00000000-0006-0000-2700-000064000000}">
      <text>
        <r>
          <rPr>
            <b/>
            <sz val="9"/>
            <color indexed="81"/>
            <rFont val="Tahoma"/>
            <family val="2"/>
          </rPr>
          <t>Author:
Budget 16-17, BP2, p78 - defer implementation by 1 year to 1 July 2018. 
(based on 2017-18 value of  20%)</t>
        </r>
      </text>
    </comment>
    <comment ref="AL80" authorId="1" shapeId="0" xr:uid="{00000000-0006-0000-2700-000065000000}">
      <text>
        <r>
          <rPr>
            <b/>
            <sz val="9"/>
            <color indexed="81"/>
            <rFont val="Tahoma"/>
            <family val="2"/>
          </rPr>
          <t xml:space="preserve">Author:
Budget 16-17, BP2, p78 - defer implementation by 1 year to 1 July 2018. 
(Based on 2017-18 value of $65,710)
</t>
        </r>
      </text>
    </comment>
    <comment ref="AM80" authorId="1" shapeId="0" xr:uid="{00000000-0006-0000-2700-000066000000}">
      <text>
        <r>
          <rPr>
            <b/>
            <sz val="9"/>
            <color indexed="81"/>
            <rFont val="Tahoma"/>
            <family val="2"/>
          </rPr>
          <t>Author:
Budget 16-17, BP2, p78 - defer implementation by 1 year to 1 July 2018. 
This amount is maintained at $105,000 above the lower income threshold.</t>
        </r>
      </text>
    </comment>
    <comment ref="AN80" authorId="1" shapeId="0" xr:uid="{00000000-0006-0000-2700-000067000000}">
      <text>
        <r>
          <rPr>
            <b/>
            <sz val="9"/>
            <color indexed="81"/>
            <rFont val="Tahoma"/>
            <family val="2"/>
          </rPr>
          <t>Author:
Budget 16-17, BP2, p78 - defer implementation by 1 year to 1 July 2018. 
This amount is maintained at $184,290 above the lower income threshold.</t>
        </r>
      </text>
    </comment>
    <comment ref="AO80" authorId="1" shapeId="0" xr:uid="{00000000-0006-0000-2700-000068000000}">
      <text>
        <r>
          <rPr>
            <b/>
            <sz val="9"/>
            <color indexed="81"/>
            <rFont val="Tahoma"/>
            <family val="2"/>
          </rPr>
          <t>Author:
Budget 16-17, BP2, p78 - defer implementation by 1 year to 1 July 2018. 
This amount is maintained at $274,290 above the lower income threshold.</t>
        </r>
      </text>
    </comment>
    <comment ref="AP80" authorId="4" shapeId="0" xr:uid="{00000000-0006-0000-2700-000069000000}">
      <text>
        <r>
          <rPr>
            <b/>
            <sz val="9"/>
            <color indexed="81"/>
            <rFont val="Tahoma"/>
            <family val="2"/>
          </rPr>
          <t>Author:
This amount is maintained at $284,290 above the lower income threshold.</t>
        </r>
      </text>
    </comment>
    <comment ref="AQ80" authorId="1" shapeId="0" xr:uid="{00000000-0006-0000-2700-00006A000000}">
      <text>
        <r>
          <rPr>
            <b/>
            <sz val="9"/>
            <color indexed="81"/>
            <rFont val="Tahoma"/>
            <family val="2"/>
          </rPr>
          <t>Author:
Budget 16-17, BP2, p78 - defer implementation by 1 year to 1 July 2018. 
This amount is maintained at $120,000 above the lower income threshold.</t>
        </r>
      </text>
    </comment>
    <comment ref="AR80" authorId="1" shapeId="0" xr:uid="{00000000-0006-0000-2700-00006B000000}">
      <text>
        <r>
          <rPr>
            <b/>
            <sz val="9"/>
            <color indexed="81"/>
            <rFont val="Tahoma"/>
            <family val="2"/>
          </rPr>
          <t xml:space="preserve">Author:
Budget 16-17, BP2, p78 - defer implementation by 1 year to 1 July 2018. 
(based on 2017-18 value of $10,000)
</t>
        </r>
      </text>
    </comment>
    <comment ref="AS80" authorId="1" shapeId="0" xr:uid="{00000000-0006-0000-2700-00006C000000}">
      <text>
        <r>
          <rPr>
            <b/>
            <sz val="9"/>
            <color indexed="81"/>
            <rFont val="Tahoma"/>
            <family val="2"/>
          </rPr>
          <t xml:space="preserve">Author:
Budget 16-17, BP2, p78 - defer implementation by 1 year to 1 July 2018. 
</t>
        </r>
      </text>
    </comment>
    <comment ref="AT80" authorId="1" shapeId="0" xr:uid="{00000000-0006-0000-2700-00006D000000}">
      <text>
        <r>
          <rPr>
            <b/>
            <sz val="9"/>
            <color indexed="81"/>
            <rFont val="Tahoma"/>
            <family val="2"/>
          </rPr>
          <t xml:space="preserve">Author:
Budget 16-17, BP2, p78 - defer implementation by 1 year to 1 July 2018. 
</t>
        </r>
      </text>
    </comment>
    <comment ref="AU80" authorId="1" shapeId="0" xr:uid="{00000000-0006-0000-2700-00006E000000}">
      <text>
        <r>
          <rPr>
            <b/>
            <sz val="9"/>
            <color indexed="81"/>
            <rFont val="Tahoma"/>
            <family val="2"/>
          </rPr>
          <t xml:space="preserve">Author:
Budget 16-17, BP2, p78 - defer implementation by 1 year to 1 July 2018. </t>
        </r>
      </text>
    </comment>
    <comment ref="AV80" authorId="1" shapeId="0" xr:uid="{00000000-0006-0000-2700-00006F000000}">
      <text>
        <r>
          <rPr>
            <b/>
            <sz val="9"/>
            <color indexed="81"/>
            <rFont val="Tahoma"/>
            <family val="2"/>
          </rPr>
          <t xml:space="preserve">Author:
Budget 16-17, BP2, p78 - defer implementation by 1 year to 1 July 2018. </t>
        </r>
      </text>
    </comment>
    <comment ref="AW80" authorId="1" shapeId="0" xr:uid="{00000000-0006-0000-2700-000070000000}">
      <text>
        <r>
          <rPr>
            <b/>
            <sz val="9"/>
            <color indexed="81"/>
            <rFont val="Tahoma"/>
            <family val="2"/>
          </rPr>
          <t xml:space="preserve">Author:
Budget 16-17, BP2, p78 - defer implementation by 1 year to 1 July 2018. </t>
        </r>
      </text>
    </comment>
    <comment ref="AX80" authorId="1" shapeId="0" xr:uid="{00000000-0006-0000-2700-000071000000}">
      <text>
        <r>
          <rPr>
            <b/>
            <sz val="9"/>
            <color indexed="81"/>
            <rFont val="Tahoma"/>
            <family val="2"/>
          </rPr>
          <t xml:space="preserve">Author:
Budget 16-17, BP2, p78 - defer implementation by 1 year to 1 July 2018. </t>
        </r>
      </text>
    </comment>
    <comment ref="AY80" authorId="1" shapeId="0" xr:uid="{00000000-0006-0000-2700-000072000000}">
      <text>
        <r>
          <rPr>
            <b/>
            <sz val="9"/>
            <color indexed="81"/>
            <rFont val="Tahoma"/>
            <family val="2"/>
          </rPr>
          <t xml:space="preserve">Author:
Budget 16-17, BP2, p78 - defer implementation by 1 year to 1 July 2018. </t>
        </r>
      </text>
    </comment>
    <comment ref="AZ80" authorId="1" shapeId="0" xr:uid="{00000000-0006-0000-2700-000073000000}">
      <text>
        <r>
          <rPr>
            <b/>
            <sz val="9"/>
            <color indexed="81"/>
            <rFont val="Tahoma"/>
            <family val="2"/>
          </rPr>
          <t xml:space="preserve">Author:
Budget 16-17, BP2, p78 - defer implementation by 1 year to 1 July 2018. </t>
        </r>
      </text>
    </comment>
  </commentList>
</comments>
</file>

<file path=xl/comments41.xml><?xml version="1.0" encoding="utf-8"?>
<comments xmlns="http://schemas.openxmlformats.org/spreadsheetml/2006/main" xmlns:mc="http://schemas.openxmlformats.org/markup-compatibility/2006" xmlns:xr="http://schemas.microsoft.com/office/spreadsheetml/2014/revision" mc:Ignorable="xr">
  <authors>
    <author>Pawley, John</author>
    <author>Bott, Mark</author>
    <author>Black, Belinda</author>
  </authors>
  <commentList>
    <comment ref="AC1" authorId="0" shapeId="0" xr:uid="{00000000-0006-0000-2800-000001000000}">
      <text>
        <r>
          <rPr>
            <b/>
            <sz val="9"/>
            <color indexed="81"/>
            <rFont val="Tahoma"/>
            <family val="2"/>
          </rPr>
          <t>Author:
Note that prior to 2006-7 CCTR was only payable through the tax system, and does not appear here.
From 2006-7 to 2008-9 CCTR was claimable through either tax or transfer system. From 2009-10 it was renamed CCR and became a purely transfer payment</t>
        </r>
      </text>
    </comment>
    <comment ref="AE1" authorId="1" shapeId="0" xr:uid="{00000000-0006-0000-2800-000002000000}">
      <text>
        <r>
          <rPr>
            <b/>
            <sz val="9"/>
            <color indexed="81"/>
            <rFont val="Tahoma"/>
            <family val="2"/>
          </rPr>
          <t>Author:
Budget 2015-16, BP2, pg154-155.  Introduction of Child Care Subsidy, to replace CCB and CCR, effective 1 July 2017.</t>
        </r>
      </text>
    </comment>
    <comment ref="AI3" authorId="0" shapeId="0" xr:uid="{00000000-0006-0000-2800-000003000000}">
      <text>
        <r>
          <rPr>
            <b/>
            <sz val="9"/>
            <color indexed="81"/>
            <rFont val="Tahoma"/>
            <family val="2"/>
          </rPr>
          <t>Author:
Annual assistance rate</t>
        </r>
      </text>
    </comment>
    <comment ref="AS3" authorId="0" shapeId="0" xr:uid="{00000000-0006-0000-2800-000004000000}">
      <text>
        <r>
          <rPr>
            <b/>
            <sz val="9"/>
            <color indexed="81"/>
            <rFont val="Tahoma"/>
            <family val="2"/>
          </rPr>
          <t>Author:
Weekly figures</t>
        </r>
      </text>
    </comment>
    <comment ref="AT3" authorId="0" shapeId="0" xr:uid="{00000000-0006-0000-2800-000005000000}">
      <text>
        <r>
          <rPr>
            <b/>
            <sz val="9"/>
            <color indexed="81"/>
            <rFont val="Tahoma"/>
            <family val="2"/>
          </rPr>
          <t>Author:
Weekly figures</t>
        </r>
      </text>
    </comment>
    <comment ref="AU3" authorId="0" shapeId="0" xr:uid="{00000000-0006-0000-2800-000006000000}">
      <text>
        <r>
          <rPr>
            <b/>
            <sz val="9"/>
            <color indexed="81"/>
            <rFont val="Tahoma"/>
            <family val="2"/>
          </rPr>
          <t>Author:
Weekly figures</t>
        </r>
      </text>
    </comment>
    <comment ref="AV3" authorId="0" shapeId="0" xr:uid="{00000000-0006-0000-2800-000007000000}">
      <text>
        <r>
          <rPr>
            <b/>
            <sz val="9"/>
            <color indexed="81"/>
            <rFont val="Tahoma"/>
            <family val="2"/>
          </rPr>
          <t>Author:
Weekly figures</t>
        </r>
      </text>
    </comment>
    <comment ref="AW3" authorId="0" shapeId="0" xr:uid="{00000000-0006-0000-2800-000008000000}">
      <text>
        <r>
          <rPr>
            <b/>
            <sz val="9"/>
            <color indexed="81"/>
            <rFont val="Tahoma"/>
            <family val="2"/>
          </rPr>
          <t>Author:
Weekly figures</t>
        </r>
      </text>
    </comment>
    <comment ref="AX3" authorId="0" shapeId="0" xr:uid="{00000000-0006-0000-2800-000009000000}">
      <text>
        <r>
          <rPr>
            <b/>
            <sz val="9"/>
            <color indexed="81"/>
            <rFont val="Tahoma"/>
            <family val="2"/>
          </rPr>
          <t>Author:
Weekly figures</t>
        </r>
      </text>
    </comment>
    <comment ref="AY3" authorId="0" shapeId="0" xr:uid="{00000000-0006-0000-2800-00000A000000}">
      <text>
        <r>
          <rPr>
            <b/>
            <sz val="9"/>
            <color indexed="81"/>
            <rFont val="Tahoma"/>
            <family val="2"/>
          </rPr>
          <t>Author:
Weekly figures</t>
        </r>
      </text>
    </comment>
    <comment ref="AZ3" authorId="0" shapeId="0" xr:uid="{00000000-0006-0000-2800-00000B000000}">
      <text>
        <r>
          <rPr>
            <b/>
            <sz val="9"/>
            <color indexed="81"/>
            <rFont val="Tahoma"/>
            <family val="2"/>
          </rPr>
          <t>Author:
Weekly figures
This Special category provides for a small amount of maximum assitance hours for those families whose combined income is less than the lower income threshold and do not meet the activity test.</t>
        </r>
      </text>
    </comment>
    <comment ref="R4" authorId="0" shapeId="0" xr:uid="{00000000-0006-0000-2800-00000C000000}">
      <text>
        <r>
          <rPr>
            <b/>
            <sz val="9"/>
            <color indexed="81"/>
            <rFont val="Tahoma"/>
            <family val="2"/>
          </rPr>
          <t>Author:
This category corresponds to the sixth percent loading variable faCcbLdcLdPct6</t>
        </r>
      </text>
    </comment>
    <comment ref="S4" authorId="0" shapeId="0" xr:uid="{00000000-0006-0000-2800-00000D000000}">
      <text>
        <r>
          <rPr>
            <b/>
            <sz val="9"/>
            <color indexed="81"/>
            <rFont val="Tahoma"/>
            <family val="2"/>
          </rPr>
          <t>Author:
This category corresponds to the fifth percent loading variable faCcbLdcLdPct5</t>
        </r>
      </text>
    </comment>
    <comment ref="T4" authorId="0" shapeId="0" xr:uid="{00000000-0006-0000-2800-00000E000000}">
      <text>
        <r>
          <rPr>
            <b/>
            <sz val="9"/>
            <color indexed="81"/>
            <rFont val="Tahoma"/>
            <family val="2"/>
          </rPr>
          <t>Author:
This category corresponds to the fourth percent loading variable faCcbLdcLdPct4</t>
        </r>
      </text>
    </comment>
    <comment ref="U4" authorId="0" shapeId="0" xr:uid="{00000000-0006-0000-2800-00000F000000}">
      <text>
        <r>
          <rPr>
            <b/>
            <sz val="9"/>
            <color indexed="81"/>
            <rFont val="Tahoma"/>
            <family val="2"/>
          </rPr>
          <t>Author:
This category corresponds to the third percent loading variable faCcbLdcLdPct3</t>
        </r>
      </text>
    </comment>
    <comment ref="V4" authorId="0" shapeId="0" xr:uid="{00000000-0006-0000-2800-000010000000}">
      <text>
        <r>
          <rPr>
            <b/>
            <sz val="9"/>
            <color indexed="81"/>
            <rFont val="Tahoma"/>
            <family val="2"/>
          </rPr>
          <t>Author:
This category corresponds to the second percent loading variable faCcbLdcLdPct2</t>
        </r>
      </text>
    </comment>
    <comment ref="AD22" authorId="2" shapeId="0" xr:uid="{00000000-0006-0000-2800-000011000000}">
      <text>
        <r>
          <rPr>
            <b/>
            <sz val="9"/>
            <color indexed="81"/>
            <rFont val="Tahoma"/>
            <family val="2"/>
          </rPr>
          <t>Author:
Budget 13-14. Indexation paused for a further 3yrs until 1 July 2017.</t>
        </r>
      </text>
    </comment>
  </commentList>
</comments>
</file>

<file path=xl/comments42.xml><?xml version="1.0" encoding="utf-8"?>
<comments xmlns="http://schemas.openxmlformats.org/spreadsheetml/2006/main" xmlns:mc="http://schemas.openxmlformats.org/markup-compatibility/2006" xmlns:xr="http://schemas.microsoft.com/office/spreadsheetml/2014/revision" mc:Ignorable="xr">
  <authors>
    <author>Bott, Mark</author>
    <author>Black, Belinda</author>
    <author>Stacey, Emma</author>
    <author>Bullen, Jared</author>
    <author>Thompson, Alyse</author>
    <author>Li, Taike</author>
    <author>Munro, Josiah</author>
    <author>Luther, Timothy</author>
    <author>O'Shea, Mark</author>
    <author>Ledda, Daniel</author>
  </authors>
  <commentList>
    <comment ref="O2" authorId="0" shapeId="0" xr:uid="{00000000-0006-0000-2900-000001000000}">
      <text>
        <r>
          <rPr>
            <b/>
            <sz val="9"/>
            <color indexed="81"/>
            <rFont val="Tahoma"/>
            <family val="2"/>
          </rPr>
          <t xml:space="preserve">Author:
A supplementary amount is payable for each FTB child on reconciliation at the end of the financial year.
This is the amount specified at clause 38A(3) to Schedule 1 of ANTS(FA)A1999. Indexed by CPI each July as per table item 8A in clause 3 to schedule 4. 
Figure represents a yearly amount.
Author:
Indexation base of $3.65 per 12 months. 
ANTS(FA)A1999, Schedule 4, Part 2, Clause 3, table item 8A
</t>
        </r>
      </text>
    </comment>
    <comment ref="Q2" authorId="0" shapeId="0" xr:uid="{00000000-0006-0000-2900-000002000000}">
      <text>
        <r>
          <rPr>
            <b/>
            <sz val="9"/>
            <color indexed="81"/>
            <rFont val="Tahoma"/>
            <family val="2"/>
          </rPr>
          <t>Author:
A large family supplement is payable for each child after the 2nd, until 1 July 2015 when it applies to each child after the 3rd. (Prior to 1 July 2006, each child after the 3rd.)
Factor specified at clause 35 of schedule 1 to ANTS(FA)A1999. Indexed each July by CPI as per table item 7 in clause 3 to schedule 4.
Figure represents a yearly amount.
Author:
Indexation base of $3.65 per 12 months. 
ANTS(FA)A1999, Schedule 4, Part 2, Clause 3, table item 7
Emma Nation:
Change from 3+ kids to 4+ kids.
Social Services and Other Legislation Amendment (2014 Budget Measures No. 6) Act 2014, schedule 9, point 5</t>
        </r>
      </text>
    </comment>
    <comment ref="Z2" authorId="0" shapeId="0" xr:uid="{00000000-0006-0000-2900-000003000000}">
      <text>
        <r>
          <rPr>
            <b/>
            <sz val="9"/>
            <color indexed="81"/>
            <rFont val="Tahoma"/>
            <family val="2"/>
          </rPr>
          <t>Author:
Families who had a multiple birth with three children or more are entitled to an additional FTB-A supplement. 
These are the amounts specified under clause 37 of Schedule 1 to ANTS(FA)A1999. Indexed each July by CPI as per table item 8 of clause 3 to Schedule 4. 
Figure represents a yearly amount.
Author:
Indexation base of $3.65 per 12 months. 
ANTS(FA)A1999, Schedule 4, Part 2, Clause 3, table item 8</t>
        </r>
      </text>
    </comment>
    <comment ref="AG3" authorId="0" shapeId="0" xr:uid="{00000000-0006-0000-2900-000004000000}">
      <text>
        <r>
          <rPr>
            <b/>
            <sz val="9"/>
            <color indexed="81"/>
            <rFont val="Tahoma"/>
            <family val="2"/>
          </rPr>
          <t xml:space="preserve">Author:
Maximum rate of FTB-A is reduced for maintenance income in excess of the free area.
</t>
        </r>
      </text>
    </comment>
    <comment ref="AJ3" authorId="0" shapeId="0" xr:uid="{00000000-0006-0000-2900-000005000000}">
      <text>
        <r>
          <rPr>
            <b/>
            <sz val="9"/>
            <color indexed="81"/>
            <rFont val="Tahoma"/>
            <family val="2"/>
          </rPr>
          <t>Author:
For every dollar of maintenance income over the free area the person's method 1 rate is reduced at this rate.
Factor ar step 6 of the method statement in clause 20(1) of ANTS(FA)A1999.</t>
        </r>
      </text>
    </comment>
    <comment ref="AK3" authorId="0" shapeId="0" xr:uid="{00000000-0006-0000-2900-000006000000}">
      <text>
        <r>
          <rPr>
            <b/>
            <sz val="9"/>
            <color indexed="81"/>
            <rFont val="Tahoma"/>
            <family val="2"/>
          </rPr>
          <t xml:space="preserve">Author:
Children earning aboce this income cannot attract a FTB payment.
Amount at s22A(2) ANTS(FA)A199. Indexed each July by CPI as per table item 14A in clause 2 of Schedule 4.
Figure represents a yearly amount.
Author:
Index base of $1.00 per 12months.
ANTS(FA)A1999, Schedule 4, Part 2, Clause 3, table item 14A.
</t>
        </r>
      </text>
    </comment>
    <comment ref="AL3" authorId="0" shapeId="0" xr:uid="{00000000-0006-0000-2900-000007000000}">
      <text>
        <r>
          <rPr>
            <b/>
            <sz val="9"/>
            <color indexed="81"/>
            <rFont val="Tahoma"/>
            <family val="2"/>
          </rPr>
          <t xml:space="preserve">Author:
Once aged this amount, a child that is not a school student can no longer be considered as an FTB child.
 "school" includes some school equivalent vocational education.
See options in s22 ANTS(FA)A1999. </t>
        </r>
      </text>
    </comment>
    <comment ref="AM3" authorId="0" shapeId="0" xr:uid="{00000000-0006-0000-2900-000008000000}">
      <text>
        <r>
          <rPr>
            <b/>
            <sz val="9"/>
            <color indexed="81"/>
            <rFont val="Tahoma"/>
            <family val="2"/>
          </rPr>
          <t xml:space="preserve">Author:
From 1 January 2012, children in senior secondary school or equivalent are eligible for a higher rate of FTB-A. Child must be at oldest 19 to qualify however.
See s22B of ANTS(FA)A1999. </t>
        </r>
      </text>
    </comment>
    <comment ref="E4" authorId="0" shapeId="0" xr:uid="{00000000-0006-0000-2900-000009000000}">
      <text>
        <r>
          <rPr>
            <b/>
            <sz val="9"/>
            <color indexed="81"/>
            <rFont val="Tahoma"/>
            <family val="2"/>
          </rPr>
          <t>Author:
This amount has only been payable to senior secondary students since 1st January 2012.</t>
        </r>
      </text>
    </comment>
    <comment ref="G4" authorId="1" shapeId="0" xr:uid="{00000000-0006-0000-2900-00000A000000}">
      <text>
        <r>
          <rPr>
            <b/>
            <sz val="9"/>
            <color indexed="81"/>
            <rFont val="Tahoma"/>
            <family val="2"/>
          </rPr>
          <t>Author:
16 to 17 years old and NOT a secondary student</t>
        </r>
      </text>
    </comment>
    <comment ref="AB4" authorId="0" shapeId="0" xr:uid="{00000000-0006-0000-2900-00000B000000}">
      <text>
        <r>
          <rPr>
            <b/>
            <sz val="9"/>
            <color indexed="81"/>
            <rFont val="Tahoma"/>
            <family val="2"/>
          </rPr>
          <t>Author:
Method 2 rate decreased after ATI is above this threshold.
Amount in column 1 of table at clause 2 of Schedule 1 to ANTS(FA)A1999. Indexed each July by CPI as per table item 11 in clause 3 of Schedule 4.
Figure represents a yearly amount.
Author:
Indexation base of $73.00 per 12 months. 
ANTS(FA)A1999, Schedule 4, Part 2, Clause 3, table item 11</t>
        </r>
      </text>
    </comment>
    <comment ref="AC4" authorId="0" shapeId="0" xr:uid="{00000000-0006-0000-2900-00000C000000}">
      <text>
        <r>
          <rPr>
            <b/>
            <sz val="9"/>
            <color indexed="81"/>
            <rFont val="Tahoma"/>
            <family val="2"/>
          </rPr>
          <t>Author:
For each child after the first, the higher income free area is increased by this amount (removed from 1 July 2015 as per 2014-15 Budget measure). 
Amount in column 2 of table at clause 2 of Schedule 1 to ANTS(FA)A1999. Indexed each July by CPI as per table item 12 in clause 3 of Schedule 4.
Figure represents a yearly amount.
Author:
Indexation base of $73.00 per 12 months. 
ANTS(FA)A1999, Schedule 4, Part 2, Clause 3, table item 12</t>
        </r>
      </text>
    </comment>
    <comment ref="AD4" authorId="0" shapeId="0" xr:uid="{00000000-0006-0000-2900-00000D000000}">
      <text>
        <r>
          <rPr>
            <b/>
            <sz val="9"/>
            <color indexed="81"/>
            <rFont val="Tahoma"/>
            <family val="2"/>
          </rPr>
          <t xml:space="preserve">Author:
Marginal decrease in method 2 rate for every dollar of ATI in excess of threshold, as per factor at step 5 of method statement at clause 28 of Schedule 1 to ANTS(FA)A1999.
</t>
        </r>
      </text>
    </comment>
    <comment ref="AE4" authorId="0" shapeId="0" xr:uid="{00000000-0006-0000-2900-00000E000000}">
      <text>
        <r>
          <rPr>
            <b/>
            <sz val="9"/>
            <color indexed="81"/>
            <rFont val="Tahoma"/>
            <family val="2"/>
          </rPr>
          <t>Author:
For every dollar of ATI above this threshold the persons method one rate is reduced.
Amount at clause 40 of schedule 1 to ANTS(FA)1999. Indexed by CPI each July as as per table item 13 in clause 3 of schedule 4.
Author:
Indexation base of $73.00 per 12 months. 
ANTS(FA)A1999, Schedule 4, Part 2, Clause 3, table item 13</t>
        </r>
      </text>
    </comment>
    <comment ref="AF4" authorId="0" shapeId="0" xr:uid="{00000000-0006-0000-2900-00000F000000}">
      <text>
        <r>
          <rPr>
            <b/>
            <sz val="9"/>
            <color indexed="81"/>
            <rFont val="Tahoma"/>
            <family val="2"/>
          </rPr>
          <t xml:space="preserve">Author:
Marginal decrease in method 1 rate for income in excess of free area.
Factor at step 5 in method statement at clause 38M of schedule 1 to ANTS(FA)A1999.
</t>
        </r>
      </text>
    </comment>
    <comment ref="AG4" authorId="0" shapeId="0" xr:uid="{00000000-0006-0000-2900-000010000000}">
      <text>
        <r>
          <rPr>
            <sz val="9"/>
            <color indexed="81"/>
            <rFont val="Tahoma"/>
            <family val="2"/>
          </rPr>
          <t xml:space="preserve">Amount at table items 1 and 3, column 2 of clause 22 of Schedule 1 to ANTS(FA)A1999.
Indexed by CPI each July as per table item 15 of clause 2 of Schedule 4.
Figure represents a yearly amount.
Author:
Indexation base of $10.95 per 12 months. 
ANTS(FA)A1999, Schedule 4, Part 2, Clause 3, table item 15
</t>
        </r>
      </text>
    </comment>
    <comment ref="AH4" authorId="0" shapeId="0" xr:uid="{00000000-0006-0000-2900-000011000000}">
      <text>
        <r>
          <rPr>
            <sz val="9"/>
            <color indexed="81"/>
            <rFont val="Tahoma"/>
            <family val="2"/>
          </rPr>
          <t>Amount at table item 2, column 2 of clause 22 of Schedule 1 to ANTS(FA)A1999.
Indexed by CPI each July as per table item 16 of clause 2 of Schedule 4.
Figure represents a yearly amount.
Author:
Indexation base of $21.90 per 12 months. 
ANTS(FA)A1999, Schedule 4, Part 2, Clause 3, table item 16</t>
        </r>
      </text>
    </comment>
    <comment ref="AI4" authorId="0" shapeId="0" xr:uid="{00000000-0006-0000-2900-000012000000}">
      <text>
        <r>
          <rPr>
            <b/>
            <sz val="9"/>
            <color indexed="81"/>
            <rFont val="Tahoma"/>
            <family val="2"/>
          </rPr>
          <t>Author:
For every child after the first the maintenance income free area is increased by this amount.
Taken from column 3 of table at clause 22 of Schedule 1 to ANTS(FA)A1999. Index by CPI each July as per table item 17 of clause 2 of Schedule 4.
Figure represents a yearly amount.
Author:
Indexation base of $3.65 per 12 months. 
ANTS(FA)A1999, Schedule 4, Part 2, Clause 3, table item 17</t>
        </r>
      </text>
    </comment>
    <comment ref="S5" authorId="1" shapeId="0" xr:uid="{00000000-0006-0000-2900-000013000000}">
      <text>
        <r>
          <rPr>
            <b/>
            <sz val="9"/>
            <color indexed="81"/>
            <rFont val="Tahoma"/>
            <family val="2"/>
          </rPr>
          <t xml:space="preserve">Author:
Figure is the amount paid over the number of weeks; excluding the upfront payment.. 
Indexed to CPI, indexed on 1 July each year.
Rounding base of $0.91 per year. </t>
        </r>
      </text>
    </comment>
    <comment ref="T5" authorId="1" shapeId="0" xr:uid="{00000000-0006-0000-2900-000014000000}">
      <text>
        <r>
          <rPr>
            <b/>
            <sz val="9"/>
            <color indexed="81"/>
            <rFont val="Tahoma"/>
            <family val="2"/>
          </rPr>
          <t xml:space="preserve">Author:
Indexed to CPI, indexed on 1 July each year.
Rounding base of $0.91 per year. </t>
        </r>
      </text>
    </comment>
    <comment ref="U5" authorId="1" shapeId="0" xr:uid="{00000000-0006-0000-2900-000015000000}">
      <text>
        <r>
          <rPr>
            <b/>
            <sz val="9"/>
            <color indexed="81"/>
            <rFont val="Tahoma"/>
            <family val="2"/>
          </rPr>
          <t>Author:
ANTS(FA) Part 4, Division 1, Section 58AA
Indexed to CPI, indexed on 1 July each year.
Rounding base of $1.00 per year.</t>
        </r>
      </text>
    </comment>
    <comment ref="W5" authorId="1" shapeId="0" xr:uid="{00000000-0006-0000-2900-000016000000}">
      <text>
        <r>
          <rPr>
            <b/>
            <sz val="9"/>
            <color indexed="81"/>
            <rFont val="Tahoma"/>
            <family val="2"/>
          </rPr>
          <t xml:space="preserve">Author:
ANTS(FA)Act 1999 - Part 4, Division 2, Section 66. 
Stillborn payment for the first child is comprised of the First Birth Newborn Supplement and the Newborn Upfront Payment. 
</t>
        </r>
      </text>
    </comment>
    <comment ref="X5" authorId="1" shapeId="0" xr:uid="{00000000-0006-0000-2900-000017000000}">
      <text>
        <r>
          <rPr>
            <b/>
            <sz val="9"/>
            <color indexed="81"/>
            <rFont val="Tahoma"/>
            <family val="2"/>
          </rPr>
          <t xml:space="preserve">Author:
ANTS(FA)Act 1999 - Part 4, Division 2, Section 66. 
Stillborn payment forsubsequent children is comprised of the Subsequent Births Newborn Supplement and the Newborn Upfront Payment. </t>
        </r>
      </text>
    </comment>
    <comment ref="Y5" authorId="1" shapeId="0" xr:uid="{00000000-0006-0000-2900-000018000000}">
      <text>
        <r>
          <rPr>
            <b/>
            <sz val="9"/>
            <color indexed="81"/>
            <rFont val="Tahoma"/>
            <family val="2"/>
          </rPr>
          <t xml:space="preserve">Author:
ANTS(FA)Act 1999 - Part 4, Division 2, Section 66. 
ANTS(FA)Act 1999 - Schedule 4, Part 2, Clause 3 (4A): First indexation of the income limite is to occur on 1 July 2017.
ANTS(FA)Act 1999 - Schedule 4, Part 2, Clause 3, 17AD - to be indexed with CPI on 1 July each year. 
Rounding base of $1.00 per year. 
Note that this threshold is for the 6 month period after the stillborn child's delivery, not a full year.
</t>
        </r>
      </text>
    </comment>
    <comment ref="C6" authorId="0" shapeId="0" xr:uid="{00000000-0006-0000-2900-000019000000}">
      <text>
        <r>
          <rPr>
            <b/>
            <sz val="9"/>
            <color indexed="81"/>
            <rFont val="Tahoma"/>
            <family val="2"/>
          </rPr>
          <t>Author:
Amount at table item 1, clause 7 of schedule 1 to ANTS(FA)A1999.
Indexed by CPI each June as per table item 1 of clause 3 of schedule 4.
Prior to 1st July 2009, the indexation of this rate was benchmarked to 16.6 per cent of the combined couple pension rate (MBR + GST supplement).
Figure represents a yearly amount.
Author:
Indexation base of $3.65 per 12 months. 
ANTS(FA)A1999, Schedule 4, Part 2, Clause 3, table item 1</t>
        </r>
      </text>
    </comment>
    <comment ref="D6" authorId="0" shapeId="0" xr:uid="{00000000-0006-0000-2900-00001A000000}">
      <text>
        <r>
          <rPr>
            <b/>
            <sz val="9"/>
            <color indexed="81"/>
            <rFont val="Tahoma"/>
            <family val="2"/>
          </rPr>
          <t>Author:
Amount worked out under clause 38AA of schedule 1 to ANTS(FA)A1999.
Indexed by CPI each July as per table item 8B in clause 3 of schedule 4.
Figure represents a yearly amount.
Author:
Indexation base of $3.65 per 12 months. 
ANTS(FA)A1999, Schedule 4, Part 2, Clause 3, table item 8B
From 1 July 2014 rename Clean Energy Supplement to Energy Supplement.</t>
        </r>
      </text>
    </comment>
    <comment ref="E6" authorId="0" shapeId="0" xr:uid="{00000000-0006-0000-2900-00001B000000}">
      <text>
        <r>
          <rPr>
            <b/>
            <sz val="9"/>
            <color indexed="81"/>
            <rFont val="Tahoma"/>
            <family val="2"/>
          </rPr>
          <t>Author:
Amount at table items 2 and 3, clause 7 of schedule 1 to ANTS(FA)A1999.
Indexed by CPI each June as per table item 1 of clause 3 of schedule 4.
Prior to 1st July 2009, the indexation of this rate was benchmarked to 21.6 per cent of the combined couple pension rate (MBR + GST supplement).
Figure represents a yearly amount.
Author:
Indexation base of $3.65 per 12 months. 
ANTS(FA)A1999, Schedule 4, Part 2, Clause 3, table item 1</t>
        </r>
      </text>
    </comment>
    <comment ref="F6" authorId="0" shapeId="0" xr:uid="{00000000-0006-0000-2900-00001C000000}">
      <text>
        <r>
          <rPr>
            <b/>
            <sz val="9"/>
            <color indexed="81"/>
            <rFont val="Tahoma"/>
            <family val="2"/>
          </rPr>
          <t>Author:
Amount worked out under clause 38AA of schedule 1 to ANTS(FA)A1999.
Indexed by CPI each July as per table item 8B in clause 3 of schedule 4.
Figure represents a yearly amount.
Author:
Indexation base of $3.65 per 12 months. 
ANTS(FA)A1999, Schedule 4, Part 2, Clause 3, table item 8B
From 1 July 2014 rename Clean Energy Supplement to Energy Supplement.</t>
        </r>
      </text>
    </comment>
    <comment ref="G6" authorId="0" shapeId="0" xr:uid="{00000000-0006-0000-2900-00001D000000}">
      <text>
        <r>
          <rPr>
            <b/>
            <sz val="9"/>
            <color indexed="81"/>
            <rFont val="Tahoma"/>
            <family val="2"/>
          </rPr>
          <t>Author:
Amount at table item 4, clause 7 of schedule 1 to ANTS(FA)A1999.
Indexed by CPI each June as per table item 1 of clause 3 of schedule 4.
Figure represents a yearly amount.
Author:
Indexation base of $3.65 per 12 months. 
ANTS(FA)A1999, Schedule 4, Part 2, Clause 3, table item 1</t>
        </r>
      </text>
    </comment>
    <comment ref="H6" authorId="0" shapeId="0" xr:uid="{00000000-0006-0000-2900-00001E000000}">
      <text>
        <r>
          <rPr>
            <b/>
            <sz val="9"/>
            <color indexed="81"/>
            <rFont val="Tahoma"/>
            <family val="2"/>
          </rPr>
          <t>Author:
Amount worked out under clause 38AA of schedule 1 to ANTS(FA)A1999.
Indexed by CPI each July as per table item 8B in clause 3 of schedule 4.
Figure represents a yearly amount.
Author:
Indexation base of $3.65 per 12 months. 
ANTS(FA)A1999, Schedule 4, Part 2, Clause 3, table item 8B
From 1 July 2014 rename Clean Energy Supplement to Energy Supplement.</t>
        </r>
      </text>
    </comment>
    <comment ref="I6" authorId="0" shapeId="0" xr:uid="{00000000-0006-0000-2900-00001F000000}">
      <text>
        <r>
          <rPr>
            <b/>
            <sz val="9"/>
            <color indexed="81"/>
            <rFont val="Tahoma"/>
            <family val="2"/>
          </rPr>
          <t>Author:
Amount at table item 5, clause 7 of schedule 1 to ANTS(FA)A1999.
Indexed by CPI each June as per table item 1 of clause 3 of schedule 4.
Figure represents a yearly amount.
Author:
Indexation base of $3.65 per 12 months. 
ANTS(FA)A1999, Schedule 4, Part 2, Clause 3, table item 1</t>
        </r>
      </text>
    </comment>
    <comment ref="J6" authorId="0" shapeId="0" xr:uid="{00000000-0006-0000-2900-000020000000}">
      <text>
        <r>
          <rPr>
            <b/>
            <sz val="9"/>
            <color indexed="81"/>
            <rFont val="Tahoma"/>
            <family val="2"/>
          </rPr>
          <t xml:space="preserve">Author:
Amount worked out under clause 38AA of schedule 1 to ANTS(FA)A1999.
Indexed by CPI each July as per table item 8B in clause 3 of schedule 4.
Figure represents a yearly amount.
Author:
Indexation base of $3.65 per 12 months. 
ANTS(FA)A1999, Schedule 4, Part 2, Clause 3, table item 8B
</t>
        </r>
      </text>
    </comment>
    <comment ref="L6" authorId="2" shapeId="0" xr:uid="{00000000-0006-0000-2900-000021000000}">
      <text>
        <r>
          <rPr>
            <sz val="9"/>
            <color indexed="81"/>
            <rFont val="Tahoma"/>
            <family val="2"/>
          </rPr>
          <t>From 1 July 2014 rename Clean Energy Supplement to Energy Supplement.</t>
        </r>
      </text>
    </comment>
    <comment ref="N6" authorId="0" shapeId="0" xr:uid="{00000000-0006-0000-2900-000022000000}">
      <text>
        <r>
          <rPr>
            <b/>
            <sz val="9"/>
            <color indexed="81"/>
            <rFont val="Tahoma"/>
            <family val="2"/>
          </rPr>
          <t>Author:
Amount worked out under clause 38AF of schedule 1 to ANTS(FA)A1999.
Indexed by CPI each July as per table item 8B in clause 3 of schedule 4.
Figure represents a yearly amount.
From 1 July 2014 rename Clean Energy Supplement to Energy Supplement.</t>
        </r>
      </text>
    </comment>
    <comment ref="AE32" authorId="3" shapeId="0" xr:uid="{00000000-0006-0000-2900-000023000000}">
      <text>
        <r>
          <rPr>
            <b/>
            <sz val="9"/>
            <color indexed="81"/>
            <rFont val="Tahoma"/>
            <family val="2"/>
          </rPr>
          <t>Author:
Changed on 23 May 2006</t>
        </r>
      </text>
    </comment>
    <comment ref="C44" authorId="0" shapeId="0" xr:uid="{00000000-0006-0000-2900-000024000000}">
      <text>
        <r>
          <rPr>
            <b/>
            <sz val="9"/>
            <color indexed="81"/>
            <rFont val="Tahoma"/>
            <family val="2"/>
          </rPr>
          <t>Author:
Adjustment through benchmarking against pension rate removed.</t>
        </r>
      </text>
    </comment>
    <comment ref="E44" authorId="0" shapeId="0" xr:uid="{00000000-0006-0000-2900-000025000000}">
      <text>
        <r>
          <rPr>
            <b/>
            <sz val="9"/>
            <color indexed="81"/>
            <rFont val="Tahoma"/>
            <family val="2"/>
          </rPr>
          <t>Author:
Adjustment through benchmarking against pension rate removed.</t>
        </r>
      </text>
    </comment>
    <comment ref="AB44" authorId="3" shapeId="0" xr:uid="{00000000-0006-0000-2900-000026000000}">
      <text>
        <r>
          <rPr>
            <b/>
            <sz val="9"/>
            <color indexed="81"/>
            <rFont val="Tahoma"/>
            <family val="2"/>
          </rPr>
          <t>Author:
Note, indexation frozen for 3 years</t>
        </r>
      </text>
    </comment>
    <comment ref="AC44" authorId="3" shapeId="0" xr:uid="{00000000-0006-0000-2900-000027000000}">
      <text>
        <r>
          <rPr>
            <b/>
            <sz val="9"/>
            <color indexed="81"/>
            <rFont val="Tahoma"/>
            <family val="2"/>
          </rPr>
          <t>Author:
Note, indexation frozen for 3 years</t>
        </r>
      </text>
    </comment>
    <comment ref="O52" authorId="3" shapeId="0" xr:uid="{00000000-0006-0000-2900-000028000000}">
      <text>
        <r>
          <rPr>
            <b/>
            <sz val="9"/>
            <color indexed="81"/>
            <rFont val="Tahoma"/>
            <family val="2"/>
          </rPr>
          <t>Author:
Indexation paused for 3 years in 2011-12 budget</t>
        </r>
      </text>
    </comment>
    <comment ref="AB56" authorId="3" shapeId="0" xr:uid="{00000000-0006-0000-2900-000029000000}">
      <text>
        <r>
          <rPr>
            <b/>
            <sz val="9"/>
            <color indexed="81"/>
            <rFont val="Tahoma"/>
            <family val="2"/>
          </rPr>
          <t>Author:
In budget 2011-12, the indexation was frozen for an additional two years</t>
        </r>
      </text>
    </comment>
    <comment ref="AC56" authorId="3" shapeId="0" xr:uid="{00000000-0006-0000-2900-00002A000000}">
      <text>
        <r>
          <rPr>
            <b/>
            <sz val="9"/>
            <color indexed="81"/>
            <rFont val="Tahoma"/>
            <family val="2"/>
          </rPr>
          <t>Author:
In budget 2011-12, the indexation was frozen for an additional two years</t>
        </r>
      </text>
    </comment>
    <comment ref="I58" authorId="4" shapeId="0" xr:uid="{00000000-0006-0000-2900-00002B000000}">
      <text>
        <r>
          <rPr>
            <b/>
            <sz val="9"/>
            <color indexed="81"/>
            <rFont val="Tahoma"/>
            <family val="2"/>
          </rPr>
          <t>Author:
No series as underlying payment has ceased</t>
        </r>
      </text>
    </comment>
    <comment ref="M58" authorId="1" shapeId="0" xr:uid="{00000000-0006-0000-2900-00002C000000}">
      <text>
        <r>
          <rPr>
            <b/>
            <sz val="9"/>
            <color indexed="81"/>
            <rFont val="Tahoma"/>
            <family val="2"/>
          </rPr>
          <t>Author:
No series as underlying payment has ceased. Confirmed in Outyears that this parameter ceased 1 January 2013.</t>
        </r>
      </text>
    </comment>
    <comment ref="AL58" authorId="1" shapeId="0" xr:uid="{00000000-0006-0000-2900-00002D000000}">
      <text>
        <r>
          <rPr>
            <b/>
            <sz val="9"/>
            <color indexed="81"/>
            <rFont val="Tahoma"/>
            <family val="2"/>
          </rPr>
          <t xml:space="preserve">Author:
Maximum age for FTB set to 17 from 1st January 2013. Budget 2012-13 measure.
</t>
        </r>
      </text>
    </comment>
    <comment ref="C60" authorId="3" shapeId="0" xr:uid="{00000000-0006-0000-2900-00002E000000}">
      <text>
        <r>
          <rPr>
            <b/>
            <sz val="9"/>
            <color indexed="81"/>
            <rFont val="Tahoma"/>
            <family val="2"/>
          </rPr>
          <t>Author:
Indexation factor reduced by 0.007 as per clause 10 schedule 4 of A New Tax System (Family Assistance) Act 1999.</t>
        </r>
      </text>
    </comment>
    <comment ref="E60" authorId="3" shapeId="0" xr:uid="{00000000-0006-0000-2900-00002F000000}">
      <text>
        <r>
          <rPr>
            <b/>
            <sz val="9"/>
            <color indexed="81"/>
            <rFont val="Tahoma"/>
            <family val="2"/>
          </rPr>
          <t>Author:
Indexation factor reduced by 0.007 as per clause 10 schedule 4 of A New Tax System (Family Assistance) Act 1999.</t>
        </r>
      </text>
    </comment>
    <comment ref="G60" authorId="3" shapeId="0" xr:uid="{00000000-0006-0000-2900-000030000000}">
      <text>
        <r>
          <rPr>
            <b/>
            <sz val="9"/>
            <color indexed="81"/>
            <rFont val="Tahoma"/>
            <family val="2"/>
          </rPr>
          <t>Author:
Indexation factor reduced by 0.007 as per clause 10 schedule 4 of A New Tax System (Family Assistance) Act 1999.</t>
        </r>
      </text>
    </comment>
    <comment ref="K60" authorId="3" shapeId="0" xr:uid="{00000000-0006-0000-2900-000031000000}">
      <text>
        <r>
          <rPr>
            <b/>
            <sz val="9"/>
            <color indexed="81"/>
            <rFont val="Tahoma"/>
            <family val="2"/>
          </rPr>
          <t>Author:
Indexation factor reduced by 0.007 as per clause 10 schedule 4 of A New Tax System (Family Assistance) Act 1999.</t>
        </r>
      </text>
    </comment>
    <comment ref="S62" authorId="1" shapeId="0" xr:uid="{00000000-0006-0000-2900-000032000000}">
      <text>
        <r>
          <rPr>
            <b/>
            <sz val="9"/>
            <color indexed="81"/>
            <rFont val="Tahoma"/>
            <family val="2"/>
          </rPr>
          <t>Author:
Introduced 1 March 2014.</t>
        </r>
      </text>
    </comment>
    <comment ref="T62" authorId="1" shapeId="0" xr:uid="{00000000-0006-0000-2900-000033000000}">
      <text>
        <r>
          <rPr>
            <b/>
            <sz val="9"/>
            <color indexed="81"/>
            <rFont val="Tahoma"/>
            <family val="2"/>
          </rPr>
          <t>Author:
Introduced 1 March 2014.</t>
        </r>
      </text>
    </comment>
    <comment ref="U62" authorId="1" shapeId="0" xr:uid="{00000000-0006-0000-2900-000034000000}">
      <text>
        <r>
          <rPr>
            <b/>
            <sz val="9"/>
            <color indexed="81"/>
            <rFont val="Tahoma"/>
            <family val="2"/>
          </rPr>
          <t>Author:
Introduced 1 March 2014.</t>
        </r>
      </text>
    </comment>
    <comment ref="V62" authorId="1" shapeId="0" xr:uid="{00000000-0006-0000-2900-000035000000}">
      <text>
        <r>
          <rPr>
            <b/>
            <sz val="9"/>
            <color indexed="81"/>
            <rFont val="Tahoma"/>
            <family val="2"/>
          </rPr>
          <t>Author:
Introduced 1 March 2014.</t>
        </r>
      </text>
    </comment>
    <comment ref="W62" authorId="1" shapeId="0" xr:uid="{00000000-0006-0000-2900-000036000000}">
      <text>
        <r>
          <rPr>
            <b/>
            <sz val="9"/>
            <color indexed="81"/>
            <rFont val="Tahoma"/>
            <family val="2"/>
          </rPr>
          <t>Author:
Introduced 1 March 2014</t>
        </r>
      </text>
    </comment>
    <comment ref="X62" authorId="1" shapeId="0" xr:uid="{00000000-0006-0000-2900-000037000000}">
      <text>
        <r>
          <rPr>
            <b/>
            <sz val="9"/>
            <color indexed="81"/>
            <rFont val="Tahoma"/>
            <family val="2"/>
          </rPr>
          <t>Author:
Introduced 1 March 2014</t>
        </r>
      </text>
    </comment>
    <comment ref="Y62" authorId="1" shapeId="0" xr:uid="{00000000-0006-0000-2900-000038000000}">
      <text>
        <r>
          <rPr>
            <b/>
            <sz val="9"/>
            <color indexed="81"/>
            <rFont val="Tahoma"/>
            <family val="2"/>
          </rPr>
          <t>Author:
Introduced 1 March 2014</t>
        </r>
      </text>
    </comment>
    <comment ref="AL62" authorId="1" shapeId="0" xr:uid="{00000000-0006-0000-2900-000039000000}">
      <text>
        <r>
          <rPr>
            <b/>
            <sz val="9"/>
            <color indexed="81"/>
            <rFont val="Tahoma"/>
            <family val="2"/>
          </rPr>
          <t>Author:
Budget 2013-14
Maximum age reduced to 16 - effective 1 January 2014.</t>
        </r>
      </text>
    </comment>
    <comment ref="O64" authorId="3" shapeId="0" xr:uid="{00000000-0006-0000-2900-00003A000000}">
      <text>
        <r>
          <rPr>
            <b/>
            <sz val="9"/>
            <color indexed="81"/>
            <rFont val="Tahoma"/>
            <family val="2"/>
          </rPr>
          <t>Author:
Budget 13-14 paused indexation until 1 July 2017.</t>
        </r>
      </text>
    </comment>
    <comment ref="AB64" authorId="1" shapeId="0" xr:uid="{00000000-0006-0000-2900-00003B000000}">
      <text>
        <r>
          <rPr>
            <b/>
            <sz val="9"/>
            <color indexed="81"/>
            <rFont val="Tahoma"/>
            <family val="2"/>
          </rPr>
          <t>Author:
Budget 13-14 paused indexation until 1 July 2017.</t>
        </r>
      </text>
    </comment>
    <comment ref="AC64" authorId="1" shapeId="0" xr:uid="{00000000-0006-0000-2900-00003C000000}">
      <text>
        <r>
          <rPr>
            <b/>
            <sz val="9"/>
            <color indexed="81"/>
            <rFont val="Tahoma"/>
            <family val="2"/>
          </rPr>
          <t>Author:
Budget 13-14 paused indexation until 1 July 2017.</t>
        </r>
      </text>
    </comment>
    <comment ref="AK64" authorId="1" shapeId="0" xr:uid="{00000000-0006-0000-2900-00003D000000}">
      <text>
        <r>
          <rPr>
            <b/>
            <sz val="9"/>
            <color indexed="81"/>
            <rFont val="Tahoma"/>
            <family val="2"/>
          </rPr>
          <t>Author:
Child-income limit no longer applies, effective 1 May 2014.</t>
        </r>
      </text>
    </comment>
    <comment ref="C68" authorId="1" shapeId="0" xr:uid="{00000000-0006-0000-2900-00003E000000}">
      <text>
        <r>
          <rPr>
            <b/>
            <sz val="9"/>
            <color indexed="81"/>
            <rFont val="Tahoma"/>
            <family val="2"/>
          </rPr>
          <t>Author:
Budget 2014-15, BP2 (pg199) - Pause indexation of rates until 1 July 2016.
Author 14Jul15:
Legislation not passed so indexation has been applied and freeze delayed/extended by 1 year.</t>
        </r>
      </text>
    </comment>
    <comment ref="D68" authorId="1" shapeId="0" xr:uid="{00000000-0006-0000-2900-00003F000000}">
      <text>
        <r>
          <rPr>
            <b/>
            <sz val="9"/>
            <color indexed="81"/>
            <rFont val="Tahoma"/>
            <family val="2"/>
          </rPr>
          <t xml:space="preserve">Author:
Budget 2014-15, BP2 (pg191) - Cease Indexation of all CES payments. </t>
        </r>
      </text>
    </comment>
    <comment ref="E68" authorId="1" shapeId="0" xr:uid="{00000000-0006-0000-2900-000040000000}">
      <text>
        <r>
          <rPr>
            <b/>
            <sz val="9"/>
            <color indexed="81"/>
            <rFont val="Tahoma"/>
            <family val="2"/>
          </rPr>
          <t>Author:
Budget 2014-15, BP2 (pg199) - Pause indexation of rates until 1 July 2016.
Author 14Jul15:
Legislation not passed so indexation has been applied and freeze delayed/extended by 1 year.</t>
        </r>
      </text>
    </comment>
    <comment ref="F68" authorId="1" shapeId="0" xr:uid="{00000000-0006-0000-2900-000041000000}">
      <text>
        <r>
          <rPr>
            <b/>
            <sz val="9"/>
            <color indexed="81"/>
            <rFont val="Tahoma"/>
            <family val="2"/>
          </rPr>
          <t xml:space="preserve">Author:
Budget 2014-15, BP2 (pg191) - Cease Indexation of all CES payments. 
</t>
        </r>
      </text>
    </comment>
    <comment ref="G68" authorId="1" shapeId="0" xr:uid="{00000000-0006-0000-2900-000042000000}">
      <text>
        <r>
          <rPr>
            <b/>
            <sz val="9"/>
            <color indexed="81"/>
            <rFont val="Tahoma"/>
            <family val="2"/>
          </rPr>
          <t>Author:
Budget 2014-15, BP2 (pg199) - Pause indexation of rates until 1 July 2016.
Author 14Jul15:
Legislation not passed so indexation has been applied and freeze delayed/extended by 1 year.</t>
        </r>
      </text>
    </comment>
    <comment ref="K68" authorId="1" shapeId="0" xr:uid="{00000000-0006-0000-2900-000043000000}">
      <text>
        <r>
          <rPr>
            <b/>
            <sz val="9"/>
            <color indexed="81"/>
            <rFont val="Tahoma"/>
            <family val="2"/>
          </rPr>
          <t>Author:
Budget 2014-15, BP2 (pg199) - Pause indexation of rates until 1 July 2016.
Author 14Jul15:
Legislation not passed so indexation has been applied and freeze delayed/extended by 1 year.</t>
        </r>
      </text>
    </comment>
    <comment ref="L68" authorId="1" shapeId="0" xr:uid="{00000000-0006-0000-2900-000044000000}">
      <text>
        <r>
          <rPr>
            <b/>
            <sz val="9"/>
            <color indexed="81"/>
            <rFont val="Tahoma"/>
            <family val="2"/>
          </rPr>
          <t xml:space="preserve">Author:
Budget 2014-15, BP2 (pg191) - Cease Indexation of all CES payments. 
</t>
        </r>
      </text>
    </comment>
    <comment ref="O68" authorId="1" shapeId="0" xr:uid="{00000000-0006-0000-2900-000045000000}">
      <text>
        <r>
          <rPr>
            <b/>
            <sz val="9"/>
            <color indexed="81"/>
            <rFont val="Tahoma"/>
            <family val="2"/>
          </rPr>
          <t>Author:
Budget 2014-15, BP2 (pg200) - Supplement reset to $600 annually per family and to cease indexation, effective 1 July 2015.
** Due to rounding base, needs to be multiple of $3.65**
Legislation not passed therefore pause delayed until 1 July 2016.</t>
        </r>
      </text>
    </comment>
    <comment ref="R68" authorId="1" shapeId="0" xr:uid="{00000000-0006-0000-2900-000046000000}">
      <text>
        <r>
          <rPr>
            <b/>
            <sz val="9"/>
            <color indexed="81"/>
            <rFont val="Tahoma"/>
            <family val="2"/>
          </rPr>
          <t>Author:
Budget 2014-15, BP2 (p198) - change in minimum number of kids to 4, effective 1 July 2015.
Legislated: Social Services and Other Legislation Amendment (2014 Budget Measures No. 6) Act 2014, Schedule 9</t>
        </r>
      </text>
    </comment>
    <comment ref="AB68" authorId="1" shapeId="0" xr:uid="{00000000-0006-0000-2900-000047000000}">
      <text>
        <r>
          <rPr>
            <b/>
            <sz val="9"/>
            <color indexed="81"/>
            <rFont val="Tahoma"/>
            <family val="2"/>
          </rPr>
          <t xml:space="preserve">Author:
Indexation: Paused indexation until 1 July 2017 due to point 7 of ‘Schedule 9 – Indexation’ in the ‘Social Services and Other Legislation Amendment Act 2014’ (link here: http://www.comlaw.gov.au/Details/C2014A00014).
</t>
        </r>
      </text>
    </comment>
    <comment ref="AC68" authorId="1" shapeId="0" xr:uid="{00000000-0006-0000-2900-000048000000}">
      <text>
        <r>
          <rPr>
            <b/>
            <sz val="9"/>
            <color indexed="81"/>
            <rFont val="Tahoma"/>
            <family val="2"/>
          </rPr>
          <t>Author:
Budget 2014-15, BP2 (p200) - removal of the FTBA high-income free area per child add-on from 1 July 2015. 
Legislation: Social Services and Other Legislation Amendment (2014 Budget Measures No. 6) Act 2014, schedule 9, points 7, 8 &amp; 9.</t>
        </r>
      </text>
    </comment>
    <comment ref="AE68" authorId="1" shapeId="0" xr:uid="{00000000-0006-0000-2900-000049000000}">
      <text>
        <r>
          <rPr>
            <b/>
            <sz val="9"/>
            <color indexed="81"/>
            <rFont val="Tahoma"/>
            <family val="2"/>
          </rPr>
          <t>Author:
Budget 2014-15, BP2 (p204) - pause indexation of eligibility thresholds until 1 July 2017.
Author 14Jul15:
Legislation not passed so indexation has been applied and freeze delayed/extended by 1 year.</t>
        </r>
      </text>
    </comment>
    <comment ref="AG68" authorId="1" shapeId="0" xr:uid="{00000000-0006-0000-2900-00004A000000}">
      <text>
        <r>
          <rPr>
            <b/>
            <sz val="9"/>
            <color indexed="81"/>
            <rFont val="Tahoma"/>
            <family val="2"/>
          </rPr>
          <t>Author:
Budget 2014-15, BP2 (p204) - pause indexation of eligibility thresholds until 1 July 2017.
Author 14Jul15:
Legislation not passed so indexation has been applied and freeze delayed/extended by 1 year.</t>
        </r>
      </text>
    </comment>
    <comment ref="AH68" authorId="1" shapeId="0" xr:uid="{00000000-0006-0000-2900-00004B000000}">
      <text>
        <r>
          <rPr>
            <b/>
            <sz val="9"/>
            <color indexed="81"/>
            <rFont val="Tahoma"/>
            <family val="2"/>
          </rPr>
          <t>Author:
Budget 2014-15, BP2 (p204) - pause indexation of eligibility thresholds until 1 July 2017.
Author 14Jul15:
Legislation not passed so indexation has been applied and freeze delayed/extended by 1 year.</t>
        </r>
      </text>
    </comment>
    <comment ref="AI68" authorId="1" shapeId="0" xr:uid="{00000000-0006-0000-2900-00004C000000}">
      <text>
        <r>
          <rPr>
            <b/>
            <sz val="9"/>
            <color indexed="81"/>
            <rFont val="Tahoma"/>
            <family val="2"/>
          </rPr>
          <t>Author:
Budget 2014-15, BP2 (p204) - pause indexation of eligibility thresholds until 1 July 2017.
Author 14Jul15:
Legislation not passed so indexation has been applied and freeze delayed/extended by 1 year.</t>
        </r>
      </text>
    </comment>
    <comment ref="C72" authorId="1" shapeId="0" xr:uid="{00000000-0006-0000-2900-00004D000000}">
      <text>
        <r>
          <rPr>
            <b/>
            <sz val="9"/>
            <color indexed="81"/>
            <rFont val="Tahoma"/>
            <family val="2"/>
          </rPr>
          <t>Author:
MYEFO 2014-15, (pg195) - indexation pause extended by one year until 1 July 2017.
Author:
21 October 2015 announcement reversed the above unenacted 2014 Budget measure.</t>
        </r>
      </text>
    </comment>
    <comment ref="E72" authorId="1" shapeId="0" xr:uid="{00000000-0006-0000-2900-00004E000000}">
      <text>
        <r>
          <rPr>
            <b/>
            <sz val="9"/>
            <color indexed="81"/>
            <rFont val="Tahoma"/>
            <family val="2"/>
          </rPr>
          <t>Author:
MYEFO 2014-15, (pg195) -indexation pause extended by one year until 1 July 2017.
Author:
21 October 2015 announcement reversed the above unenacted 2014 Budget measure.</t>
        </r>
      </text>
    </comment>
    <comment ref="G72" authorId="1" shapeId="0" xr:uid="{00000000-0006-0000-2900-00004F000000}">
      <text>
        <r>
          <rPr>
            <b/>
            <sz val="9"/>
            <color indexed="81"/>
            <rFont val="Tahoma"/>
            <family val="2"/>
          </rPr>
          <t>Author:
MYEFO 2014-15, (pg195) - indexation pause extended by one year until 1 July 2017.
Author:
21 October 2015 announcement reversed the above unenacted 2014 Budget measure.</t>
        </r>
      </text>
    </comment>
    <comment ref="K72" authorId="1" shapeId="0" xr:uid="{00000000-0006-0000-2900-000050000000}">
      <text>
        <r>
          <rPr>
            <b/>
            <sz val="9"/>
            <color indexed="81"/>
            <rFont val="Tahoma"/>
            <family val="2"/>
          </rPr>
          <t>Author:
MYEFO 2014-15, (pg195) - indexation pause extended by one year until 1 July 2017.
Author:
21 October 2015 announcement reversed the above unenacted 2014 Budget measure.</t>
        </r>
      </text>
    </comment>
    <comment ref="O72" authorId="5" shapeId="0" xr:uid="{00000000-0006-0000-2900-000051000000}">
      <text>
        <r>
          <rPr>
            <b/>
            <sz val="9"/>
            <color indexed="81"/>
            <rFont val="Tahoma"/>
            <family val="2"/>
          </rPr>
          <t xml:space="preserve">Author:
Phase out of the supplement amount over 3 years. Social Services Legislation Amendment (Family Payments and Structural Reform and Participation Measures) Bill 2015
JM 18/1/17 - At the moment, the DSS book still talks about a supplement of $726.35 for the first quarter 2017.
</t>
        </r>
      </text>
    </comment>
    <comment ref="P72" authorId="6" shapeId="0" xr:uid="{00000000-0006-0000-2900-000052000000}">
      <text>
        <r>
          <rPr>
            <b/>
            <sz val="9"/>
            <color indexed="81"/>
            <rFont val="Tahoma"/>
            <family val="2"/>
          </rPr>
          <t>Author:
The FTB-A Supplement is only payable to customers with adjusted taxable income below $80,000 pa from 1 July 2016 (including the partner's income).
Budget Savings (Omnibus) Bill 2016</t>
        </r>
      </text>
    </comment>
    <comment ref="Q72" authorId="1" shapeId="0" xr:uid="{00000000-0006-0000-2900-000053000000}">
      <text>
        <r>
          <rPr>
            <b/>
            <sz val="9"/>
            <color indexed="81"/>
            <rFont val="Tahoma"/>
            <family val="2"/>
          </rPr>
          <t xml:space="preserve">Author:
Budget 2015-16 (BP2, pg 151): Cessation of the Large Family Supplement from 1 July 2016. 
Passed legislation:  Social Services Legislation Amendment (Family Measures) Act 2016
</t>
        </r>
      </text>
    </comment>
    <comment ref="R72" authorId="1" shapeId="0" xr:uid="{00000000-0006-0000-2900-000054000000}">
      <text>
        <r>
          <rPr>
            <b/>
            <sz val="9"/>
            <color indexed="81"/>
            <rFont val="Tahoma"/>
            <family val="2"/>
          </rPr>
          <t>Author:
Budget 2015-16 (BP2, pg 151): Cessation of the Large Family Supplement from 1 July 2016. 
Passed legislation:  Social Services Legislation Amendment (Family Measures) Act 2016</t>
        </r>
      </text>
    </comment>
    <comment ref="O73" authorId="1" shapeId="0" xr:uid="{00000000-0006-0000-2900-000055000000}">
      <text>
        <r>
          <rPr>
            <b/>
            <sz val="9"/>
            <color indexed="81"/>
            <rFont val="Tahoma"/>
            <family val="2"/>
          </rPr>
          <t>Author:
Advised by DSS that this is before parliament and is in FE's.</t>
        </r>
      </text>
    </comment>
    <comment ref="D75" authorId="6" shapeId="0" xr:uid="{00000000-0006-0000-2900-000056000000}">
      <text>
        <r>
          <rPr>
            <b/>
            <sz val="9"/>
            <color indexed="81"/>
            <rFont val="Tahoma"/>
            <family val="2"/>
          </rPr>
          <t>Author:
Cease payment of FTB Energy Supplement amounts for new claimants from 20 September 2016 on 20 March 2017.
Legislated Budget Savings (Omnibus) Bill 2016.</t>
        </r>
      </text>
    </comment>
    <comment ref="F75" authorId="6" shapeId="0" xr:uid="{00000000-0006-0000-2900-000057000000}">
      <text>
        <r>
          <rPr>
            <b/>
            <sz val="9"/>
            <color indexed="81"/>
            <rFont val="Tahoma"/>
            <family val="2"/>
          </rPr>
          <t>Author:
Cease payment of FTB Energy Supplement amounts for new claimants from 20 September 2016 on 20 March 2017.
Legislated Budget Savings (Omnibus) Bill 2016.</t>
        </r>
      </text>
    </comment>
    <comment ref="H75" authorId="6" shapeId="0" xr:uid="{00000000-0006-0000-2900-000058000000}">
      <text>
        <r>
          <rPr>
            <b/>
            <sz val="9"/>
            <color indexed="81"/>
            <rFont val="Tahoma"/>
            <family val="2"/>
          </rPr>
          <t>Author:
Cease payment of FTB Energy Supplement amounts for new claimants from 20 September 2016 on 20 March 2017.
Legislated Budget Savings (Omnibus) Bill 2016.</t>
        </r>
      </text>
    </comment>
    <comment ref="L75" authorId="6" shapeId="0" xr:uid="{00000000-0006-0000-2900-000059000000}">
      <text>
        <r>
          <rPr>
            <b/>
            <sz val="9"/>
            <color indexed="81"/>
            <rFont val="Tahoma"/>
            <family val="2"/>
          </rPr>
          <t>Author:
Cease payment of FTB Energy Supplement amounts for new claimants from 20 September 2016 on 20 March 2017.
Legislated Budget Savings (Omnibus) Bill 2016.</t>
        </r>
      </text>
    </comment>
    <comment ref="C76" authorId="7" shapeId="0" xr:uid="{00000000-0006-0000-2900-00005A000000}">
      <text>
        <r>
          <rPr>
            <sz val="9"/>
            <color indexed="81"/>
            <rFont val="Tahoma"/>
            <family val="2"/>
          </rPr>
          <t xml:space="preserve">Author:
Budget 2017-18, indexation paused for two years.
Author:
MYEFO 2014-15, (pg195) - indexation resumes.
Author:
Freeze extended 1 year as legislation not passed for the 1 July 2015 freeze.
Author:
21 October 2015 announcement reversed the above unenacted 2014 Budget measure.
Author: 
Paused indexation for max rates of FTBA and FTBB from 1 July 2017 received royal assent on 12 April 2017 - see Social Services Legislation Amendment Bill 2017. </t>
        </r>
      </text>
    </comment>
    <comment ref="E76" authorId="7" shapeId="0" xr:uid="{00000000-0006-0000-2900-00005B000000}">
      <text>
        <r>
          <rPr>
            <b/>
            <sz val="9"/>
            <color indexed="81"/>
            <rFont val="Tahoma"/>
            <family val="2"/>
          </rPr>
          <t xml:space="preserve">Author:
Budget 2017-18, indexation paused for two years.
Author:
MYEFO 2014-15, (pg195) - indexation resumes.
Author:
Freeze extended 1 year as legislation not passed for the 1 July 2015 freeze.
Author:
21 October 2015 announcement reversed the above unenacted 2014 Budget measure.
Author: 
Paused indexation for max rates of FTBA and FTBB from 1 July 2017 received royal assent on 12 April 2017 - see Social Services Legislation Amendment Bill 2017. </t>
        </r>
      </text>
    </comment>
    <comment ref="G76" authorId="7" shapeId="0" xr:uid="{00000000-0006-0000-2900-00005C000000}">
      <text>
        <r>
          <rPr>
            <b/>
            <sz val="9"/>
            <color indexed="81"/>
            <rFont val="Tahoma"/>
            <family val="2"/>
          </rPr>
          <t xml:space="preserve">Author:
Budget 2017-18, indexation paused for two years.
Author:
MYEFO 2014-15, (pg195) - indexation resumes.
Author:
Freeze extended 1 year as legislation not passed for the 1 July 2015 freeze.
Author:
21 October 2015 announcement reversed the above unenacted 2014 Budget measure.
Author: 
Paused indexation for max rates of FTBA and FTBB from 1 July 2017 received royal assent on 12 April 2017 - see Social Services Legislation Amendment Bill 2017. </t>
        </r>
      </text>
    </comment>
    <comment ref="K76" authorId="7" shapeId="0" xr:uid="{00000000-0006-0000-2900-00005D000000}">
      <text>
        <r>
          <rPr>
            <b/>
            <sz val="9"/>
            <color indexed="81"/>
            <rFont val="Tahoma"/>
            <family val="2"/>
          </rPr>
          <t xml:space="preserve">Author:
Budget 2017-18, indexation paused for two years.
Author:
MYEFO 2014-15, (pg195) - indexation resumes.
Author:
Freeze extended 1 year as legislation not passed for the 1 July 2015 freeze.
Author:
21 October 2015 announcement reversed the above unenacted 2014 Budget measure.
Author: 
Paused indexation for max rates of FTBA and FTBB from 1 July 2017 received royal assent on 12 April 2017 - see Social Services Legislation Amendment Bill 2017. </t>
        </r>
      </text>
    </comment>
    <comment ref="O76" authorId="5" shapeId="0" xr:uid="{00000000-0006-0000-2900-00005E000000}">
      <text>
        <r>
          <rPr>
            <b/>
            <sz val="9"/>
            <color indexed="81"/>
            <rFont val="Tahoma"/>
            <family val="2"/>
          </rPr>
          <t xml:space="preserve">Author:
Phase out reversed, indexation resumes Budget 2017-18
Author:
Phase out of the supplement amount over 3 years. Social Services Legislation Amendment (Family Payments and Structural Reform and Participation Measures) Bill 2015
</t>
        </r>
      </text>
    </comment>
    <comment ref="Y76" authorId="1" shapeId="0" xr:uid="{00000000-0006-0000-2900-00005F000000}">
      <text>
        <r>
          <rPr>
            <b/>
            <sz val="9"/>
            <color indexed="81"/>
            <rFont val="Tahoma"/>
            <family val="2"/>
          </rPr>
          <t xml:space="preserve">Author:
ANTS(FA)Act 1999 - Schedule 4, Part 2, Clause3 (4a) - Indexation commences on 1 July 2017.
</t>
        </r>
      </text>
    </comment>
    <comment ref="AB76" authorId="8" shapeId="0" xr:uid="{00000000-0006-0000-2900-000060000000}">
      <text>
        <r>
          <rPr>
            <b/>
            <sz val="9"/>
            <color indexed="81"/>
            <rFont val="Tahoma"/>
            <family val="2"/>
          </rPr>
          <t>Author:
2015-16 MYEFO measure - indexation of this threshold remains paused until 1 July 2019.</t>
        </r>
      </text>
    </comment>
    <comment ref="AE76" authorId="1" shapeId="0" xr:uid="{00000000-0006-0000-2900-000061000000}">
      <text>
        <r>
          <rPr>
            <b/>
            <sz val="9"/>
            <color indexed="81"/>
            <rFont val="Tahoma"/>
            <family val="2"/>
          </rPr>
          <t xml:space="preserve">Author:
MYEFO 2014-15 (p195) indexation pause extended for 1 year, until 1 July 2018.
Author:
21 October 2015 announcement reversed the above unenacted 2014 Budget measure.
</t>
        </r>
      </text>
    </comment>
    <comment ref="AG76" authorId="1" shapeId="0" xr:uid="{00000000-0006-0000-2900-000062000000}">
      <text>
        <r>
          <rPr>
            <b/>
            <sz val="9"/>
            <color indexed="81"/>
            <rFont val="Tahoma"/>
            <family val="2"/>
          </rPr>
          <t xml:space="preserve">Author:
MYEFO 2014-15 (p195) indexation pause extended for 1 year, until 1 July 2018.
Author:
21 October 2015 announcement reversed the above unenacted 2014 Budget measure.
</t>
        </r>
      </text>
    </comment>
    <comment ref="AH76" authorId="1" shapeId="0" xr:uid="{00000000-0006-0000-2900-000063000000}">
      <text>
        <r>
          <rPr>
            <b/>
            <sz val="9"/>
            <color indexed="81"/>
            <rFont val="Tahoma"/>
            <family val="2"/>
          </rPr>
          <t xml:space="preserve">Author:
MYEFO 2014-15 (p195) indexation pause extended for 1 year, until 1 July 2018.
Author:
21 October 2015 announcement reversed the above unenacted 2014 Budget measure.
</t>
        </r>
      </text>
    </comment>
    <comment ref="AI76" authorId="1" shapeId="0" xr:uid="{00000000-0006-0000-2900-000064000000}">
      <text>
        <r>
          <rPr>
            <b/>
            <sz val="9"/>
            <color indexed="81"/>
            <rFont val="Tahoma"/>
            <family val="2"/>
          </rPr>
          <t xml:space="preserve">Author:
MYEFO 2014-15 (p195) indexation pause extended for 1 year, until 1 July 2018.
Author:
21 October 2015 announcement reversed the above unenacted 2014 Budget measure.
</t>
        </r>
      </text>
    </comment>
    <comment ref="C80" authorId="5" shapeId="0" xr:uid="{00000000-0006-0000-2900-000065000000}">
      <text>
        <r>
          <rPr>
            <b/>
            <sz val="9"/>
            <color indexed="81"/>
            <rFont val="Tahoma"/>
            <family val="2"/>
          </rPr>
          <t xml:space="preserve">Author: This increase was reversed in the 2017-18 Budget
Author:
Announcement on 21 October 2015 by the Treasurer. From 1 July 2018, $262.80 is added to the annual amount. Social Services Legislation Amendment (Family Payments Structural Reform and Participation Measures) Bill 2015.
Author: 
Paused indexation for max rates of FTBA and FTBB from 1 July 2017 received royal assent on 12 April 2017 - see Social Services Legislation Amendment Bill 2017. </t>
        </r>
      </text>
    </comment>
    <comment ref="E80" authorId="5" shapeId="0" xr:uid="{00000000-0006-0000-2900-000066000000}">
      <text>
        <r>
          <rPr>
            <b/>
            <sz val="9"/>
            <color indexed="81"/>
            <rFont val="Tahoma"/>
            <family val="2"/>
          </rPr>
          <t xml:space="preserve">Author: This increase was reversed in the 2017-18 Budget
Author:
Announcement on 21 October 2015 by the Treasurer. From 1 July 2018, $262.80 is added to the annual amount. Social Services Legislation Amendment (Family Payments Structural Reform and Participation Measures) Bill 2015.
Author: 
Paused indexation for max rates of FTBA and FTBB from 1 July 2017 received royal assent on 12 April 2017 - see Social Services Legislation Amendment Bill 2017. </t>
        </r>
      </text>
    </comment>
    <comment ref="G80" authorId="9" shapeId="0" xr:uid="{00000000-0006-0000-2900-000067000000}">
      <text>
        <r>
          <rPr>
            <b/>
            <sz val="9"/>
            <color indexed="81"/>
            <rFont val="Tahoma"/>
            <family val="2"/>
          </rPr>
          <t xml:space="preserve">Author:
Announcement on 21 October 2015 by the Treasurer. From 1 July 2018, $262.80 is added to the annual amount of most rates but not the FTB standard ACO rate. Therefore it continues to be indexed as previously. Social Services Legislation Amendment (Family Payments Structural Reform and Participation Measures) Bill 2015.
Author: 
Paused indexation for max rates of FTBA and FTBB from 1 July 2017 received royal assent on 12 April 2017 - see Social Services Legislation Amendment Bill 2017. </t>
        </r>
      </text>
    </comment>
    <comment ref="AD80" authorId="9" shapeId="0" xr:uid="{00000000-0006-0000-2900-000068000000}">
      <text>
        <r>
          <rPr>
            <b/>
            <sz val="9"/>
            <color indexed="81"/>
            <rFont val="Tahoma"/>
            <family val="2"/>
          </rPr>
          <t>Author:
2017-18 Budget - Increase M1 taper rate to 30 cents for income over HIFA - announced but not yet legislated</t>
        </r>
      </text>
    </comment>
    <comment ref="AE80" authorId="2" shapeId="0" xr:uid="{00000000-0006-0000-2900-000069000000}">
      <text>
        <r>
          <rPr>
            <b/>
            <sz val="9"/>
            <color indexed="81"/>
            <rFont val="Tahoma"/>
            <family val="2"/>
          </rPr>
          <t xml:space="preserve">Author:
Freeze extended 1 year as legislation not passed for the 1 July 2015 freeze.
Author:
21 October 2015 announcement reversed the above unenacted 2014 Budget measure.
</t>
        </r>
      </text>
    </comment>
    <comment ref="AG80" authorId="7" shapeId="0" xr:uid="{00000000-0006-0000-2900-00006A000000}">
      <text>
        <r>
          <rPr>
            <b/>
            <sz val="9"/>
            <color indexed="81"/>
            <rFont val="Tahoma"/>
            <family val="2"/>
          </rPr>
          <t xml:space="preserve">Author:
Freeze extended 1 year as legislation not passed for the 1 July 2015 freeze.
Author:
21 October 2015 announcement reversed the above unenacted 2014 Budget measure.
</t>
        </r>
      </text>
    </comment>
    <comment ref="AH80" authorId="7" shapeId="0" xr:uid="{00000000-0006-0000-2900-00006B000000}">
      <text>
        <r>
          <rPr>
            <b/>
            <sz val="9"/>
            <color indexed="81"/>
            <rFont val="Tahoma"/>
            <family val="2"/>
          </rPr>
          <t xml:space="preserve">Author:
Freeze extended 1 year as legislation not passed for the 1 July 2015 freeze.
Author:
21 October 2015 announcement reversed the above unenacted 2014 Budget measure.
</t>
        </r>
      </text>
    </comment>
    <comment ref="AI80" authorId="7" shapeId="0" xr:uid="{00000000-0006-0000-2900-00006C000000}">
      <text>
        <r>
          <rPr>
            <b/>
            <sz val="9"/>
            <color indexed="81"/>
            <rFont val="Tahoma"/>
            <family val="2"/>
          </rPr>
          <t xml:space="preserve">Author:
Freeze extended 1 year as legislation not passed for the 1 July 2015 freeze.
Author:
21 October 2015 announcement reversed the above unenacted 2014 Budget measure.
</t>
        </r>
      </text>
    </comment>
    <comment ref="AB84" authorId="8" shapeId="0" xr:uid="{00000000-0006-0000-2900-00006D000000}">
      <text>
        <r>
          <rPr>
            <b/>
            <sz val="9"/>
            <color indexed="81"/>
            <rFont val="Tahoma"/>
            <family val="2"/>
          </rPr>
          <t xml:space="preserve">Author:
Freeze extended to 1 July 2020. See 'Extending existing freezes on certain family payment thresholds' in 2016-17 MYEFO and as part of the Omnibus Bill. Received Royal Assent in Sept 2016. </t>
        </r>
      </text>
    </comment>
    <comment ref="AB88" authorId="9" shapeId="0" xr:uid="{00000000-0006-0000-2900-00006E000000}">
      <text>
        <r>
          <rPr>
            <b/>
            <sz val="9"/>
            <color indexed="81"/>
            <rFont val="Tahoma"/>
            <family val="2"/>
          </rPr>
          <t>Author:
Indexation resumes</t>
        </r>
      </text>
    </comment>
  </commentList>
</comments>
</file>

<file path=xl/comments43.xml><?xml version="1.0" encoding="utf-8"?>
<comments xmlns="http://schemas.openxmlformats.org/spreadsheetml/2006/main" xmlns:mc="http://schemas.openxmlformats.org/markup-compatibility/2006" xmlns:xr="http://schemas.microsoft.com/office/spreadsheetml/2014/revision" mc:Ignorable="xr">
  <authors>
    <author>Bott, Mark</author>
    <author>Black, Belinda</author>
    <author>Ledda, Daniel</author>
  </authors>
  <commentList>
    <comment ref="O2" authorId="0" shapeId="0" xr:uid="{00000000-0006-0000-2A00-000001000000}">
      <text>
        <r>
          <rPr>
            <b/>
            <sz val="9"/>
            <color indexed="81"/>
            <rFont val="Tahoma"/>
            <family val="2"/>
          </rPr>
          <t xml:space="preserve">Author:
A supplementary amount is payable for each FTB child on reconciliation at the end of the financial year.
This is the amount specified at clause 38A(3) to Schedule 1 of ANTS(FA)A1999. Indexed by CPI each July as per table item 8A in clause 3 to schedule 4. </t>
        </r>
      </text>
    </comment>
    <comment ref="Q2" authorId="0" shapeId="0" xr:uid="{00000000-0006-0000-2A00-000002000000}">
      <text>
        <r>
          <rPr>
            <b/>
            <sz val="9"/>
            <color indexed="81"/>
            <rFont val="Tahoma"/>
            <family val="2"/>
          </rPr>
          <t>Author:
A large family supplement is payable for each child after the 2nd. (Prior to 1 July 2006, each child after the 3rd.)
Factor specified at clause 35 of schedule 1 to ANTS(FA)A1999. Indexed each July by CPI as per table item 7 in clause 3 to schedule 4.
Figure represents a yearly amount.
Author:
Indexation base of $3.65 per 12 months. 
ANTS(FA)A1999, Schedule 4, Part 2, Clause 3, table item 7</t>
        </r>
      </text>
    </comment>
    <comment ref="S2" authorId="1" shapeId="0" xr:uid="{00000000-0006-0000-2A00-000003000000}">
      <text>
        <r>
          <rPr>
            <b/>
            <sz val="9"/>
            <color indexed="81"/>
            <rFont val="Tahoma"/>
            <family val="2"/>
          </rPr>
          <t xml:space="preserve">Author:
see http://www.comlaw.gov.au/Details/F2014L00192 
</t>
        </r>
      </text>
    </comment>
    <comment ref="Z2" authorId="0" shapeId="0" xr:uid="{00000000-0006-0000-2A00-000004000000}">
      <text>
        <r>
          <rPr>
            <b/>
            <sz val="9"/>
            <color indexed="81"/>
            <rFont val="Tahoma"/>
            <family val="2"/>
          </rPr>
          <t xml:space="preserve">Author:
Families who had a multiple birth with three children or more are entitled to an additional FTB-A supplement. 
These are the amounts specified under clause 37 of Schedule 1 to ANTS(FA)A1999. Indexed each July by CPI as per table item 8 of clause 3 to Schedule 4. </t>
        </r>
      </text>
    </comment>
    <comment ref="AG3" authorId="0" shapeId="0" xr:uid="{00000000-0006-0000-2A00-000005000000}">
      <text>
        <r>
          <rPr>
            <b/>
            <sz val="9"/>
            <color indexed="81"/>
            <rFont val="Tahoma"/>
            <family val="2"/>
          </rPr>
          <t xml:space="preserve">Author:
Maximum rate of FTB-A is reduced for maintenance income in excess of the free area.
</t>
        </r>
      </text>
    </comment>
    <comment ref="AJ3" authorId="0" shapeId="0" xr:uid="{00000000-0006-0000-2A00-000006000000}">
      <text>
        <r>
          <rPr>
            <b/>
            <sz val="9"/>
            <color indexed="81"/>
            <rFont val="Tahoma"/>
            <family val="2"/>
          </rPr>
          <t>Author:
For every dollar of maintenance income over the free area the person's method 1 rate is reduced at this rate.
Factor ar step 6 of the method statement in clause 20(1) of ANTS(FA)A1999.</t>
        </r>
      </text>
    </comment>
    <comment ref="AK3" authorId="0" shapeId="0" xr:uid="{00000000-0006-0000-2A00-000007000000}">
      <text>
        <r>
          <rPr>
            <b/>
            <sz val="9"/>
            <color indexed="81"/>
            <rFont val="Tahoma"/>
            <family val="2"/>
          </rPr>
          <t>Author:
Children earning aboce this income cannot attract a FTB payment.
Amount at s22A(2) ANTS(FA)A199. Indexed each July by CPI as per table item 14A in clause 2 of Schedule 4.</t>
        </r>
      </text>
    </comment>
    <comment ref="AL3" authorId="0" shapeId="0" xr:uid="{00000000-0006-0000-2A00-000008000000}">
      <text>
        <r>
          <rPr>
            <b/>
            <sz val="9"/>
            <color indexed="81"/>
            <rFont val="Tahoma"/>
            <family val="2"/>
          </rPr>
          <t xml:space="preserve">Author:
Once aged this amount, a child can no longer be considered as an FTB child.
See options in s22 ANTS(FA)A1999. </t>
        </r>
      </text>
    </comment>
    <comment ref="AM3" authorId="0" shapeId="0" xr:uid="{00000000-0006-0000-2A00-000009000000}">
      <text>
        <r>
          <rPr>
            <b/>
            <sz val="9"/>
            <color indexed="81"/>
            <rFont val="Tahoma"/>
            <family val="2"/>
          </rPr>
          <t xml:space="preserve">Author:
From 1 January 2012, children in senior secondary school or equivalent are eligible for a higher rate of FTB-A. Child must be at oldest 19 to qualify however.
See s22B of ANTS(FA)A1999. </t>
        </r>
      </text>
    </comment>
    <comment ref="E4" authorId="0" shapeId="0" xr:uid="{00000000-0006-0000-2A00-00000A000000}">
      <text>
        <r>
          <rPr>
            <b/>
            <sz val="9"/>
            <color indexed="81"/>
            <rFont val="Tahoma"/>
            <family val="2"/>
          </rPr>
          <t>Author:
This amount has only been payable to senior secondary students since 1st January 2012.</t>
        </r>
      </text>
    </comment>
    <comment ref="AB4" authorId="0" shapeId="0" xr:uid="{00000000-0006-0000-2A00-00000B000000}">
      <text>
        <r>
          <rPr>
            <b/>
            <sz val="9"/>
            <color indexed="81"/>
            <rFont val="Tahoma"/>
            <family val="2"/>
          </rPr>
          <t>Author:
Method 2 rate decreased after ATI is above this threshold.
Amount in column 1 of table at clause 2 of Schedule 1 to ANTS(FA)A1999. Indexed each July by CPI as per table item 11 in clause 3 of Schedule 4.</t>
        </r>
      </text>
    </comment>
    <comment ref="AC4" authorId="0" shapeId="0" xr:uid="{00000000-0006-0000-2A00-00000C000000}">
      <text>
        <r>
          <rPr>
            <b/>
            <sz val="9"/>
            <color indexed="81"/>
            <rFont val="Tahoma"/>
            <family val="2"/>
          </rPr>
          <t>Author:
For each child after the first, the higher income free area is increased by this amount. 
Amount in column 2 of table at clause 2 of Schedule 1 to ANTS(FA)A1999. Indexed each July by CPI as per table item 12 in clause 3 of Schedule 4.</t>
        </r>
      </text>
    </comment>
    <comment ref="AD4" authorId="0" shapeId="0" xr:uid="{00000000-0006-0000-2A00-00000D000000}">
      <text>
        <r>
          <rPr>
            <b/>
            <sz val="9"/>
            <color indexed="81"/>
            <rFont val="Tahoma"/>
            <family val="2"/>
          </rPr>
          <t>Author:
Marginal decrease in method 2 rate for every dollar of ATI in excess of threshold, as per factor at step 5 of method statement at clause 28 of Schedule 1 to ANTS(FA)A1999.</t>
        </r>
      </text>
    </comment>
    <comment ref="AE4" authorId="0" shapeId="0" xr:uid="{00000000-0006-0000-2A00-00000E000000}">
      <text>
        <r>
          <rPr>
            <b/>
            <sz val="9"/>
            <color indexed="81"/>
            <rFont val="Tahoma"/>
            <family val="2"/>
          </rPr>
          <t>Author:
For every dollar of ATI above this threshold the persons method one rate is reduced.
Amount at clause 40 of schedule 1 to ANTS(FA)1999. Indexed by CPI each July as as per table item 13 in clause 3 of schedule 4.</t>
        </r>
      </text>
    </comment>
    <comment ref="AF4" authorId="0" shapeId="0" xr:uid="{00000000-0006-0000-2A00-00000F000000}">
      <text>
        <r>
          <rPr>
            <b/>
            <sz val="9"/>
            <color indexed="81"/>
            <rFont val="Tahoma"/>
            <family val="2"/>
          </rPr>
          <t xml:space="preserve">Author:
Marginal decrease in method 1 rate for income in excess of free area.
Factor at step 5 in method statement at clause 38M of schedule 1 to ANTS(FA)A1999.
</t>
        </r>
      </text>
    </comment>
    <comment ref="AG4" authorId="0" shapeId="0" xr:uid="{00000000-0006-0000-2A00-000010000000}">
      <text>
        <r>
          <rPr>
            <sz val="9"/>
            <color indexed="81"/>
            <rFont val="Tahoma"/>
            <family val="2"/>
          </rPr>
          <t>Amount at table items 1 and 3, column 2 of clause 22 of Schedule 1 to ANTS(FA)A1999.
Indexed by CPI each July as per table item 15 of clause 2 of Schedule 4.</t>
        </r>
      </text>
    </comment>
    <comment ref="AH4" authorId="0" shapeId="0" xr:uid="{00000000-0006-0000-2A00-000011000000}">
      <text>
        <r>
          <rPr>
            <sz val="9"/>
            <color indexed="81"/>
            <rFont val="Tahoma"/>
            <family val="2"/>
          </rPr>
          <t>Amount at table item 2, column 2 of clause 22 of Schedule 1 to ANTS(FA)A1999.
Indexed by CPI each July as per table item 16 of clause 2 of Schedule 4.</t>
        </r>
      </text>
    </comment>
    <comment ref="AI4" authorId="0" shapeId="0" xr:uid="{00000000-0006-0000-2A00-000012000000}">
      <text>
        <r>
          <rPr>
            <b/>
            <sz val="9"/>
            <color indexed="81"/>
            <rFont val="Tahoma"/>
            <family val="2"/>
          </rPr>
          <t>Author:
For every child after the first the maintenance income free area is increased by this amount.
Taken from column 3 of table at clause 22 of Schedule 1 to ANTS(FA)A1999. Index by CPI each July as per table item 17 of clause 2 of Schedule 4.</t>
        </r>
      </text>
    </comment>
    <comment ref="C6" authorId="0" shapeId="0" xr:uid="{00000000-0006-0000-2A00-000013000000}">
      <text>
        <r>
          <rPr>
            <b/>
            <sz val="9"/>
            <color indexed="81"/>
            <rFont val="Tahoma"/>
            <family val="2"/>
          </rPr>
          <t>Author:
Amount at table item 1, clause 7 of schedule 1 to ANTS(FA)A1999.
Indexed by CPI each June as per table item 1 of clause 3 of schedule 4.
Prior to 1st July 2009, the indexation of this rate was benchmarked to 16.6 per cent of the combined couple pension rate (MBR + GST supplement).</t>
        </r>
      </text>
    </comment>
    <comment ref="D6" authorId="0" shapeId="0" xr:uid="{00000000-0006-0000-2A00-000014000000}">
      <text>
        <r>
          <rPr>
            <b/>
            <sz val="9"/>
            <color indexed="81"/>
            <rFont val="Tahoma"/>
            <family val="2"/>
          </rPr>
          <t>Author:
Amount worked out under clause 38AA of schedule 1 to ANTS(FA)A1999.
Indexed by CPI each July as per table item 8B in clause 3 of schedule 4.</t>
        </r>
      </text>
    </comment>
    <comment ref="E6" authorId="0" shapeId="0" xr:uid="{00000000-0006-0000-2A00-000015000000}">
      <text>
        <r>
          <rPr>
            <b/>
            <sz val="9"/>
            <color indexed="81"/>
            <rFont val="Tahoma"/>
            <family val="2"/>
          </rPr>
          <t>Author:
Amount at table items 2 and 3, clause 7 of schedule 1 to ANTS(FA)A1999.
Indexed by CPI each June as per table item 1 of clause 3 of schedule 4.
Prior to 1st July 2009, the indexation of this rate was benchmarked to 21.6 per cent of the combined couple pension rate (MBR + GST supplement).</t>
        </r>
      </text>
    </comment>
    <comment ref="F6" authorId="0" shapeId="0" xr:uid="{00000000-0006-0000-2A00-000016000000}">
      <text>
        <r>
          <rPr>
            <b/>
            <sz val="9"/>
            <color indexed="81"/>
            <rFont val="Tahoma"/>
            <family val="2"/>
          </rPr>
          <t>Author:
Amount worked out under clause 38AA of schedule 1 to ANTS(FA)A1999.
Indexed by CPI each July as per table item 8B in clause 3 of schedule 4.</t>
        </r>
      </text>
    </comment>
    <comment ref="G6" authorId="0" shapeId="0" xr:uid="{00000000-0006-0000-2A00-000017000000}">
      <text>
        <r>
          <rPr>
            <b/>
            <sz val="9"/>
            <color indexed="81"/>
            <rFont val="Tahoma"/>
            <family val="2"/>
          </rPr>
          <t>Author:
Amount at table item 4, clause 7 of schedule 1 to ANTS(FA)A1999.
Indexed by CPI each June as per table item 1 of clause 3 of schedule 4.</t>
        </r>
      </text>
    </comment>
    <comment ref="H6" authorId="0" shapeId="0" xr:uid="{00000000-0006-0000-2A00-000018000000}">
      <text>
        <r>
          <rPr>
            <b/>
            <sz val="9"/>
            <color indexed="81"/>
            <rFont val="Tahoma"/>
            <family val="2"/>
          </rPr>
          <t>Author:
Amount worked out under clause 38AA of schedule 1 to ANTS(FA)A1999.
Indexed by CPI each July as per table item 8B in clause 3 of schedule 4.</t>
        </r>
      </text>
    </comment>
    <comment ref="I6" authorId="0" shapeId="0" xr:uid="{00000000-0006-0000-2A00-000019000000}">
      <text>
        <r>
          <rPr>
            <b/>
            <sz val="9"/>
            <color indexed="81"/>
            <rFont val="Tahoma"/>
            <family val="2"/>
          </rPr>
          <t>Author:
Amount at table item 5, clause 7 of schedule 1 to ANTS(FA)A1999.
Indexed by CPI each June as per table item 1 of clause 3 of schedule 4.</t>
        </r>
      </text>
    </comment>
    <comment ref="J6" authorId="0" shapeId="0" xr:uid="{00000000-0006-0000-2A00-00001A000000}">
      <text>
        <r>
          <rPr>
            <b/>
            <sz val="9"/>
            <color indexed="81"/>
            <rFont val="Tahoma"/>
            <family val="2"/>
          </rPr>
          <t>Author:
Amount worked out under clause 38AA of schedule 1 to ANTS(FA)A1999.
Indexed by CPI each July as per table item 8B in clause 3 of schedule 4.</t>
        </r>
      </text>
    </comment>
    <comment ref="N6" authorId="0" shapeId="0" xr:uid="{00000000-0006-0000-2A00-00001B000000}">
      <text>
        <r>
          <rPr>
            <b/>
            <sz val="9"/>
            <color indexed="81"/>
            <rFont val="Tahoma"/>
            <family val="2"/>
          </rPr>
          <t>Author:
Amount worked out under clause 38AF of schedule 1 to ANTS(FA)A1999.
Indexed by CPI each July as per table item 8B in clause 3 of schedule 4.</t>
        </r>
      </text>
    </comment>
    <comment ref="R20" authorId="2" shapeId="0" xr:uid="{00000000-0006-0000-2A00-00001C000000}">
      <text>
        <r>
          <rPr>
            <b/>
            <sz val="9"/>
            <color indexed="81"/>
            <rFont val="Tahoma"/>
            <family val="2"/>
          </rPr>
          <t>Author:
Hardcoded as policy came in half way through the year, so did not make sense to be an annual average.</t>
        </r>
      </text>
    </comment>
    <comment ref="S21" authorId="1" shapeId="0" xr:uid="{00000000-0006-0000-2A00-00001D000000}">
      <text>
        <r>
          <rPr>
            <b/>
            <sz val="9"/>
            <color indexed="81"/>
            <rFont val="Tahoma"/>
            <family val="2"/>
          </rPr>
          <t>Author:
NBS introduced 1 March 2014.
Author: Formula not used because payment is for the whole amount, not part of the year amount (ie if baby is born before 1 March 2014, family gets baby bonus amount; if born after 1 March 2014, family gets newborn supplement). For 2013-14, assume all babies born before 1 March 2014, so will get baby bonus.</t>
        </r>
      </text>
    </comment>
    <comment ref="T21" authorId="1" shapeId="0" xr:uid="{00000000-0006-0000-2A00-00001E000000}">
      <text>
        <r>
          <rPr>
            <b/>
            <sz val="9"/>
            <color indexed="81"/>
            <rFont val="Tahoma"/>
            <family val="2"/>
          </rPr>
          <t>Author:
NBS introduced 1 March 2014.
Author: Formula not used because payment is for the whole amount, not part of the year amount (ie if baby is born before 1 March 2014, family gets baby bonus amount; if born after 1 March 2014, family gets newborn supplement). For 2013-14, assume all babies born before 1 March 2014, so will get baby bonus.</t>
        </r>
      </text>
    </comment>
    <comment ref="U21" authorId="1" shapeId="0" xr:uid="{00000000-0006-0000-2A00-00001F000000}">
      <text>
        <r>
          <rPr>
            <b/>
            <sz val="9"/>
            <color indexed="81"/>
            <rFont val="Tahoma"/>
            <family val="2"/>
          </rPr>
          <t>Author:
NBU introduced 1 March 2014.
Author: Formula not used because payment is for the whole amount, not part of the year amount (ie if baby is born before 1 March 2014, family gets baby bonus amount; if born after 1 March 2014, family gets NBS/NBU). For 2013-14, assume all babies born before 1 March 2014, so will get baby bonus.</t>
        </r>
      </text>
    </comment>
    <comment ref="V21" authorId="1" shapeId="0" xr:uid="{00000000-0006-0000-2A00-000020000000}">
      <text>
        <r>
          <rPr>
            <b/>
            <sz val="9"/>
            <color indexed="81"/>
            <rFont val="Tahoma"/>
            <family val="2"/>
          </rPr>
          <t>Author:
NBS/NBU introduced 1 March 2014.
Author: Formula not used because payment is for the whole amount, not part of the year amount (ie if baby is born before 1 March 2014, family gets baby bonus amount; if born after 1 March 2014, family gets newborn supplement). For 2013-14, assume all babies born before 1 March 2014, so will get baby bonus.</t>
        </r>
      </text>
    </comment>
    <comment ref="W21" authorId="1" shapeId="0" xr:uid="{00000000-0006-0000-2A00-000021000000}">
      <text>
        <r>
          <rPr>
            <b/>
            <sz val="9"/>
            <color indexed="81"/>
            <rFont val="Tahoma"/>
            <family val="2"/>
          </rPr>
          <t xml:space="preserve">Author:
Stillborn baby payment introduced 1 March 2014.
Author: Formula not used because payment is for the whole amount, not part of the year amount (ie if stillbirth is before 1 March 2014, no stillborn baby payment; if stillbirth after 1 March 2014, family gets stillborn baby payment. </t>
        </r>
      </text>
    </comment>
    <comment ref="X21" authorId="1" shapeId="0" xr:uid="{00000000-0006-0000-2A00-000022000000}">
      <text>
        <r>
          <rPr>
            <b/>
            <sz val="9"/>
            <color indexed="81"/>
            <rFont val="Tahoma"/>
            <family val="2"/>
          </rPr>
          <t xml:space="preserve">Author:
Stillborn baby payment introduced 1 March 2014.
Author: Formula not used because payment is for the whole amount, not part of the year amount (ie if stillbirth is before 1 March 2014, no stillborn baby payment; if stillbirth after 1 March 2014, family gets stillborn baby payment. </t>
        </r>
      </text>
    </comment>
    <comment ref="Y21" authorId="1" shapeId="0" xr:uid="{00000000-0006-0000-2A00-000023000000}">
      <text>
        <r>
          <rPr>
            <b/>
            <sz val="9"/>
            <color indexed="81"/>
            <rFont val="Tahoma"/>
            <family val="2"/>
          </rPr>
          <t xml:space="preserve">Author:
Stillborn baby payment introduced 1 March 2014.
Author: Formula not used because payment is for the whole amount, not part of the year amount (ie if stillbirth is before 1 March 2014, no stillborn baby payment; if stillbirth after 1 March 2014, family gets stillborn baby payment. </t>
        </r>
      </text>
    </comment>
    <comment ref="S22" authorId="1" shapeId="0" xr:uid="{00000000-0006-0000-2A00-000024000000}">
      <text>
        <r>
          <rPr>
            <b/>
            <sz val="9"/>
            <color indexed="81"/>
            <rFont val="Tahoma"/>
            <family val="2"/>
          </rPr>
          <t>Author:
Introduced 1 March 2014.</t>
        </r>
      </text>
    </comment>
    <comment ref="T22" authorId="1" shapeId="0" xr:uid="{00000000-0006-0000-2A00-000025000000}">
      <text>
        <r>
          <rPr>
            <b/>
            <sz val="9"/>
            <color indexed="81"/>
            <rFont val="Tahoma"/>
            <family val="2"/>
          </rPr>
          <t>Author:
Introduced 1 March 2014.</t>
        </r>
      </text>
    </comment>
    <comment ref="U22" authorId="1" shapeId="0" xr:uid="{00000000-0006-0000-2A00-000026000000}">
      <text>
        <r>
          <rPr>
            <b/>
            <sz val="9"/>
            <color indexed="81"/>
            <rFont val="Tahoma"/>
            <family val="2"/>
          </rPr>
          <t>Author:
Introduced 1 March 2014.</t>
        </r>
      </text>
    </comment>
    <comment ref="V22" authorId="1" shapeId="0" xr:uid="{00000000-0006-0000-2A00-000027000000}">
      <text>
        <r>
          <rPr>
            <b/>
            <sz val="9"/>
            <color indexed="81"/>
            <rFont val="Tahoma"/>
            <family val="2"/>
          </rPr>
          <t>Author:
Introduced 1 March 2014.</t>
        </r>
      </text>
    </comment>
  </commentList>
</comments>
</file>

<file path=xl/comments44.xml><?xml version="1.0" encoding="utf-8"?>
<comments xmlns="http://schemas.openxmlformats.org/spreadsheetml/2006/main" xmlns:mc="http://schemas.openxmlformats.org/markup-compatibility/2006" xmlns:xr="http://schemas.microsoft.com/office/spreadsheetml/2014/revision" mc:Ignorable="xr">
  <authors>
    <author>Bott, Mark</author>
    <author>Black, Belinda</author>
    <author>Kane, Michael</author>
    <author>Bullen, Jared</author>
    <author>O'Shea, Mark</author>
    <author>Munro, Josiah</author>
    <author>Stacey, Emma</author>
    <author>Thompson, Alyse</author>
    <author>Ledda, Daniel</author>
  </authors>
  <commentList>
    <comment ref="K2" authorId="0" shapeId="0" xr:uid="{00000000-0006-0000-2B00-000001000000}">
      <text>
        <r>
          <rPr>
            <b/>
            <sz val="9"/>
            <color indexed="81"/>
            <rFont val="Tahoma"/>
            <family val="2"/>
          </rPr>
          <t>Author:
Amout at clause 31A(2) of schedule 1 to ANTS(FA)A1999.
Indexed each July by CPI as per table item 9A of clause 3 of Schedule 4.
Figure represents a yearly amount.
Author:
Indexation base of $3.65 per 12 months. 
ANTS(FA)A1999 Schedule 4, Part 2, clause 3 Table item 9A</t>
        </r>
      </text>
    </comment>
    <comment ref="L2" authorId="1" shapeId="0" xr:uid="{00000000-0006-0000-2B00-000002000000}">
      <text>
        <r>
          <rPr>
            <b/>
            <sz val="9"/>
            <color indexed="81"/>
            <rFont val="Tahoma"/>
            <family val="2"/>
          </rPr>
          <t>Author:
Budget 2014-15, BP2 (pg199) - new allowance for single parents on max rate of FTBA whose youngest child is between 6-12 years old from the point when they become ineligible for FTBB - effective 1 July 2015.
The Bill introduced gives indexation on 1 July each yr with CPI, rounding base of $3.65/yr</t>
        </r>
      </text>
    </comment>
    <comment ref="O2" authorId="0" shapeId="0" xr:uid="{00000000-0006-0000-2B00-000003000000}">
      <text>
        <r>
          <rPr>
            <b/>
            <sz val="9"/>
            <color indexed="81"/>
            <rFont val="Tahoma"/>
            <family val="2"/>
          </rPr>
          <t>Author:
If the primary income earner (includes sole parents) has an income in excess of this threshold their part B rate is nil, as per clause 28B of Schedule 1 of ANTS(FA)A1999.
Figure represents a yearly amount.
Author:
Indexation base of $1.00 per 12 months. 
ANTS(FA)A1999 Schedule 4, Part 2, clause 3 Table item 17AA
ANTS(FA)1999 - Schedule 1,Part4, Division 1, SubdivisionAA, Clause 28B
Change $150,000 to $100,000 legislation:
Social Services and Other Legislation Amendment (2014 Budget Measures No. 6) Act 2014, schedule 9, points 3 &amp; 4</t>
        </r>
      </text>
    </comment>
    <comment ref="M4" authorId="0" shapeId="0" xr:uid="{00000000-0006-0000-2B00-000004000000}">
      <text>
        <r>
          <rPr>
            <b/>
            <sz val="9"/>
            <color indexed="81"/>
            <rFont val="Tahoma"/>
            <family val="2"/>
          </rPr>
          <t>Author:
For every dollar of ATI that the secondary earner has above this threshold the family's part B rate is reduced.
Amount at claused 33 of Schedule 1 to ANTS(FA)A1999.
Indexed by CPI each July as per table item 14 clause 2 of Schedule 4.
Figure represents a yearly amount.
Author:
Indexation base of $73.00 per 12 months. 
ANTS(FA)A1999 Schedule 4, Part 2, clause 3 Table item 14</t>
        </r>
      </text>
    </comment>
    <comment ref="N4" authorId="0" shapeId="0" xr:uid="{00000000-0006-0000-2B00-000005000000}">
      <text>
        <r>
          <rPr>
            <b/>
            <sz val="9"/>
            <color indexed="81"/>
            <rFont val="Tahoma"/>
            <family val="2"/>
          </rPr>
          <t>Author:
Marginal rate at which payment is reduced for income above the free area.
Rate at step 5 of method statement in clause 32 of Schedule 1 to ANTS(FA)A1999</t>
        </r>
      </text>
    </comment>
    <comment ref="C5" authorId="0" shapeId="0" xr:uid="{00000000-0006-0000-2B00-000006000000}">
      <text>
        <r>
          <rPr>
            <b/>
            <sz val="9"/>
            <color indexed="81"/>
            <rFont val="Tahoma"/>
            <family val="2"/>
          </rPr>
          <t>Author:
Amount at table item 1 clause 30 of schedule 1 to ANTS(FA)A1999.
Indexed by CPI each July as per table item 9 of clause 3 to schedule 4.
Figure represents a yearly amount.
Author:
Indexation base of $3.65 per 12 months. 
ANTS(FA)A1999 Schedule 4, Part 2, clause 3 Table item 9</t>
        </r>
      </text>
    </comment>
    <comment ref="D5" authorId="0" shapeId="0" xr:uid="{00000000-0006-0000-2B00-000007000000}">
      <text>
        <r>
          <rPr>
            <b/>
            <sz val="9"/>
            <color indexed="81"/>
            <rFont val="Tahoma"/>
            <family val="2"/>
          </rPr>
          <t>Author:
Amount calculated as per clause 31B of ANTS(FA)A1999.
Indexed by CPI each July as per table item 9B at clause 3 of Schedule 4.
Figure represents a yearly amount.
Author:
Indexation base of $3.65 per 12 months. 
ANTS(FA)A1999 Schedule 4, Part 2, clause 3 Table item 9B
From 1 July 2014 rename Clean Energy Supplement to Energy Supplement.</t>
        </r>
      </text>
    </comment>
    <comment ref="E5" authorId="0" shapeId="0" xr:uid="{00000000-0006-0000-2B00-000008000000}">
      <text>
        <r>
          <rPr>
            <b/>
            <sz val="9"/>
            <color indexed="81"/>
            <rFont val="Tahoma"/>
            <family val="2"/>
          </rPr>
          <t>Author:
Amount at table item 2 clause 30 of schedule 1 to ANTS(FA)A1999.
Figure represents a yearly amount.
Author:
Indexation base of $3.65 per 12 months. 
ANTS(FA)A1999 Schedule 4, Part 2, clause 3 Table item 9</t>
        </r>
      </text>
    </comment>
    <comment ref="F5" authorId="2" shapeId="0" xr:uid="{00000000-0006-0000-2B00-000009000000}">
      <text>
        <r>
          <rPr>
            <b/>
            <sz val="9"/>
            <color indexed="81"/>
            <rFont val="Tahoma"/>
            <family val="2"/>
          </rPr>
          <t>Author:
Figure represents a yearly amount.
Author:
Indexation base of $3.65 per 12 months. 
ANTS(FA)A1999 Schedule 4, Part 2, clause 3 Table item 9B
From 1 July 2014 rename Clean Energy Supplement to Energy Supplement.</t>
        </r>
      </text>
    </comment>
    <comment ref="M24" authorId="3" shapeId="0" xr:uid="{00000000-0006-0000-2B00-00000A000000}">
      <text>
        <r>
          <rPr>
            <b/>
            <sz val="9"/>
            <color indexed="81"/>
            <rFont val="Tahoma"/>
            <family val="2"/>
          </rPr>
          <t>Author:
Increased to $4,000 by the Family Assistance Legislation Amendment (More Help for Families - Increased Payments) Act 2004</t>
        </r>
      </text>
    </comment>
    <comment ref="N24" authorId="3" shapeId="0" xr:uid="{00000000-0006-0000-2B00-00000B000000}">
      <text>
        <r>
          <rPr>
            <b/>
            <sz val="9"/>
            <color indexed="81"/>
            <rFont val="Tahoma"/>
            <family val="2"/>
          </rPr>
          <t>Author:
Taper reduced to 20% by the Family Assistance Legislation Amendment (More Help for Families - Increased Payments) Act 2004</t>
        </r>
      </text>
    </comment>
    <comment ref="K52" authorId="3" shapeId="0" xr:uid="{00000000-0006-0000-2B00-00000C000000}">
      <text>
        <r>
          <rPr>
            <b/>
            <sz val="9"/>
            <color indexed="81"/>
            <rFont val="Tahoma"/>
            <family val="2"/>
          </rPr>
          <t>Author:
Indexation paused for 3 years in 2011-12 budget</t>
        </r>
      </text>
    </comment>
    <comment ref="K56" authorId="3" shapeId="0" xr:uid="{00000000-0006-0000-2B00-00000D000000}">
      <text>
        <r>
          <rPr>
            <b/>
            <sz val="9"/>
            <color indexed="81"/>
            <rFont val="Tahoma"/>
            <family val="2"/>
          </rPr>
          <t>Author:
Indexation paused for 3 years in 2011-12 budget</t>
        </r>
      </text>
    </comment>
    <comment ref="C60" authorId="3" shapeId="0" xr:uid="{00000000-0006-0000-2B00-00000E000000}">
      <text>
        <r>
          <rPr>
            <b/>
            <sz val="9"/>
            <color indexed="81"/>
            <rFont val="Tahoma"/>
            <family val="2"/>
          </rPr>
          <t>Author:
Indexation factor reduced by 0.007 as per clause 10 schedule 4 of A New Tax System (Family Assistance) Act 1999.</t>
        </r>
      </text>
    </comment>
    <comment ref="E60" authorId="3" shapeId="0" xr:uid="{00000000-0006-0000-2B00-00000F000000}">
      <text>
        <r>
          <rPr>
            <b/>
            <sz val="9"/>
            <color indexed="81"/>
            <rFont val="Tahoma"/>
            <family val="2"/>
          </rPr>
          <t>Author:
Indexation factor reduced by 0.007 as per clause 10 schedule 4 of A New Tax System (Family Assistance) Act 1999.</t>
        </r>
      </text>
    </comment>
    <comment ref="K60" authorId="3" shapeId="0" xr:uid="{00000000-0006-0000-2B00-000010000000}">
      <text>
        <r>
          <rPr>
            <b/>
            <sz val="9"/>
            <color indexed="81"/>
            <rFont val="Tahoma"/>
            <family val="2"/>
          </rPr>
          <t>Author:
Indexation paused for 3 years in 2011-12 budget</t>
        </r>
      </text>
    </comment>
    <comment ref="K64" authorId="1" shapeId="0" xr:uid="{00000000-0006-0000-2B00-000011000000}">
      <text>
        <r>
          <rPr>
            <b/>
            <sz val="9"/>
            <color indexed="81"/>
            <rFont val="Tahoma"/>
            <family val="2"/>
          </rPr>
          <t>Author:
2013-14 Budget :
Frozen at existing level until 1 July 2017.</t>
        </r>
      </text>
    </comment>
    <comment ref="O64" authorId="1" shapeId="0" xr:uid="{00000000-0006-0000-2B00-000012000000}">
      <text>
        <r>
          <rPr>
            <b/>
            <sz val="9"/>
            <color indexed="81"/>
            <rFont val="Tahoma"/>
            <family val="2"/>
          </rPr>
          <t>Author:
Budget 13-14 froze indexation at the current level until 1 July 2017.</t>
        </r>
      </text>
    </comment>
    <comment ref="C68" authorId="1" shapeId="0" xr:uid="{00000000-0006-0000-2B00-000013000000}">
      <text>
        <r>
          <rPr>
            <b/>
            <sz val="9"/>
            <color indexed="81"/>
            <rFont val="Tahoma"/>
            <family val="2"/>
          </rPr>
          <t>Author:
Budget 2014-15, BP2 (pg199) - Pause indexation of rates until 1 July 2016.
Author 14Jul15:
Legislation not passed so indexation has been applied and freeze delayed/extended by 1 year.</t>
        </r>
      </text>
    </comment>
    <comment ref="D68" authorId="1" shapeId="0" xr:uid="{00000000-0006-0000-2B00-000014000000}">
      <text>
        <r>
          <rPr>
            <b/>
            <sz val="9"/>
            <color indexed="81"/>
            <rFont val="Tahoma"/>
            <family val="2"/>
          </rPr>
          <t xml:space="preserve">Author:
Budget 2014-15, BP2 (pg191) - Cease Indexation of all CES payments. </t>
        </r>
      </text>
    </comment>
    <comment ref="E68" authorId="1" shapeId="0" xr:uid="{00000000-0006-0000-2B00-000015000000}">
      <text>
        <r>
          <rPr>
            <b/>
            <sz val="9"/>
            <color indexed="81"/>
            <rFont val="Tahoma"/>
            <family val="2"/>
          </rPr>
          <t>Author:
Budget 2014-15, BP2 (pg199) - Pause indexation of rates until 1 July 2016.
Author 14Jul15:
Legislation not passed so indexation has been applied and freeze delayed/extended by 1 year.</t>
        </r>
      </text>
    </comment>
    <comment ref="F68" authorId="1" shapeId="0" xr:uid="{00000000-0006-0000-2B00-000016000000}">
      <text>
        <r>
          <rPr>
            <b/>
            <sz val="9"/>
            <color indexed="81"/>
            <rFont val="Tahoma"/>
            <family val="2"/>
          </rPr>
          <t xml:space="preserve">Author:
Budget 2014-15, BP2 (pg191) - Cease Indexation of all CES payments. </t>
        </r>
      </text>
    </comment>
    <comment ref="K68" authorId="1" shapeId="0" xr:uid="{00000000-0006-0000-2B00-000017000000}">
      <text>
        <r>
          <rPr>
            <b/>
            <sz val="9"/>
            <color indexed="81"/>
            <rFont val="Tahoma"/>
            <family val="2"/>
          </rPr>
          <t>Author:
Budget 2014-15, BP2 (pg200) - Supplement reset to $300 annually per family, cease indexation, effective 1 July 2015.
Legislation not passed therefore pause delayed until 1 July 2016.</t>
        </r>
      </text>
    </comment>
    <comment ref="M68" authorId="1" shapeId="0" xr:uid="{00000000-0006-0000-2B00-000018000000}">
      <text>
        <r>
          <rPr>
            <b/>
            <sz val="9"/>
            <color indexed="81"/>
            <rFont val="Tahoma"/>
            <family val="2"/>
          </rPr>
          <t>Author:
Budget 2014-15, BP2 (p204) - pause indexation of eligibility thresholds until 1 July 2017.
Author 14Jul15:
Legislation not passed so indexation has been applied and freeze delayed/extended by 1 year.</t>
        </r>
      </text>
    </comment>
    <comment ref="O68" authorId="1" shapeId="0" xr:uid="{00000000-0006-0000-2B00-000019000000}">
      <text>
        <r>
          <rPr>
            <b/>
            <sz val="9"/>
            <color indexed="81"/>
            <rFont val="Tahoma"/>
            <family val="2"/>
          </rPr>
          <t>Author:
Budget 2014-15, BP2 (pg197) - Primary Income Earner limit reduced to $100k effective 1 July 2015.
Indexation: Paused indexation until 1 July 2017 due to point 7 of ‘Schedule 9 – Indexation’ in the ‘Social Services and Other Legislation Amendment Act 2014’ (link here: http://www.comlaw.gov.au/Details/C2014A00014).</t>
        </r>
      </text>
    </comment>
    <comment ref="C72" authorId="1" shapeId="0" xr:uid="{00000000-0006-0000-2B00-00001A000000}">
      <text>
        <r>
          <rPr>
            <b/>
            <sz val="9"/>
            <color indexed="81"/>
            <rFont val="Tahoma"/>
            <family val="2"/>
          </rPr>
          <t>Author:
MYEFO 2014-15, (pg195) - one year extension of indexation pause until 1 July 2017.
Author:
21 October 2015 announcement reversed the above unenacted 2014 Budget measure.</t>
        </r>
      </text>
    </comment>
    <comment ref="E72" authorId="1" shapeId="0" xr:uid="{00000000-0006-0000-2B00-00001B000000}">
      <text>
        <r>
          <rPr>
            <b/>
            <sz val="9"/>
            <color indexed="81"/>
            <rFont val="Tahoma"/>
            <family val="2"/>
          </rPr>
          <t>Author:
MYEFO 2014-15, (pg195) - one year extension of indexation pause until 1 July 2017
Author:
21 October 2015 announcement reversed the above unenacted 2014 Budget measure.</t>
        </r>
      </text>
    </comment>
    <comment ref="G72" authorId="1" shapeId="0" xr:uid="{00000000-0006-0000-2B00-00001C000000}">
      <text>
        <r>
          <rPr>
            <b/>
            <sz val="9"/>
            <color indexed="81"/>
            <rFont val="Tahoma"/>
            <family val="2"/>
          </rPr>
          <t xml:space="preserve">Author:
MYEFO 15-16, p11, "Family Payment Reform - a new families package".   
Please also see the Tsr press release on 2/10/2015 http://sjm.ministers.treasury.gov.au/media-release/007-2015/
THIS NOW HAS A START DATE OF 1 JULY 2017 AS ADVISED BY DSS. </t>
        </r>
      </text>
    </comment>
    <comment ref="H72" authorId="1" shapeId="0" xr:uid="{00000000-0006-0000-2B00-00001D000000}">
      <text>
        <r>
          <rPr>
            <b/>
            <sz val="9"/>
            <color indexed="81"/>
            <rFont val="Tahoma"/>
            <family val="2"/>
          </rPr>
          <t xml:space="preserve">Author:
MYEFO 15-16, p11, "Family Payment Reform - a new families package".   
Please also see the Tsr press release on 2/10/2015 http://sjm.ministers.treasury.gov.au/media-release/007-2015/
THIS NOW HAS A START DATE OF 1 JULY 2017 AS ADVISED BY DSS. </t>
        </r>
      </text>
    </comment>
    <comment ref="I72" authorId="1" shapeId="0" xr:uid="{00000000-0006-0000-2B00-00001E000000}">
      <text>
        <r>
          <rPr>
            <b/>
            <sz val="9"/>
            <color indexed="81"/>
            <rFont val="Tahoma"/>
            <family val="2"/>
          </rPr>
          <t xml:space="preserve">Author:
MYEFO 15-16, p11, "Family Payment Reform - a new families package".   
Please also see the Tsr press release on 2/10/2015 http://sjm.ministers.treasury.gov.au/media-release/007-2015/
THIS NOW HAS A START DATE OF 1 JULY 2017 AS ADVISED BY DSS. 
</t>
        </r>
      </text>
    </comment>
    <comment ref="J72" authorId="1" shapeId="0" xr:uid="{00000000-0006-0000-2B00-00001F000000}">
      <text>
        <r>
          <rPr>
            <b/>
            <sz val="9"/>
            <color indexed="81"/>
            <rFont val="Tahoma"/>
            <family val="2"/>
          </rPr>
          <t xml:space="preserve">Author:
MYEFO 15-16, p11, "Family Payment Reform - a new families package".   
Please also see the Tsr press release on 2/10/2015 http://sjm.ministers.treasury.gov.au/media-release/007-2015/
THIS NOW HAS A START DATE OF 1 JULY 2017 AS ADVISED BY DSS. </t>
        </r>
      </text>
    </comment>
    <comment ref="K72" authorId="4" shapeId="0" xr:uid="{00000000-0006-0000-2B00-000020000000}">
      <text>
        <r>
          <rPr>
            <b/>
            <sz val="9"/>
            <color indexed="81"/>
            <rFont val="Tahoma"/>
            <family val="2"/>
          </rPr>
          <t xml:space="preserve">Author:
Social Services Legislation Amendment (Family Payments and Structural Reform and Participation Measures) Bill 2015
JM 17/1/17:  Note that the DSS book still notes an end of year supplement of $354.
</t>
        </r>
      </text>
    </comment>
    <comment ref="L72" authorId="4" shapeId="0" xr:uid="{00000000-0006-0000-2B00-000021000000}">
      <text>
        <r>
          <rPr>
            <b/>
            <sz val="9"/>
            <color indexed="81"/>
            <rFont val="Tahoma"/>
            <family val="2"/>
          </rPr>
          <t>Author:
Social Services Legislation Amendment (Family Payments and Structural Reform and Participation Measures) Bill 2015</t>
        </r>
      </text>
    </comment>
    <comment ref="K73" authorId="1" shapeId="0" xr:uid="{00000000-0006-0000-2B00-000022000000}">
      <text>
        <r>
          <rPr>
            <b/>
            <sz val="9"/>
            <color indexed="81"/>
            <rFont val="Tahoma"/>
            <family val="2"/>
          </rPr>
          <t xml:space="preserve">Author:
bill is before parliament. </t>
        </r>
      </text>
    </comment>
    <comment ref="D75" authorId="5" shapeId="0" xr:uid="{00000000-0006-0000-2B00-000023000000}">
      <text>
        <r>
          <rPr>
            <b/>
            <sz val="9"/>
            <color indexed="81"/>
            <rFont val="Tahoma"/>
            <family val="2"/>
          </rPr>
          <t>Author:
Cease payment of FTB Energy Supplement amounts for new claimants from 20 September 2016 on 20 March 2017.
Legislated Budget Savings (Omnibus) Bill 2016.</t>
        </r>
      </text>
    </comment>
    <comment ref="F75" authorId="5" shapeId="0" xr:uid="{00000000-0006-0000-2B00-000024000000}">
      <text>
        <r>
          <rPr>
            <b/>
            <sz val="9"/>
            <color indexed="81"/>
            <rFont val="Tahoma"/>
            <family val="2"/>
          </rPr>
          <t>Author:
Cease payment of FTB Energy Supplement amounts for new claimants from 20 September 2016 on 20 March 2017.
Legislated Budget Savings (Omnibus) Bill 2016.</t>
        </r>
      </text>
    </comment>
    <comment ref="C76" authorId="6" shapeId="0" xr:uid="{00000000-0006-0000-2B00-000025000000}">
      <text>
        <r>
          <rPr>
            <b/>
            <sz val="9"/>
            <color indexed="81"/>
            <rFont val="Tahoma"/>
            <family val="2"/>
          </rPr>
          <t xml:space="preserve">Author:
Pause reinstated, Budget 2017-18
Author:
Freeze extended 1 year as legislation not passed for the 1 July 2015 freeze.
Author:
21 October 2015 announcement reversed the above unenacted 2014 Budget measure.
Author: 
Paused indexation for max rates of FTBA and FTBB from 1 July 2017 received royal assent on 12 April 2017 - see Social Services Legislation Amendment Bill 2017. </t>
        </r>
      </text>
    </comment>
    <comment ref="E76" authorId="6" shapeId="0" xr:uid="{00000000-0006-0000-2B00-000026000000}">
      <text>
        <r>
          <rPr>
            <b/>
            <sz val="9"/>
            <color indexed="81"/>
            <rFont val="Tahoma"/>
            <family val="2"/>
          </rPr>
          <t xml:space="preserve">Author:
Pause reinstated, Budget 2017-18
Author:
Freeze extended 1 year as legislation not passed for the 1 July 2015 freeze.
Author:
21 October 2015 announcement reversed the above unenacted 2014 Budget measure.
Author: 
Paused indexation for max rates of FTBA and FTBB from 1 July 2017 received royal assent on 12 April 2017 - see Social Services Legislation Amendment Bill 2017. </t>
        </r>
      </text>
    </comment>
    <comment ref="G76" authorId="1" shapeId="0" xr:uid="{00000000-0006-0000-2B00-000027000000}">
      <text>
        <r>
          <rPr>
            <b/>
            <sz val="9"/>
            <color indexed="81"/>
            <rFont val="Tahoma"/>
            <family val="2"/>
          </rPr>
          <t>Author: 
Policy not proceeding, 2017-18 Budget
Author:
Advised by DSS of delayed start date until 1 July 2017.
Author:
Advised by DSS that the 2017-18 rate for families with child &lt;1yr should be calculated as, std rate for &lt;5yo  PLUS $1,000.10 = total $5,124.60. 
Author:
The Budget Savings (Omnibus) Bill reversed the additional $1000.</t>
        </r>
      </text>
    </comment>
    <comment ref="H76" authorId="1" shapeId="0" xr:uid="{00000000-0006-0000-2B00-000028000000}">
      <text>
        <r>
          <rPr>
            <b/>
            <sz val="9"/>
            <color indexed="81"/>
            <rFont val="Tahoma"/>
            <family val="2"/>
          </rPr>
          <t>Author: 
Policy not proceeding, 2017-18 Budget
Author:
Advised by DSS of delayed start date until 1 July 2017.</t>
        </r>
      </text>
    </comment>
    <comment ref="I76" authorId="1" shapeId="0" xr:uid="{00000000-0006-0000-2B00-000029000000}">
      <text>
        <r>
          <rPr>
            <b/>
            <sz val="9"/>
            <color indexed="81"/>
            <rFont val="Tahoma"/>
            <family val="2"/>
          </rPr>
          <t>Author: 
Policy not proceeding, 2017-18 Budget
Author:
Advised by DSS of delayed start date until 1 July 2017.</t>
        </r>
      </text>
    </comment>
    <comment ref="J76" authorId="1" shapeId="0" xr:uid="{00000000-0006-0000-2B00-00002A000000}">
      <text>
        <r>
          <rPr>
            <b/>
            <sz val="9"/>
            <color indexed="81"/>
            <rFont val="Tahoma"/>
            <family val="2"/>
          </rPr>
          <t xml:space="preserve">Author: 
Policy not proceeding, 2017-18 Budget
Author:
Advised by DSS of delayed start date until 1 July 2017.
Author:
Advised by DSS that the 2016-17 amount of $1,000.10 (without indexation) should now apply from 1 July 2017. </t>
        </r>
      </text>
    </comment>
    <comment ref="K76" authorId="4" shapeId="0" xr:uid="{00000000-0006-0000-2B00-00002B000000}">
      <text>
        <r>
          <rPr>
            <b/>
            <sz val="9"/>
            <color indexed="81"/>
            <rFont val="Tahoma"/>
            <family val="2"/>
          </rPr>
          <t xml:space="preserve">Author: Policy decision reversed, Budget 2017-18
Author:
Social Services Legislation Amendment (Family Payments and Structural Reform and Participation Measures) Bill 2015
</t>
        </r>
      </text>
    </comment>
    <comment ref="L76" authorId="7" shapeId="0" xr:uid="{00000000-0006-0000-2B00-00002C000000}">
      <text>
        <r>
          <rPr>
            <b/>
            <sz val="9"/>
            <color indexed="81"/>
            <rFont val="Tahoma"/>
            <family val="2"/>
          </rPr>
          <t>Author: Policy decision reversed, Budget 2017-18</t>
        </r>
      </text>
    </comment>
    <comment ref="M76" authorId="1" shapeId="0" xr:uid="{00000000-0006-0000-2B00-00002D000000}">
      <text>
        <r>
          <rPr>
            <b/>
            <sz val="9"/>
            <color indexed="81"/>
            <rFont val="Tahoma"/>
            <family val="2"/>
          </rPr>
          <t xml:space="preserve">Author:
MYEFO 2014-15 (p195) indexation pause continues
Author:
21 October 2015 announcement reversed the above unenacted 2014 Budget measure.
Author:
21 October 2015 announcement reversed the above unenacted 2014 Budget measure.
</t>
        </r>
      </text>
    </comment>
    <comment ref="O76" authorId="1" shapeId="0" xr:uid="{00000000-0006-0000-2B00-00002E000000}">
      <text>
        <r>
          <rPr>
            <b/>
            <sz val="9"/>
            <color indexed="81"/>
            <rFont val="Tahoma"/>
            <family val="2"/>
          </rPr>
          <t>Author:
Indexation resumes.
Refer to ANTS(FA) Act 1999, Schedule 4, Part 2, section 3, sub clause 6B (under the table of CPI indexation). 
Author: 
Freeze extended until the end of 2019-20. See 2016-17 MYEFO 'Extending Existing Freezes on Certain Family Payment Thresholds'. This was part of the Budget Savings (Omnibus) Bill 2016. This received Royal Assent on 15 Sep 2016. 
Josiah Munro: 
Legislated Budget Savings (Omnibus) Bill 2016.</t>
        </r>
      </text>
    </comment>
    <comment ref="O88" authorId="8" shapeId="0" xr:uid="{00000000-0006-0000-2B00-00002F000000}">
      <text>
        <r>
          <rPr>
            <b/>
            <sz val="9"/>
            <color indexed="81"/>
            <rFont val="Tahoma"/>
            <family val="2"/>
          </rPr>
          <t xml:space="preserve">Author:
Indexation resumes on 1 July 2020. See 2016-17 MYEFO 'Extending Existing Freezes on Certain Family Payment Thresholds'. This was part of the Budget Savings (Omnibus) Bill 2016. This received Royal Assent on 15 Sep 2016. </t>
        </r>
      </text>
    </comment>
  </commentList>
</comments>
</file>

<file path=xl/comments45.xml><?xml version="1.0" encoding="utf-8"?>
<comments xmlns="http://schemas.openxmlformats.org/spreadsheetml/2006/main" xmlns:mc="http://schemas.openxmlformats.org/markup-compatibility/2006" xmlns:xr="http://schemas.microsoft.com/office/spreadsheetml/2014/revision" mc:Ignorable="xr">
  <authors>
    <author>Black, Belinda</author>
    <author>Li, Taike</author>
  </authors>
  <commentList>
    <comment ref="L2" authorId="0" shapeId="0" xr:uid="{00000000-0006-0000-2C00-000001000000}">
      <text>
        <r>
          <rPr>
            <b/>
            <sz val="9"/>
            <color indexed="81"/>
            <rFont val="Tahoma"/>
            <family val="2"/>
          </rPr>
          <t>Author:
Budget 2014-15, BP2 (pg199) - new allowance for single parents on max rate of FTBA whose youngest child is between 6-12 years old from the point when they become ineligible for FTBB - effective 1 July 2015.
The Bill introduced gives indexation on 1 July each yr with CPI, rounding base of $3.65/yr</t>
        </r>
      </text>
    </comment>
    <comment ref="O22" authorId="0" shapeId="0" xr:uid="{00000000-0006-0000-2C00-000002000000}">
      <text>
        <r>
          <rPr>
            <b/>
            <sz val="9"/>
            <color indexed="81"/>
            <rFont val="Tahoma"/>
            <family val="2"/>
          </rPr>
          <t>Author:
ANTS(FA)1999 - Schedule 1,Part4, Division 1, SubdivisionAA, Clause 28B</t>
        </r>
      </text>
    </comment>
    <comment ref="L24" authorId="1" shapeId="0" xr:uid="{00000000-0006-0000-2C00-000003000000}">
      <text>
        <r>
          <rPr>
            <b/>
            <sz val="9"/>
            <color indexed="81"/>
            <rFont val="Tahoma"/>
            <family val="2"/>
          </rPr>
          <t>Author:
Budget 2014-15, BP2 (pg199) - new allowance for single parents on max rate of FTBA whose youngest child is between 6-12 years old from the point when they become ineligible for FTBB - effective 1 July 2015.
Legislation not passed by 1 July 2015 therefore start date delayed until 1 July 2016.</t>
        </r>
      </text>
    </comment>
  </commentList>
</comments>
</file>

<file path=xl/comments46.xml><?xml version="1.0" encoding="utf-8"?>
<comments xmlns="http://schemas.openxmlformats.org/spreadsheetml/2006/main" xmlns:mc="http://schemas.openxmlformats.org/markup-compatibility/2006" xmlns:xr="http://schemas.microsoft.com/office/spreadsheetml/2014/revision" mc:Ignorable="xr">
  <authors>
    <author>Bott, Mark</author>
    <author>Bullen, Jared</author>
    <author>Li, Taike</author>
  </authors>
  <commentList>
    <comment ref="E2" authorId="0" shapeId="0" xr:uid="{00000000-0006-0000-2D00-000001000000}">
      <text>
        <r>
          <rPr>
            <b/>
            <sz val="9"/>
            <color indexed="81"/>
            <rFont val="Tahoma"/>
            <family val="2"/>
          </rPr>
          <t xml:space="preserve">Author:
If the family has an adjusted taxable income above this amount then baby bonus is not payable.
The policy was introduced on 1st January 2009. Previously the payment was universal.
See s36(2)(d) of ANTS(FA)A1999. Indexed by CPI each July as per table item 17AE in clause 3 of Schedule 4.
Figure represents an amount for the 6 months following the birth of a child or the child's entry into the family's primary care. 
</t>
        </r>
      </text>
    </comment>
    <comment ref="C4" authorId="0" shapeId="0" xr:uid="{00000000-0006-0000-2D00-000002000000}">
      <text>
        <r>
          <rPr>
            <b/>
            <sz val="9"/>
            <color indexed="81"/>
            <rFont val="Tahoma"/>
            <family val="2"/>
          </rPr>
          <t>Author:
This is the amount of baby bonus payable to the family for their first child.
See s66 ANTS(FA)A1999. Indexed by CPI each July as per table item 17AD in clause 3 of schedule 4. 
Figure represents a yearly amount.</t>
        </r>
      </text>
    </comment>
    <comment ref="D4" authorId="0" shapeId="0" xr:uid="{00000000-0006-0000-2D00-000003000000}">
      <text>
        <r>
          <rPr>
            <b/>
            <sz val="9"/>
            <color indexed="81"/>
            <rFont val="Tahoma"/>
            <family val="2"/>
          </rPr>
          <t>Author:
At MYEFO 2012-13 the Government introduced a reduced rate of baby bonus for children after the first.
See Family Assistance and Other Legislation Amendment Act 2013 (No. 70, 2013) to S66 ANTS(FA)A1999.
Figure represents a yearly amount.</t>
        </r>
      </text>
    </comment>
    <comment ref="C24" authorId="1" shapeId="0" xr:uid="{00000000-0006-0000-2D00-000004000000}">
      <text>
        <r>
          <rPr>
            <b/>
            <sz val="9"/>
            <color indexed="81"/>
            <rFont val="Tahoma"/>
            <family val="2"/>
          </rPr>
          <t>Author:
From 1 July 2004, this became Maternity Payment under the Family Assistance Legislation Amendment (More Help for Families - Increased Payments) Act 2004</t>
        </r>
      </text>
    </comment>
    <comment ref="C32" authorId="1" shapeId="0" xr:uid="{00000000-0006-0000-2D00-000005000000}">
      <text>
        <r>
          <rPr>
            <b/>
            <sz val="9"/>
            <color indexed="81"/>
            <rFont val="Tahoma"/>
            <family val="2"/>
          </rPr>
          <t>Author:
Maternity Payment increases to $4,000 on 1 July 2006 (unless it is already more than this as a result of indexation). It will increase again to $5,000 on 1 July 2008</t>
        </r>
      </text>
    </comment>
    <comment ref="C40" authorId="1" shapeId="0" xr:uid="{00000000-0006-0000-2D00-000006000000}">
      <text>
        <r>
          <rPr>
            <b/>
            <sz val="9"/>
            <color indexed="81"/>
            <rFont val="Tahoma"/>
            <family val="2"/>
          </rPr>
          <t>Author:
Maternity Payment increases to $5,000 on 1 July 2008 (unless it is already more than this as a result of indexation).</t>
        </r>
      </text>
    </comment>
    <comment ref="C56" authorId="1" shapeId="0" xr:uid="{00000000-0006-0000-2D00-000007000000}">
      <text>
        <r>
          <rPr>
            <b/>
            <sz val="9"/>
            <color indexed="81"/>
            <rFont val="Tahoma"/>
            <family val="2"/>
          </rPr>
          <t>Author:
MYEFO 2011-12. Indexation paused for three years. P.239</t>
        </r>
      </text>
    </comment>
    <comment ref="C57" authorId="1" shapeId="0" xr:uid="{00000000-0006-0000-2D00-000008000000}">
      <text>
        <r>
          <rPr>
            <b/>
            <sz val="9"/>
            <color indexed="81"/>
            <rFont val="Tahoma"/>
            <family val="2"/>
          </rPr>
          <t>Author:
MYEFO 2011-12, p.239
Baby bonus reset to $5,000.  Note this change is effective 1 September 2012.</t>
        </r>
      </text>
    </comment>
    <comment ref="D60" authorId="0" shapeId="0" xr:uid="{00000000-0006-0000-2D00-000009000000}">
      <text>
        <r>
          <rPr>
            <b/>
            <sz val="9"/>
            <color indexed="81"/>
            <rFont val="Tahoma"/>
            <family val="2"/>
          </rPr>
          <t>Author:
New policy begins here.</t>
        </r>
      </text>
    </comment>
    <comment ref="C63" authorId="2" shapeId="0" xr:uid="{00000000-0006-0000-2D00-00000A000000}">
      <text>
        <r>
          <rPr>
            <b/>
            <sz val="9"/>
            <color indexed="81"/>
            <rFont val="Tahoma"/>
            <family val="2"/>
          </rPr>
          <t xml:space="preserve">Author:
Budget 13-14 abolished Baby Bonus effective 1 March 2014. Replaced with Newborn Supplement and Newborn Upfront Payment in FTB-A and the Stillborn Baby Payment. </t>
        </r>
      </text>
    </comment>
    <comment ref="D63" authorId="2" shapeId="0" xr:uid="{00000000-0006-0000-2D00-00000B000000}">
      <text>
        <r>
          <rPr>
            <b/>
            <sz val="9"/>
            <color indexed="81"/>
            <rFont val="Tahoma"/>
            <family val="2"/>
          </rPr>
          <t xml:space="preserve">Author:
Budget 13-14 abolished Baby Bonus effective 1 March 2014. Replaced with Newborn Supplement and Newborn Upfront Payment in FTB-A and the Stillborn Baby Payment. </t>
        </r>
      </text>
    </comment>
    <comment ref="E63" authorId="2" shapeId="0" xr:uid="{00000000-0006-0000-2D00-00000C000000}">
      <text>
        <r>
          <rPr>
            <b/>
            <sz val="9"/>
            <color indexed="81"/>
            <rFont val="Tahoma"/>
            <family val="2"/>
          </rPr>
          <t xml:space="preserve">Author:
Budget 13-14 abolished Baby Bonus effective 1 March 2014. Replaced with Newborn Supplement and Newborn Upfront Payment in FTB-A and the Stillborn Baby Payment. </t>
        </r>
      </text>
    </comment>
  </commentList>
</comments>
</file>

<file path=xl/comments47.xml><?xml version="1.0" encoding="utf-8"?>
<comments xmlns="http://schemas.openxmlformats.org/spreadsheetml/2006/main" xmlns:mc="http://schemas.openxmlformats.org/markup-compatibility/2006" xmlns:xr="http://schemas.microsoft.com/office/spreadsheetml/2014/revision" mc:Ignorable="xr">
  <authors>
    <author>Bott, Mark</author>
    <author>Black, Belinda</author>
  </authors>
  <commentList>
    <comment ref="E2" authorId="0" shapeId="0" xr:uid="{00000000-0006-0000-2E00-000001000000}">
      <text>
        <r>
          <rPr>
            <b/>
            <sz val="9"/>
            <color indexed="81"/>
            <rFont val="Tahoma"/>
            <family val="2"/>
          </rPr>
          <t>Author:
If the family has an adjusted taxable income above this amount then baby bonus is not payable.
The policy was introduced on 1st January 2009. Previously the payment was universal.
See s36(2)(d) of ANTS(FA)A1999. Indexed by CPI each July as per table item 17AE in clause 3 of Schedule 4.</t>
        </r>
      </text>
    </comment>
    <comment ref="C4" authorId="0" shapeId="0" xr:uid="{00000000-0006-0000-2E00-000002000000}">
      <text>
        <r>
          <rPr>
            <b/>
            <sz val="9"/>
            <color indexed="81"/>
            <rFont val="Tahoma"/>
            <family val="2"/>
          </rPr>
          <t xml:space="preserve">Author:
This is the amount of baby bonus payable to the family for their first child.
See s66 ANTS(FA)A1999. Indexed by CPI each July as per table item 17AD in clause 3 of schedule 4. </t>
        </r>
      </text>
    </comment>
    <comment ref="D4" authorId="0" shapeId="0" xr:uid="{00000000-0006-0000-2E00-000003000000}">
      <text>
        <r>
          <rPr>
            <b/>
            <sz val="9"/>
            <color indexed="81"/>
            <rFont val="Tahoma"/>
            <family val="2"/>
          </rPr>
          <t>Author:
At MYEFO 2012-13 the Government introduced a reduced rate of baby bonus for children after the first.
See Family Assistance and Other Legislation Amendment Act 2013 (No. 70, 2013) to S66 ANTS(FA)A1999.</t>
        </r>
      </text>
    </comment>
    <comment ref="C21" authorId="1" shapeId="0" xr:uid="{00000000-0006-0000-2E00-000004000000}">
      <text>
        <r>
          <rPr>
            <b/>
            <sz val="9"/>
            <color indexed="81"/>
            <rFont val="Tahoma"/>
            <family val="2"/>
          </rPr>
          <t>Author:
Budget 13-14. Baby Bonus abolished 1 March 2014.  Replaced with Newborn Supplement in FTB-A. 
Author: Formula not used because payment is for the whole amount, not part of the year amount (ie if baby is born before 1 March 2014, family gets baby bonus amount; if born after 1 March 2014, family gets newborn supplement). For 2013-14, assume all babies born before 1 March 2014, so will get baby bonus.</t>
        </r>
      </text>
    </comment>
    <comment ref="D21" authorId="1" shapeId="0" xr:uid="{00000000-0006-0000-2E00-000005000000}">
      <text>
        <r>
          <rPr>
            <b/>
            <sz val="9"/>
            <color indexed="81"/>
            <rFont val="Tahoma"/>
            <family val="2"/>
          </rPr>
          <t>Author:
Budget 13-14. Baby Bonus abolished 1 March 2014.  Replaced with Newborn Supplement in FTB-A. 
Author: Formula not used because payment is for the whole amount, not part of the year amount (ie if baby is born before 1 March 2014, family gets baby bonus amount; if born after 1 March 2014, family gets newborn supplement). For 2013-14, assume all babies born before 1 March 2014, so will get baby bonus.</t>
        </r>
      </text>
    </comment>
    <comment ref="E21" authorId="1" shapeId="0" xr:uid="{00000000-0006-0000-2E00-000006000000}">
      <text>
        <r>
          <rPr>
            <b/>
            <sz val="9"/>
            <color indexed="81"/>
            <rFont val="Tahoma"/>
            <family val="2"/>
          </rPr>
          <t>Author:
Budget 13-14. Baby Bonus abolished 1 March 2014.  Replaced with Newborn Supplement in FTB-A. 
Author: Formula not used because payment is for the whole amount, not part of the year amount (ie if baby is born before 1 March 2014, family gets baby bonus amount; if born after 1 March 2014, family gets newborn supplement). For 2013-14, assume all babies born before 1 March 2014, so will get baby bonus.</t>
        </r>
      </text>
    </comment>
    <comment ref="C22" authorId="1" shapeId="0" xr:uid="{00000000-0006-0000-2E00-000007000000}">
      <text>
        <r>
          <rPr>
            <b/>
            <sz val="9"/>
            <color indexed="81"/>
            <rFont val="Tahoma"/>
            <family val="2"/>
          </rPr>
          <t xml:space="preserve">Author:
Budget 13-14 abolished Baby Bonus effective 1 March 2014. Replaced with Newborn Supplement and Newborn Upfront Payment in FTB-A and the Stillborn Baby Payment. </t>
        </r>
      </text>
    </comment>
    <comment ref="D22" authorId="1" shapeId="0" xr:uid="{00000000-0006-0000-2E00-000008000000}">
      <text>
        <r>
          <rPr>
            <b/>
            <sz val="9"/>
            <color indexed="81"/>
            <rFont val="Tahoma"/>
            <family val="2"/>
          </rPr>
          <t xml:space="preserve">Author:
Budget 13-14 abolished Baby Bonus effective 1 March 2014. Replaced with Newborn Supplement and Newborn Upfront Payment in FTB-A and the Stillborn Baby Payment. </t>
        </r>
      </text>
    </comment>
    <comment ref="E22" authorId="1" shapeId="0" xr:uid="{00000000-0006-0000-2E00-000009000000}">
      <text>
        <r>
          <rPr>
            <b/>
            <sz val="9"/>
            <color indexed="81"/>
            <rFont val="Tahoma"/>
            <family val="2"/>
          </rPr>
          <t xml:space="preserve">Author:
Budget 13-14 abolished Baby Bonus effective 1 March 2014. Replaced with Newborn Supplement and Newborn Upfront Payment in FTB-A and the Stillborn Baby Payment. </t>
        </r>
      </text>
    </comment>
  </commentList>
</comments>
</file>

<file path=xl/comments48.xml><?xml version="1.0" encoding="utf-8"?>
<comments xmlns="http://schemas.openxmlformats.org/spreadsheetml/2006/main" xmlns:mc="http://schemas.openxmlformats.org/markup-compatibility/2006" xmlns:xr="http://schemas.microsoft.com/office/spreadsheetml/2014/revision" mc:Ignorable="xr">
  <authors>
    <author>Black, Belinda</author>
    <author>Bott, Mark</author>
    <author>Thompson, Alyse</author>
  </authors>
  <commentList>
    <comment ref="C2" authorId="0" shapeId="0" xr:uid="{00000000-0006-0000-2F00-000001000000}">
      <text>
        <r>
          <rPr>
            <b/>
            <sz val="9"/>
            <color indexed="81"/>
            <rFont val="Tahoma"/>
            <family val="2"/>
          </rPr>
          <t>Author:
Repeal of MRRT (Sept 2014) - $100k income threshold effective immediately.
Leg ref: Minerals Resources Rent Tax Repeal and Other Measures Act 2014   Schedule 9, Part 1A</t>
        </r>
      </text>
    </comment>
    <comment ref="D2" authorId="1" shapeId="0" xr:uid="{00000000-0006-0000-2F00-000002000000}">
      <text>
        <r>
          <rPr>
            <b/>
            <sz val="9"/>
            <color indexed="81"/>
            <rFont val="Tahoma"/>
            <family val="2"/>
          </rPr>
          <t xml:space="preserve">Author:
This transfer payment replaced the Educatiuon tax refund from 2012-13. Parameter is amount of school kids bonus payable each six months.
Amount from s65A ANTS(FA)A1999.
Indexed by CPI on 1 July each year as per table items 17AB and 17AC in clause 3 of Schedule 4 to the act.
Figures represent annual amounts.
Author:
Rounding Base of $1.00 per 12 months. 
</t>
        </r>
      </text>
    </comment>
    <comment ref="D4" authorId="0" shapeId="0" xr:uid="{00000000-0006-0000-2F00-000003000000}">
      <text>
        <r>
          <rPr>
            <b/>
            <sz val="9"/>
            <color indexed="81"/>
            <rFont val="Tahoma"/>
            <family val="2"/>
          </rPr>
          <t xml:space="preserve">Author:
Repeal of MRRT - repeal of SKB effective 31/12/2016
SKB is in annual amounts below - paid in two equal installments in January and July. </t>
        </r>
      </text>
    </comment>
    <comment ref="E4" authorId="0" shapeId="0" xr:uid="{00000000-0006-0000-2F00-000004000000}">
      <text>
        <r>
          <rPr>
            <b/>
            <sz val="9"/>
            <color indexed="81"/>
            <rFont val="Tahoma"/>
            <family val="2"/>
          </rPr>
          <t xml:space="preserve">Author:
Repeal of MRRT - repeal of SKB effective 31/12/2016
SKB is in annual amounts below - paid in two equal installments in January and July. </t>
        </r>
      </text>
    </comment>
    <comment ref="D56" authorId="2" shapeId="0" xr:uid="{00000000-0006-0000-2F00-000005000000}">
      <text>
        <r>
          <rPr>
            <sz val="9"/>
            <color indexed="81"/>
            <rFont val="Tahoma"/>
            <family val="2"/>
          </rPr>
          <t>The SchoolKids Bonus did not start until 1 January 2013, however, there was a bring forward of the Education Tax Refund and the characteristics of the payment were more similar to the SKB than the ETR so for modelling purposes it has been classified as SKB for this period.</t>
        </r>
      </text>
    </comment>
    <comment ref="E56" authorId="2" shapeId="0" xr:uid="{00000000-0006-0000-2F00-000006000000}">
      <text>
        <r>
          <rPr>
            <b/>
            <sz val="9"/>
            <color indexed="81"/>
            <rFont val="Tahoma"/>
            <family val="2"/>
          </rPr>
          <t>Author:
The SchoolKids Bonus did not start until 1 January 2013, however, there was a bring forward of the Education Tax Refund and the characteristics of the payment were more similar to the SKB than the ETR so for modelling purposes it has been classified as SKB for this period.</t>
        </r>
      </text>
    </comment>
    <comment ref="D64" authorId="1" shapeId="0" xr:uid="{00000000-0006-0000-2F00-000007000000}">
      <text>
        <r>
          <rPr>
            <b/>
            <sz val="9"/>
            <color indexed="81"/>
            <rFont val="Tahoma"/>
            <family val="2"/>
          </rPr>
          <t>Author:
Indexation begins 1 July 2014</t>
        </r>
      </text>
    </comment>
    <comment ref="E64" authorId="1" shapeId="0" xr:uid="{00000000-0006-0000-2F00-000008000000}">
      <text>
        <r>
          <rPr>
            <b/>
            <sz val="9"/>
            <color indexed="81"/>
            <rFont val="Tahoma"/>
            <family val="2"/>
          </rPr>
          <t>Author:
Indexation begins 1 July 2014</t>
        </r>
      </text>
    </comment>
    <comment ref="C66" authorId="0" shapeId="0" xr:uid="{00000000-0006-0000-2F00-000009000000}">
      <text>
        <r>
          <rPr>
            <b/>
            <sz val="9"/>
            <color indexed="81"/>
            <rFont val="Tahoma"/>
            <family val="2"/>
          </rPr>
          <t>Author:
Repeal of MRRT (Sept 2014) - $100k income threshold effective immediately.
Leg Ref: 
Minerals Resources Rent Tax Repeal and Other Measures Act 2014 Schedule 9, Part 1A</t>
        </r>
      </text>
    </comment>
    <comment ref="D71" authorId="0" shapeId="0" xr:uid="{00000000-0006-0000-2F00-00000A000000}">
      <text>
        <r>
          <rPr>
            <b/>
            <sz val="9"/>
            <color indexed="81"/>
            <rFont val="Tahoma"/>
            <family val="2"/>
          </rPr>
          <t>Author:
Repeal of MRRT - repeal of SKB effective 31/12/2016
Leg Ref: 
Minerals Resources Rent Tax Repeal and Other Measures Act 2014 Schedule 9, Part 1 
The final instalment will be paid in July 2016.</t>
        </r>
      </text>
    </comment>
    <comment ref="E71" authorId="0" shapeId="0" xr:uid="{00000000-0006-0000-2F00-00000B000000}">
      <text>
        <r>
          <rPr>
            <b/>
            <sz val="9"/>
            <color indexed="81"/>
            <rFont val="Tahoma"/>
            <family val="2"/>
          </rPr>
          <t>Author:
Repeal of MRRT - repeal of SKB effective 31/12/2016
Leg Ref: 
Minerals Resources Rent Tax Repeal and Other Measures Act 2014 Schedule 9, Part 1 
The final instalment will be paid in July 2016.</t>
        </r>
      </text>
    </comment>
    <comment ref="D72" authorId="0" shapeId="0" xr:uid="{00000000-0006-0000-2F00-00000C000000}">
      <text>
        <r>
          <rPr>
            <b/>
            <sz val="9"/>
            <color indexed="81"/>
            <rFont val="Tahoma"/>
            <family val="2"/>
          </rPr>
          <t xml:space="preserve">Author:
SKB removed from DSS Payment Guide booklet  - retained value as final payment is being made in July.  
https://www.humanservices.gov.au/customer/services/centrelink/schoolkids-bonus </t>
        </r>
      </text>
    </comment>
    <comment ref="E72" authorId="0" shapeId="0" xr:uid="{00000000-0006-0000-2F00-00000D000000}">
      <text>
        <r>
          <rPr>
            <b/>
            <sz val="9"/>
            <color indexed="81"/>
            <rFont val="Tahoma"/>
            <family val="2"/>
          </rPr>
          <t xml:space="preserve">Author:
SKB removed from DSS Payment Guide booklet
- retained value as final payment is being made in July.  
https://www.humanservices.gov.au/customer/services/centrelink/schoolkids-bonus 
</t>
        </r>
      </text>
    </comment>
  </commentList>
</comments>
</file>

<file path=xl/comments49.xml><?xml version="1.0" encoding="utf-8"?>
<comments xmlns="http://schemas.openxmlformats.org/spreadsheetml/2006/main" xmlns:mc="http://schemas.openxmlformats.org/markup-compatibility/2006" xmlns:xr="http://schemas.microsoft.com/office/spreadsheetml/2014/revision" mc:Ignorable="xr">
  <authors>
    <author>Black, Belinda</author>
    <author>Stacey, Emma</author>
  </authors>
  <commentList>
    <comment ref="C2" authorId="0" shapeId="0" xr:uid="{00000000-0006-0000-3000-000001000000}">
      <text>
        <r>
          <rPr>
            <b/>
            <sz val="9"/>
            <color indexed="81"/>
            <rFont val="Tahoma"/>
            <family val="2"/>
          </rPr>
          <t>Author:
Repeal of MRRT (Sept 2014) - $100k income threshold effective immediately.</t>
        </r>
      </text>
    </comment>
    <comment ref="D2" authorId="1" shapeId="0" xr:uid="{00000000-0006-0000-3000-000002000000}">
      <text>
        <r>
          <rPr>
            <b/>
            <sz val="9"/>
            <color indexed="81"/>
            <rFont val="Tahoma"/>
            <family val="2"/>
          </rPr>
          <t xml:space="preserve">Author:
This transfer payment replaced the Educatiuon tax refund from 2012-13. Parameter is amount of school kids bonus payable each six months.
Amount from s65A ANTS(FA)A1999.
Indexed by CPI on 1 July each year as per table items 17AB and 17AC in clause 3 of Schedule 4 to the act.
Figures represent annual amounts.
</t>
        </r>
      </text>
    </comment>
    <comment ref="D4" authorId="0" shapeId="0" xr:uid="{00000000-0006-0000-3000-000003000000}">
      <text>
        <r>
          <rPr>
            <b/>
            <sz val="9"/>
            <color indexed="81"/>
            <rFont val="Tahoma"/>
            <family val="2"/>
          </rPr>
          <t>Author:
Repeal of MRRT - repeal of SKB effective 31/12/2016</t>
        </r>
      </text>
    </comment>
    <comment ref="E4" authorId="0" shapeId="0" xr:uid="{00000000-0006-0000-3000-000004000000}">
      <text>
        <r>
          <rPr>
            <b/>
            <sz val="9"/>
            <color indexed="81"/>
            <rFont val="Tahoma"/>
            <family val="2"/>
          </rPr>
          <t>Author:
Repeal of MRRT - repeal of SKB effective 31/12/2016</t>
        </r>
      </text>
    </comment>
    <comment ref="C22" authorId="0" shapeId="0" xr:uid="{00000000-0006-0000-3000-000005000000}">
      <text>
        <r>
          <rPr>
            <b/>
            <sz val="9"/>
            <color indexed="81"/>
            <rFont val="Tahoma"/>
            <family val="2"/>
          </rPr>
          <t>Author:
Repeal of MRRT (Sept 2014) - $100k income threshold effective immediately.</t>
        </r>
      </text>
    </comment>
  </commentList>
</comments>
</file>

<file path=xl/comments50.xml><?xml version="1.0" encoding="utf-8"?>
<comments xmlns="http://schemas.openxmlformats.org/spreadsheetml/2006/main" xmlns:mc="http://schemas.openxmlformats.org/markup-compatibility/2006" xmlns:xr="http://schemas.microsoft.com/office/spreadsheetml/2014/revision" mc:Ignorable="xr">
  <authors>
    <author>Bott, Mark</author>
    <author>Ledda, Daniel</author>
    <author>Smith, Leif</author>
  </authors>
  <commentList>
    <comment ref="C2" authorId="0" shapeId="0" xr:uid="{00000000-0006-0000-3100-000001000000}">
      <text>
        <r>
          <rPr>
            <b/>
            <sz val="9"/>
            <color indexed="81"/>
            <rFont val="Tahoma"/>
            <family val="2"/>
          </rPr>
          <t xml:space="preserve">Author:
This is the maximum rate of SIFS that a family can receive.
This is the amount at steps 4 and 5 of the method statement at s84G(4) of ANTS(FA)A1999. 
Figure represents a yearly amount.
Author:
This is a fixed figure and has no indexation. </t>
        </r>
      </text>
    </comment>
    <comment ref="D3" authorId="0" shapeId="0" xr:uid="{00000000-0006-0000-3100-000002000000}">
      <text>
        <r>
          <rPr>
            <b/>
            <sz val="9"/>
            <color indexed="81"/>
            <rFont val="Tahoma"/>
            <family val="2"/>
          </rPr>
          <t>Author:
Minimum income at which a family can receive any SIFS. 
Thereshold at step two of the method statement in s84G(4) ANTS(FA)A1999.  
Figure represents a yearly amount.
Author:
This is a fixed figure and has no indexation</t>
        </r>
      </text>
    </comment>
    <comment ref="E3" authorId="0" shapeId="0" xr:uid="{00000000-0006-0000-3100-000003000000}">
      <text>
        <r>
          <rPr>
            <b/>
            <sz val="9"/>
            <color indexed="81"/>
            <rFont val="Tahoma"/>
            <family val="2"/>
          </rPr>
          <t xml:space="preserve">Author:
Marginal rate at which SIFS liability increases for income over the phase in threshold.
Factor at step three in the method statement in s84G(4) ANTS(FA)A1999.
</t>
        </r>
      </text>
    </comment>
    <comment ref="F3" authorId="0" shapeId="0" xr:uid="{00000000-0006-0000-3100-000004000000}">
      <text>
        <r>
          <rPr>
            <b/>
            <sz val="9"/>
            <color indexed="81"/>
            <rFont val="Tahoma"/>
            <family val="2"/>
          </rPr>
          <t>Author:
SIFS entitlement is below maximum after income exceeds this threshold.
Amout at step 5(b) of method statement at s84G(4) ANTS(FA)1999. 
Figure represents a yearly amount.
Author:
This is a fixed figure and has no indexation</t>
        </r>
      </text>
    </comment>
    <comment ref="G3" authorId="0" shapeId="0" xr:uid="{00000000-0006-0000-3100-000005000000}">
      <text>
        <r>
          <rPr>
            <b/>
            <sz val="9"/>
            <color indexed="81"/>
            <rFont val="Tahoma"/>
            <family val="2"/>
          </rPr>
          <t>Author:
Marginal rate at which SIFS is decreased for (primary earner) income above the phase out threshold.
Amount at step 5(b) in the method statement at s84G(4) ANTS(FA)A1999.</t>
        </r>
      </text>
    </comment>
    <comment ref="I3" authorId="0" shapeId="0" xr:uid="{00000000-0006-0000-3100-000006000000}">
      <text>
        <r>
          <rPr>
            <b/>
            <sz val="9"/>
            <color indexed="81"/>
            <rFont val="Tahoma"/>
            <family val="2"/>
          </rPr>
          <t>Author:
For couples, the SIFS entitlement is reduced if the secondary earner has an income above this threshold.
Amount at step eight in the method statement in s84G(4) ANTS(FA)A1999.
Figure represents a yearly amount.
Author:
This is a fixed figure and has no indexation</t>
        </r>
      </text>
    </comment>
    <comment ref="J3" authorId="0" shapeId="0" xr:uid="{00000000-0006-0000-3100-000007000000}">
      <text>
        <r>
          <rPr>
            <b/>
            <sz val="9"/>
            <color indexed="81"/>
            <rFont val="Tahoma"/>
            <family val="2"/>
          </rPr>
          <t>Author:
For every dollar of secondary earner income above the free area, the SIFS entitlement is reduced by this amount.
Amount at step eight in the method statement in s84G(4) ANTS(FA)A1999.</t>
        </r>
      </text>
    </comment>
    <comment ref="C74" authorId="1" shapeId="0" xr:uid="{00000000-0006-0000-3100-000008000000}">
      <text>
        <r>
          <rPr>
            <b/>
            <sz val="9"/>
            <color indexed="81"/>
            <rFont val="Tahoma"/>
            <family val="2"/>
          </rPr>
          <t xml:space="preserve">Author:
Budget 2016-17 - SIFS to be removed with grandfathering from 01/07/2017.
Grandfathering not modelled in CAPITA - instead removed completely in code.  
See Budget 2016-17, BP2 (pg 143) - National Disability Insurance Scheme Savings Fund - removal of carbon tax compensation. </t>
        </r>
      </text>
    </comment>
    <comment ref="C75" authorId="2" shapeId="0" xr:uid="{00000000-0006-0000-3100-000009000000}">
      <text>
        <r>
          <rPr>
            <b/>
            <sz val="9"/>
            <color indexed="81"/>
            <rFont val="Tahoma"/>
            <family val="2"/>
          </rPr>
          <t>Author:
Cease payment of the Single Income Family Supplement amounts for new claimants from 1 July 2017.
Measure was passed as part of the Budget Savings (Omnibus) Bill 2016.</t>
        </r>
      </text>
    </comment>
  </commentList>
</comments>
</file>

<file path=xl/comments51.xml><?xml version="1.0" encoding="utf-8"?>
<comments xmlns="http://schemas.openxmlformats.org/spreadsheetml/2006/main" xmlns:mc="http://schemas.openxmlformats.org/markup-compatibility/2006" xmlns:xr="http://schemas.microsoft.com/office/spreadsheetml/2014/revision" mc:Ignorable="xr">
  <authors>
    <author>Bott, Mark</author>
  </authors>
  <commentList>
    <comment ref="C2" authorId="0" shapeId="0" xr:uid="{00000000-0006-0000-3200-000001000000}">
      <text>
        <r>
          <rPr>
            <b/>
            <sz val="9"/>
            <color indexed="81"/>
            <rFont val="Tahoma"/>
            <family val="2"/>
          </rPr>
          <t xml:space="preserve">Author:
This is the maximum rate of SIFS that a family can receive.
This is the amount at steps 4 and 5 of the method statement at s84G(4) of ANTS(FA)A1999. </t>
        </r>
      </text>
    </comment>
    <comment ref="D3" authorId="0" shapeId="0" xr:uid="{00000000-0006-0000-3200-000002000000}">
      <text>
        <r>
          <rPr>
            <b/>
            <sz val="9"/>
            <color indexed="81"/>
            <rFont val="Tahoma"/>
            <family val="2"/>
          </rPr>
          <t xml:space="preserve">Author:
Minimum income at which a family can receive any SIFS. 
Thereshold at step two of the method statement in s84G(4) ANTS(FA)A1999.  </t>
        </r>
      </text>
    </comment>
    <comment ref="E3" authorId="0" shapeId="0" xr:uid="{00000000-0006-0000-3200-000003000000}">
      <text>
        <r>
          <rPr>
            <b/>
            <sz val="9"/>
            <color indexed="81"/>
            <rFont val="Tahoma"/>
            <family val="2"/>
          </rPr>
          <t>Author:
Marginal rate at which SIFS liability increases for income over the phase in threshold.
Factor at step three in the method statement in s84G(4) ANTS(FA)A1999.</t>
        </r>
      </text>
    </comment>
    <comment ref="F3" authorId="0" shapeId="0" xr:uid="{00000000-0006-0000-3200-000004000000}">
      <text>
        <r>
          <rPr>
            <b/>
            <sz val="9"/>
            <color indexed="81"/>
            <rFont val="Tahoma"/>
            <family val="2"/>
          </rPr>
          <t xml:space="preserve">Author:
SIFS entitlement is below maximum after income exceeds this threshold.
Amout at step 5(b) of method statement at s84G(4) ANTS(FA)1999. </t>
        </r>
      </text>
    </comment>
    <comment ref="G3" authorId="0" shapeId="0" xr:uid="{00000000-0006-0000-3200-000005000000}">
      <text>
        <r>
          <rPr>
            <b/>
            <sz val="9"/>
            <color indexed="81"/>
            <rFont val="Tahoma"/>
            <family val="2"/>
          </rPr>
          <t>Author:
Marginal rate at which SIFS is decreased for (primary earner) income above the phase out threshold.
Amount at step 5(b) in the method statement at s84G(4) ANTS(FA)A1999.</t>
        </r>
      </text>
    </comment>
    <comment ref="I3" authorId="0" shapeId="0" xr:uid="{00000000-0006-0000-3200-000006000000}">
      <text>
        <r>
          <rPr>
            <b/>
            <sz val="9"/>
            <color indexed="81"/>
            <rFont val="Tahoma"/>
            <family val="2"/>
          </rPr>
          <t>Author:
For couples, the SIFS entitlement is reduced if the secondary earner has an income above this threshold.
Amount at step eight in the method statement in s84G(4) ANTS(FA)A1999.</t>
        </r>
      </text>
    </comment>
    <comment ref="J3" authorId="0" shapeId="0" xr:uid="{00000000-0006-0000-3200-000007000000}">
      <text>
        <r>
          <rPr>
            <b/>
            <sz val="9"/>
            <color indexed="81"/>
            <rFont val="Tahoma"/>
            <family val="2"/>
          </rPr>
          <t>Author:
For every dollar of secondary earner income above the free area, the SIFS entitlement is reduced by this amount.
Amount at step eight in the method statement in s84G(4) ANTS(FA)A1999.</t>
        </r>
      </text>
    </comment>
  </commentList>
</comments>
</file>

<file path=xl/comments52.xml><?xml version="1.0" encoding="utf-8"?>
<comments xmlns="http://schemas.openxmlformats.org/spreadsheetml/2006/main" xmlns:mc="http://schemas.openxmlformats.org/markup-compatibility/2006" xmlns:xr="http://schemas.microsoft.com/office/spreadsheetml/2014/revision" mc:Ignorable="xr">
  <authors>
    <author>Bott, Mark</author>
    <author>Bullen, Jared</author>
    <author>Ledda, Daniel</author>
    <author>Kowcza, Jarek</author>
  </authors>
  <commentList>
    <comment ref="D1" authorId="0" shapeId="0" xr:uid="{00000000-0006-0000-3300-000001000000}">
      <text>
        <r>
          <rPr>
            <b/>
            <sz val="9"/>
            <color indexed="81"/>
            <rFont val="Tahoma"/>
            <family val="2"/>
          </rPr>
          <t>Author:
Below this amount, no tax is payable by resident tax payers.
See schedule 7 to Income Tax Rates Act 1986.
These are stated in annual amounts.</t>
        </r>
      </text>
    </comment>
    <comment ref="E1" authorId="0" shapeId="0" xr:uid="{00000000-0006-0000-3300-000002000000}">
      <text>
        <r>
          <rPr>
            <b/>
            <sz val="9"/>
            <color indexed="81"/>
            <rFont val="Tahoma"/>
            <family val="2"/>
          </rPr>
          <t xml:space="preserve">Author:
This is the rate of tax payable on income above the first threshold and below the second for resident taxpayers, and all income below the second threshold for non resident taxpayers.
See schedule 7 to Income Tax Rates Act 1986.
</t>
        </r>
      </text>
    </comment>
    <comment ref="F1" authorId="0" shapeId="0" xr:uid="{00000000-0006-0000-3300-000003000000}">
      <text>
        <r>
          <rPr>
            <b/>
            <sz val="9"/>
            <color indexed="81"/>
            <rFont val="Tahoma"/>
            <family val="2"/>
          </rPr>
          <t>Author:
Marginal rate of tax increases for taxable income above this amount.
See schedule 7 to Income Tax Rates Act 1986.
These are stated in annual amounts.</t>
        </r>
      </text>
    </comment>
    <comment ref="G1" authorId="0" shapeId="0" xr:uid="{00000000-0006-0000-3300-000004000000}">
      <text>
        <r>
          <rPr>
            <b/>
            <sz val="9"/>
            <color indexed="81"/>
            <rFont val="Tahoma"/>
            <family val="2"/>
          </rPr>
          <t xml:space="preserve">Author:
This is the rate of tax payable on taxable income above the second threshold and below the third for individual taxpayers.
See schedule 7 to Income Tax Rates Act 1986.
</t>
        </r>
      </text>
    </comment>
    <comment ref="H1" authorId="0" shapeId="0" xr:uid="{00000000-0006-0000-3300-000005000000}">
      <text>
        <r>
          <rPr>
            <b/>
            <sz val="9"/>
            <color indexed="81"/>
            <rFont val="Tahoma"/>
            <family val="2"/>
          </rPr>
          <t>Author:
Marginal rate of tax increases for taxable income above this amount.
See schedule 7 to Income Tax Rates Act 1986.
These are stated in annual amounts.</t>
        </r>
      </text>
    </comment>
    <comment ref="I1" authorId="0" shapeId="0" xr:uid="{00000000-0006-0000-3300-000006000000}">
      <text>
        <r>
          <rPr>
            <b/>
            <sz val="9"/>
            <color indexed="81"/>
            <rFont val="Tahoma"/>
            <family val="2"/>
          </rPr>
          <t xml:space="preserve">Author:
This is the rate of tax payable on taxable income above the third threshold and below the fourth for individual taxpayers.
See schedule 7 to Income Tax Rates Act 1986.
</t>
        </r>
      </text>
    </comment>
    <comment ref="J1" authorId="0" shapeId="0" xr:uid="{00000000-0006-0000-3300-000007000000}">
      <text>
        <r>
          <rPr>
            <b/>
            <sz val="9"/>
            <color indexed="81"/>
            <rFont val="Tahoma"/>
            <family val="2"/>
          </rPr>
          <t>Author:
Marginal rate of tax increases for taxable income above this amount.
See schedule 7 to Income Tax Rates Act 1986.
These are stated in annual amounts.</t>
        </r>
      </text>
    </comment>
    <comment ref="K1" authorId="0" shapeId="0" xr:uid="{00000000-0006-0000-3300-000008000000}">
      <text>
        <r>
          <rPr>
            <b/>
            <sz val="9"/>
            <color indexed="81"/>
            <rFont val="Tahoma"/>
            <family val="2"/>
          </rPr>
          <t>Author:
This is the rate of tax payable by individuals on taxable income above the fourth threshold.
See schedule 7 to Income Tax Rates Act 1986.</t>
        </r>
      </text>
    </comment>
    <comment ref="H14" authorId="1" shapeId="0" xr:uid="{00000000-0006-0000-3300-000009000000}">
      <text>
        <r>
          <rPr>
            <b/>
            <sz val="9"/>
            <color indexed="81"/>
            <rFont val="Tahoma"/>
            <family val="2"/>
          </rPr>
          <t>Author:
Changed on 23 May 06</t>
        </r>
      </text>
    </comment>
    <comment ref="I14" authorId="1" shapeId="0" xr:uid="{00000000-0006-0000-3300-00000A000000}">
      <text>
        <r>
          <rPr>
            <b/>
            <sz val="9"/>
            <color indexed="81"/>
            <rFont val="Tahoma"/>
            <family val="2"/>
          </rPr>
          <t>Author:
Changed on 23 May 06</t>
        </r>
      </text>
    </comment>
    <comment ref="J14" authorId="1" shapeId="0" xr:uid="{00000000-0006-0000-3300-00000B000000}">
      <text>
        <r>
          <rPr>
            <b/>
            <sz val="9"/>
            <color indexed="81"/>
            <rFont val="Tahoma"/>
            <family val="2"/>
          </rPr>
          <t>Author:
Changed on 23 May 06</t>
        </r>
      </text>
    </comment>
    <comment ref="K14" authorId="1" shapeId="0" xr:uid="{00000000-0006-0000-3300-00000C000000}">
      <text>
        <r>
          <rPr>
            <b/>
            <sz val="9"/>
            <color indexed="81"/>
            <rFont val="Tahoma"/>
            <family val="2"/>
          </rPr>
          <t>Author:
Changed on 23 May 06</t>
        </r>
      </text>
    </comment>
    <comment ref="H16" authorId="1" shapeId="0" xr:uid="{00000000-0006-0000-3300-00000D000000}">
      <text>
        <r>
          <rPr>
            <b/>
            <sz val="9"/>
            <color indexed="81"/>
            <rFont val="Tahoma"/>
            <family val="2"/>
          </rPr>
          <t>Author:
Changed on 19 Oct 07</t>
        </r>
      </text>
    </comment>
    <comment ref="J16" authorId="1" shapeId="0" xr:uid="{00000000-0006-0000-3300-00000E000000}">
      <text>
        <r>
          <rPr>
            <b/>
            <sz val="9"/>
            <color indexed="81"/>
            <rFont val="Tahoma"/>
            <family val="2"/>
          </rPr>
          <t>Author:
Changed on 19 Oct 07</t>
        </r>
      </text>
    </comment>
    <comment ref="D20" authorId="1" shapeId="0" xr:uid="{00000000-0006-0000-3300-00000F000000}">
      <text>
        <r>
          <rPr>
            <b/>
            <sz val="9"/>
            <color indexed="81"/>
            <rFont val="Tahoma"/>
            <family val="2"/>
          </rPr>
          <t>Author:
changed at part of CEF package</t>
        </r>
      </text>
    </comment>
    <comment ref="E20" authorId="1" shapeId="0" xr:uid="{00000000-0006-0000-3300-000010000000}">
      <text>
        <r>
          <rPr>
            <b/>
            <sz val="9"/>
            <color indexed="81"/>
            <rFont val="Tahoma"/>
            <family val="2"/>
          </rPr>
          <t>Author:
changed at part of CEF package</t>
        </r>
      </text>
    </comment>
    <comment ref="G20" authorId="1" shapeId="0" xr:uid="{00000000-0006-0000-3300-000011000000}">
      <text>
        <r>
          <rPr>
            <b/>
            <sz val="9"/>
            <color indexed="81"/>
            <rFont val="Tahoma"/>
            <family val="2"/>
          </rPr>
          <t>Author:
changed at part of CEF package</t>
        </r>
      </text>
    </comment>
    <comment ref="H24" authorId="2" shapeId="0" xr:uid="{00000000-0006-0000-3300-000012000000}">
      <text>
        <r>
          <rPr>
            <b/>
            <sz val="9"/>
            <color indexed="81"/>
            <rFont val="Tahoma"/>
            <family val="2"/>
          </rPr>
          <t>Author:
Budget 2016-17 BP2 pg 42 'Ten Year Enterprise Tax Plan - targeted personal income tax relief' applying from the 1 July 2016. 
Legislation received Royal Assent on 12 October 2016 - see Treasury Laws Amendment (Income Tax Relief) Act 2016</t>
        </r>
      </text>
    </comment>
    <comment ref="G26" authorId="3" shapeId="0" xr:uid="{00000000-0006-0000-3300-000013000000}">
      <text>
        <r>
          <rPr>
            <b/>
            <sz val="9"/>
            <color indexed="81"/>
            <rFont val="Tahoma"/>
            <family val="2"/>
          </rPr>
          <t>Author:
2013-14 Budget measure deferred second round of Clean Energy tax cuts until the estimated carbon price in the Budget reaches $25.40. Based on 2013-14 Budget projections, carbon prices are estimated to exceed $25.40 in 2018-19. 
May be repealed by the Coalition so will need to be updated again.</t>
        </r>
      </text>
    </comment>
  </commentList>
</comments>
</file>

<file path=xl/comments53.xml><?xml version="1.0" encoding="utf-8"?>
<comments xmlns="http://schemas.openxmlformats.org/spreadsheetml/2006/main" xmlns:mc="http://schemas.openxmlformats.org/markup-compatibility/2006" xmlns:xr="http://schemas.microsoft.com/office/spreadsheetml/2014/revision" mc:Ignorable="xr">
  <authors>
    <author>Kowcza, Jarek</author>
    <author>Bott, Mark</author>
    <author>McKenzie, Luke</author>
    <author>Lipshut, Hannah</author>
    <author>Ho, Yisheng</author>
    <author>Ledda, Daniel</author>
    <author>Black, Belinda</author>
  </authors>
  <commentList>
    <comment ref="C1" authorId="0" shapeId="0" xr:uid="{00000000-0006-0000-3400-000001000000}">
      <text>
        <r>
          <rPr>
            <b/>
            <sz val="9"/>
            <color indexed="81"/>
            <rFont val="Tahoma"/>
            <family val="2"/>
          </rPr>
          <t>Author:
http://www.ato.gov.au/Individuals/Medicare-levy/</t>
        </r>
      </text>
    </comment>
    <comment ref="P1" authorId="1" shapeId="0" xr:uid="{00000000-0006-0000-3400-000002000000}">
      <text>
        <r>
          <rPr>
            <b/>
            <sz val="9"/>
            <color indexed="81"/>
            <rFont val="Tahoma"/>
            <family val="2"/>
          </rPr>
          <t>Author:
Proportion of an individual's taxable income + reportable fringe benefits that is payable as Levy Surcharge for people without PHI.
See s8B, 8C, 8D Medicare Levy Act 1986.
http://www.ato.gov.au/Individuals/Medicare-levy/Medicare-levy-surcharge/</t>
        </r>
      </text>
    </comment>
    <comment ref="P3" authorId="1" shapeId="0" xr:uid="{00000000-0006-0000-3400-000003000000}">
      <text>
        <r>
          <rPr>
            <b/>
            <sz val="9"/>
            <color indexed="81"/>
            <rFont val="Tahoma"/>
            <family val="2"/>
          </rPr>
          <t>Author:
This is the proportion of taxable income + reported fringe benefits that is payable as surcharge for people without PHI.
See s8B, 8C, 8D Medicare Levy Act 1986 and s12, 13 and 14 ANTS (Medicare Levy Surcharge - Fringe Benefits) Act 1999.</t>
        </r>
      </text>
    </comment>
    <comment ref="S3" authorId="1" shapeId="0" xr:uid="{00000000-0006-0000-3400-000004000000}">
      <text>
        <r>
          <rPr>
            <b/>
            <sz val="9"/>
            <color indexed="81"/>
            <rFont val="Tahoma"/>
            <family val="2"/>
          </rPr>
          <t>Author:
If a persons' income for surcharge thresholds exceed these amounts and they are not covered by PHI then MLS is payable at the relevant rate.</t>
        </r>
      </text>
    </comment>
    <comment ref="E4" authorId="1" shapeId="0" xr:uid="{00000000-0006-0000-3400-000005000000}">
      <text>
        <r>
          <rPr>
            <b/>
            <sz val="9"/>
            <color indexed="81"/>
            <rFont val="Tahoma"/>
            <family val="2"/>
          </rPr>
          <t>Author:
No Levy is payable if individuals have an income below their relevant threshold.
Note that there is not legislated adjustment of these thresholds, but they are typically changed by a Budget measure each year. The spreadsheet will need to be adjusted for this.
These are stated in annual amounts.</t>
        </r>
      </text>
    </comment>
    <comment ref="H4" authorId="1" shapeId="0" xr:uid="{00000000-0006-0000-3400-000006000000}">
      <text>
        <r>
          <rPr>
            <b/>
            <sz val="9"/>
            <color indexed="81"/>
            <rFont val="Tahoma"/>
            <family val="2"/>
          </rPr>
          <t>Author:
No Levy is payable if couples have a combined taxable income or sole parents have a taxable income below the corresponding threshold.
Note that there is not legislated adjustment of these thresholds, but they are typically changed by a Budget measure each year. The spreadsheet will need to be adjusted for this.
These are stated in annual amounts.</t>
        </r>
      </text>
    </comment>
    <comment ref="S5" authorId="1" shapeId="0" xr:uid="{00000000-0006-0000-3400-000007000000}">
      <text>
        <r>
          <rPr>
            <b/>
            <sz val="9"/>
            <color indexed="81"/>
            <rFont val="Tahoma"/>
            <family val="2"/>
          </rPr>
          <t>Author:
See s3A Medicare Levy Act and s22.35 Private Health Insurance Act 2007. 
Indexed as per s22.45 PHI Act 2007.
These are stated in annual amounts.</t>
        </r>
      </text>
    </comment>
    <comment ref="V5" authorId="1" shapeId="0" xr:uid="{00000000-0006-0000-3400-000008000000}">
      <text>
        <r>
          <rPr>
            <b/>
            <sz val="9"/>
            <color indexed="81"/>
            <rFont val="Tahoma"/>
            <family val="2"/>
          </rPr>
          <t>Author:
See s3A Medicare Levy Act and s22.40 Private Health Insurance Act 2007. 
These are stated in annual amounts.</t>
        </r>
      </text>
    </comment>
    <comment ref="C6" authorId="1" shapeId="0" xr:uid="{00000000-0006-0000-3400-000009000000}">
      <text>
        <r>
          <rPr>
            <b/>
            <sz val="9"/>
            <color indexed="81"/>
            <rFont val="Tahoma"/>
            <family val="2"/>
          </rPr>
          <t>Author:
The proportion of an individuals taxable income that is payable as Medicare Levy.
See s6 Medicare Levy Act 1986.</t>
        </r>
      </text>
    </comment>
    <comment ref="D6" authorId="1" shapeId="0" xr:uid="{00000000-0006-0000-3400-00000A000000}">
      <text>
        <r>
          <rPr>
            <b/>
            <sz val="9"/>
            <color indexed="81"/>
            <rFont val="Tahoma"/>
            <family val="2"/>
          </rPr>
          <t>Author:
This of the proportion of the taxable income in excess of the threshold amount that is payable as Medicare Levy for people with taxable income below the phase-in limit. 
See s7(2) Medicare Levy Act 1986.</t>
        </r>
      </text>
    </comment>
    <comment ref="E6" authorId="1" shapeId="0" xr:uid="{00000000-0006-0000-3400-00000B000000}">
      <text>
        <r>
          <rPr>
            <b/>
            <sz val="9"/>
            <color indexed="81"/>
            <rFont val="Tahoma"/>
            <family val="2"/>
          </rPr>
          <t>Author:
See definition of "Threshold Amount" s3 Medicare Levy Act 1986.
These are stated in annual amounts.</t>
        </r>
      </text>
    </comment>
    <comment ref="F6" authorId="1" shapeId="0" xr:uid="{00000000-0006-0000-3400-00000C000000}">
      <text>
        <r>
          <rPr>
            <b/>
            <sz val="9"/>
            <color indexed="81"/>
            <rFont val="Tahoma"/>
            <family val="2"/>
          </rPr>
          <t>Author:
See definition of "Threshold Amount" s3 Medicare Levy Act 1986.
Taxable Pensioners &amp; Seniors now receive the same threshold as the respective tax rebates have been consolidated.</t>
        </r>
      </text>
    </comment>
    <comment ref="G6" authorId="1" shapeId="0" xr:uid="{00000000-0006-0000-3400-00000D000000}">
      <text>
        <r>
          <rPr>
            <b/>
            <sz val="9"/>
            <color indexed="81"/>
            <rFont val="Tahoma"/>
            <family val="2"/>
          </rPr>
          <t>Author:
See definition of "Threshold Amount" s3 Medicare Levy Act 1986.
Taxable Pensioners &amp; Seniors now receive the same threshold as the respective tax rebates have been consolidated.
These are stated in annual amounts.</t>
        </r>
      </text>
    </comment>
    <comment ref="H6" authorId="1" shapeId="0" xr:uid="{00000000-0006-0000-3400-00000E000000}">
      <text>
        <r>
          <rPr>
            <b/>
            <sz val="9"/>
            <color indexed="81"/>
            <rFont val="Tahoma"/>
            <family val="2"/>
          </rPr>
          <t>Author:
See s8(5) Medicare Levy Act 1986.</t>
        </r>
      </text>
    </comment>
    <comment ref="I6" authorId="1" shapeId="0" xr:uid="{00000000-0006-0000-3400-00000F000000}">
      <text>
        <r>
          <rPr>
            <b/>
            <sz val="9"/>
            <color indexed="81"/>
            <rFont val="Tahoma"/>
            <family val="2"/>
          </rPr>
          <t xml:space="preserve">Author:
See s8(7) Medicare Levy Act 1986.
Taxable Pensioners &amp; Seniors now receive the same threshold as the respective tax rebates have been consolidated.
This value is calculated by a separate CAPITA program. It will be upadated once the calculated value exceeds $46,000. </t>
        </r>
      </text>
    </comment>
    <comment ref="J6" authorId="1" shapeId="0" xr:uid="{00000000-0006-0000-3400-000010000000}">
      <text>
        <r>
          <rPr>
            <b/>
            <sz val="9"/>
            <color indexed="81"/>
            <rFont val="Tahoma"/>
            <family val="2"/>
          </rPr>
          <t>Author:
See s8(7) Medicare Levy Act 1986.
Taxable Pensioners &amp; Seniors now receive the same threshold as the respective tax rebates have been consolidated.</t>
        </r>
      </text>
    </comment>
    <comment ref="K6" authorId="1" shapeId="0" xr:uid="{00000000-0006-0000-3400-000011000000}">
      <text>
        <r>
          <rPr>
            <b/>
            <sz val="9"/>
            <color indexed="81"/>
            <rFont val="Tahoma"/>
            <family val="2"/>
          </rPr>
          <t>Author:
See s8(5) Medicare Levy Act 1986.</t>
        </r>
      </text>
    </comment>
    <comment ref="O6" authorId="1" shapeId="0" xr:uid="{00000000-0006-0000-3400-000012000000}">
      <text>
        <r>
          <rPr>
            <b/>
            <sz val="9"/>
            <color indexed="81"/>
            <rFont val="Tahoma"/>
            <family val="2"/>
          </rPr>
          <t>Author:
See s8(5) Medicare Levy Act 1986.</t>
        </r>
      </text>
    </comment>
    <comment ref="Y6" authorId="2" shapeId="0" xr:uid="{00000000-0006-0000-3400-000013000000}">
      <text>
        <r>
          <rPr>
            <b/>
            <sz val="9"/>
            <color indexed="81"/>
            <rFont val="Tahoma"/>
            <family val="2"/>
          </rPr>
          <t xml:space="preserve">Author:
Note that this add-on is for each child, after the first: https://www.ato.gov.au/individuals/medicare-levy/medicare-levy-surcharge/income-thresholds-and-rates-for-the-medicare-levy-surcharge/ </t>
        </r>
      </text>
    </comment>
    <comment ref="S8" authorId="3" shapeId="0" xr:uid="{00000000-0006-0000-3400-000014000000}">
      <text>
        <r>
          <rPr>
            <b/>
            <sz val="9"/>
            <color indexed="81"/>
            <rFont val="Tahoma"/>
            <family val="2"/>
          </rPr>
          <t>Author:
Actuals are hard coded because they are legislated</t>
        </r>
      </text>
    </comment>
    <comment ref="S16" authorId="1" shapeId="0" xr:uid="{00000000-0006-0000-3400-000015000000}">
      <text>
        <r>
          <rPr>
            <b/>
            <sz val="9"/>
            <color indexed="81"/>
            <rFont val="Tahoma"/>
            <family val="2"/>
          </rPr>
          <t>Author:
This is the amount specified in the Act.</t>
        </r>
      </text>
    </comment>
    <comment ref="S17" authorId="1" shapeId="0" xr:uid="{00000000-0006-0000-3400-000016000000}">
      <text>
        <r>
          <rPr>
            <b/>
            <sz val="9"/>
            <color indexed="81"/>
            <rFont val="Tahoma"/>
            <family val="2"/>
          </rPr>
          <t>Author:
Indexation begins.
Indexation based on the December quarter.</t>
        </r>
      </text>
    </comment>
    <comment ref="H20" authorId="0" shapeId="0" xr:uid="{00000000-0006-0000-3400-000017000000}">
      <text>
        <r>
          <rPr>
            <b/>
            <sz val="9"/>
            <color indexed="81"/>
            <rFont val="Tahoma"/>
            <family val="2"/>
          </rPr>
          <t>Author:
Tax Laws Amendment (Medicare Levy) Act 2013
No. 81, 2013</t>
        </r>
      </text>
    </comment>
    <comment ref="K20" authorId="0" shapeId="0" xr:uid="{00000000-0006-0000-3400-000018000000}">
      <text>
        <r>
          <rPr>
            <b/>
            <sz val="9"/>
            <color indexed="81"/>
            <rFont val="Tahoma"/>
            <family val="2"/>
          </rPr>
          <t>Author:
Tax Laws Amendment (Medicare Levy) Act 2013
No. 81, 2013</t>
        </r>
      </text>
    </comment>
    <comment ref="O20" authorId="0" shapeId="0" xr:uid="{00000000-0006-0000-3400-000019000000}">
      <text>
        <r>
          <rPr>
            <b/>
            <sz val="9"/>
            <color indexed="81"/>
            <rFont val="Tahoma"/>
            <family val="2"/>
          </rPr>
          <t>Author:
Tax Laws Amendment (Medicare Levy) Act 2013
No. 81, 2013</t>
        </r>
      </text>
    </comment>
    <comment ref="Q20" authorId="1" shapeId="0" xr:uid="{00000000-0006-0000-3400-00001A000000}">
      <text>
        <r>
          <rPr>
            <b/>
            <sz val="9"/>
            <color indexed="81"/>
            <rFont val="Tahoma"/>
            <family val="2"/>
          </rPr>
          <t>Author:
Higher rates introduced.</t>
        </r>
      </text>
    </comment>
    <comment ref="T20" authorId="0" shapeId="0" xr:uid="{00000000-0006-0000-3400-00001B000000}">
      <text>
        <r>
          <rPr>
            <b/>
            <sz val="9"/>
            <color indexed="81"/>
            <rFont val="Tahoma"/>
            <family val="2"/>
          </rPr>
          <t>Author:
The act specifies that the MLS is indexed to the 2010 value of $90,000. However, the imposition of this did not begin until 2012, at $97,000 following indexation.
Royal assent for PHI bill was granted on 4 April 2012, for commencement 1 July 2012.
Indexation based on the December quarter.</t>
        </r>
      </text>
    </comment>
    <comment ref="U20" authorId="0" shapeId="0" xr:uid="{00000000-0006-0000-3400-00001C000000}">
      <text>
        <r>
          <rPr>
            <b/>
            <sz val="9"/>
            <color indexed="81"/>
            <rFont val="Tahoma"/>
            <family val="2"/>
          </rPr>
          <t>Author:
The act specifies that the MLS is indexed to the 2010 value of $130,000. However, the imposition of this did not begin until 2012, at $97,000 following indexation.
Royal assent for PHI bill was granted on 4 April 2012, for commencement 1 July 2012.
Indexation based on the December quarter.</t>
        </r>
      </text>
    </comment>
    <comment ref="C22" authorId="0" shapeId="0" xr:uid="{00000000-0006-0000-3400-00001D000000}">
      <text>
        <r>
          <rPr>
            <b/>
            <sz val="9"/>
            <color indexed="81"/>
            <rFont val="Tahoma"/>
            <family val="2"/>
          </rPr>
          <t>Author:
Increased to secure funding for DisabilityCare Australia and the National Disability Insuarance Scheme (NDIS)
Medicare Levy Amendment (DisabilityCare Australia) Act 2013
No. 43, 2013
Date of Assent 28 May, 2013</t>
        </r>
      </text>
    </comment>
    <comment ref="E22" authorId="4" shapeId="0" xr:uid="{00000000-0006-0000-3400-00001E000000}">
      <text>
        <r>
          <rPr>
            <b/>
            <sz val="9"/>
            <color indexed="81"/>
            <rFont val="Tahoma"/>
            <family val="2"/>
          </rPr>
          <t>Author:
TSLAB (MLMS) 2015</t>
        </r>
      </text>
    </comment>
    <comment ref="F22" authorId="4" shapeId="0" xr:uid="{00000000-0006-0000-3400-00001F000000}">
      <text>
        <r>
          <rPr>
            <b/>
            <sz val="9"/>
            <color indexed="81"/>
            <rFont val="Tahoma"/>
            <family val="2"/>
          </rPr>
          <t>Author:
TSLAB (MLMS) 2015</t>
        </r>
      </text>
    </comment>
    <comment ref="G22" authorId="4" shapeId="0" xr:uid="{00000000-0006-0000-3400-000020000000}">
      <text>
        <r>
          <rPr>
            <b/>
            <sz val="9"/>
            <color indexed="81"/>
            <rFont val="Tahoma"/>
            <family val="2"/>
          </rPr>
          <t>Author:
TSLAB (MLMS) 2015</t>
        </r>
      </text>
    </comment>
    <comment ref="H22" authorId="4" shapeId="0" xr:uid="{00000000-0006-0000-3400-000021000000}">
      <text>
        <r>
          <rPr>
            <b/>
            <sz val="9"/>
            <color indexed="81"/>
            <rFont val="Tahoma"/>
            <family val="2"/>
          </rPr>
          <t>Author:
TSLAB (MLMS) 2015</t>
        </r>
      </text>
    </comment>
    <comment ref="K22" authorId="4" shapeId="0" xr:uid="{00000000-0006-0000-3400-000022000000}">
      <text>
        <r>
          <rPr>
            <b/>
            <sz val="9"/>
            <color indexed="81"/>
            <rFont val="Tahoma"/>
            <family val="2"/>
          </rPr>
          <t>Author:
TSLAB (MLMS) 2015</t>
        </r>
      </text>
    </comment>
    <comment ref="E23" authorId="5" shapeId="0" xr:uid="{00000000-0006-0000-3400-000023000000}">
      <text>
        <r>
          <rPr>
            <b/>
            <sz val="9"/>
            <color indexed="81"/>
            <rFont val="Tahoma"/>
            <family val="2"/>
          </rPr>
          <t xml:space="preserve">Author:
Budget 2016-17 BP2 pg 23 'Personal Income Tax - Increasing the Medicare levy low-income thresholds' applying from the 2015-16 income year. 
Tax and Superannuation Laws Amendment (Medicare Levy and Medicare Levy Surcharge) Bill 2016 received royal assent on 4 May 2016. </t>
        </r>
      </text>
    </comment>
    <comment ref="F23" authorId="5" shapeId="0" xr:uid="{00000000-0006-0000-3400-000024000000}">
      <text>
        <r>
          <rPr>
            <b/>
            <sz val="9"/>
            <color indexed="81"/>
            <rFont val="Tahoma"/>
            <family val="2"/>
          </rPr>
          <t xml:space="preserve">Author:
Budget 2016-17 BP2 pg 23 'Personal Income Tax - Increasing the Medicare levy low-income thresholds' applying from the 2015-16 income year. 
Tax and Superannuation Laws Amendment (Medicare Levy and Medicare Levy Surcharge) Bill 2016 received royal assent on 4 May 2016. </t>
        </r>
      </text>
    </comment>
    <comment ref="G23" authorId="5" shapeId="0" xr:uid="{00000000-0006-0000-3400-000025000000}">
      <text>
        <r>
          <rPr>
            <b/>
            <sz val="9"/>
            <color indexed="81"/>
            <rFont val="Tahoma"/>
            <family val="2"/>
          </rPr>
          <t xml:space="preserve">Author:
Budget 2016-17 BP2 pg 23 'Personal Income Tax - Increasing the Medicare levy low-income thresholds' applying from the 2015-16 income year. 
Tax and Superannuation Laws Amendment (Medicare Levy and Medicare Levy Surcharge) Bill 2016 received royal assent on 4 May 2016. </t>
        </r>
      </text>
    </comment>
    <comment ref="H23" authorId="5" shapeId="0" xr:uid="{00000000-0006-0000-3400-000026000000}">
      <text>
        <r>
          <rPr>
            <b/>
            <sz val="9"/>
            <color indexed="81"/>
            <rFont val="Tahoma"/>
            <family val="2"/>
          </rPr>
          <t xml:space="preserve">Author:
Budget 2016-17 BP2 pg 23 'Personal Income Tax - Increasing the Medicare levy low-income thresholds' applying from the 2015-16 income year. 
Tax and Superannuation Laws Amendment (Medicare Levy and Medicare Levy Surcharge) Bill 2016 received royal assent on 4 May 2016. </t>
        </r>
      </text>
    </comment>
    <comment ref="I23" authorId="5" shapeId="0" xr:uid="{00000000-0006-0000-3400-000027000000}">
      <text>
        <r>
          <rPr>
            <b/>
            <sz val="9"/>
            <color indexed="81"/>
            <rFont val="Tahoma"/>
            <family val="2"/>
          </rPr>
          <t xml:space="preserve">Author:
Budget 2016-17 BP2 pg 23 'Personal Income Tax - Increasing the Medicare levy low-income thresholds' applying from the 2015-16 income year. 
Tax and Superannuation Laws Amendment (Medicare Levy and Medicare Levy Surcharge) Bill 2016 received royal assent on 4 May 2016. </t>
        </r>
      </text>
    </comment>
    <comment ref="J23" authorId="5" shapeId="0" xr:uid="{00000000-0006-0000-3400-000028000000}">
      <text>
        <r>
          <rPr>
            <b/>
            <sz val="9"/>
            <color indexed="81"/>
            <rFont val="Tahoma"/>
            <family val="2"/>
          </rPr>
          <t xml:space="preserve">Author:
Budget 2016-17 BP2 pg 23 'Personal Income Tax - Increasing the Medicare levy low-income thresholds' applying from the 2015-16 income year. 
Tax and Superannuation Laws Amendment (Medicare Levy and Medicare Levy Surcharge) Bill 2016 received royal assent on 4 May 2016. </t>
        </r>
      </text>
    </comment>
    <comment ref="K23" authorId="5" shapeId="0" xr:uid="{00000000-0006-0000-3400-000029000000}">
      <text>
        <r>
          <rPr>
            <b/>
            <sz val="9"/>
            <color indexed="81"/>
            <rFont val="Tahoma"/>
            <family val="2"/>
          </rPr>
          <t xml:space="preserve">Author:
Budget 2016-17 BP2 pg 23 'Personal Income Tax - Increasing the Medicare levy low-income thresholds' applying from the 2015-16 income year. 
Tax and Superannuation Laws Amendment (Medicare Levy and Medicare Levy Surcharge) Bill 2016 received royal assent on 4 May 2016. </t>
        </r>
      </text>
    </comment>
    <comment ref="S23" authorId="3" shapeId="0" xr:uid="{00000000-0006-0000-3400-00002A000000}">
      <text>
        <r>
          <rPr>
            <b/>
            <sz val="9"/>
            <color indexed="81"/>
            <rFont val="Tahoma"/>
            <family val="2"/>
          </rPr>
          <t xml:space="preserve">Author:
freeze to indexation of PHI and MLS tiers for 3 years. 2014-15 budget measure 
</t>
        </r>
      </text>
    </comment>
    <comment ref="E24" authorId="2" shapeId="0" xr:uid="{00000000-0006-0000-3400-00002B000000}">
      <text>
        <r>
          <rPr>
            <b/>
            <sz val="9"/>
            <color indexed="81"/>
            <rFont val="Tahoma"/>
            <family val="2"/>
          </rPr>
          <t>Author:
Item in 2017-18 Budget, Personal income tax - increasing the Medicare levy low-income thresholds
Treasury Laws Amendment (Medicare Levy and Medicare Levy Surcharge) Bill 2017 before the HoR (SRS tabled 24 May 2017) - Royal Assent 22/06/2017</t>
        </r>
      </text>
    </comment>
    <comment ref="F24" authorId="2" shapeId="0" xr:uid="{00000000-0006-0000-3400-00002C000000}">
      <text>
        <r>
          <rPr>
            <b/>
            <sz val="9"/>
            <color indexed="81"/>
            <rFont val="Tahoma"/>
            <family val="2"/>
          </rPr>
          <t>Author:
Item in 2017-18 Budget, Personal income tax - increasing the Medicare levy low-income thresholds
Treasury Laws Amendment (Medicare Levy and Medicare Levy Surcharge) Bill 2017 before the HoR (SRS tabled 24 May 2017) - Royal Assent 22/06/2017</t>
        </r>
      </text>
    </comment>
    <comment ref="G24" authorId="2" shapeId="0" xr:uid="{00000000-0006-0000-3400-00002D000000}">
      <text>
        <r>
          <rPr>
            <b/>
            <sz val="9"/>
            <color indexed="81"/>
            <rFont val="Tahoma"/>
            <family val="2"/>
          </rPr>
          <t>Author:
Item in 2017-18 Budget, Personal income tax - increasing the Medicare levy low-income thresholds
Treasury Laws Amendment (Medicare Levy and Medicare Levy Surcharge) Bill 2017 before the HoR (SRS tabled 24 May 2017) - Royal Assent 22/06/2017</t>
        </r>
      </text>
    </comment>
    <comment ref="H24" authorId="2" shapeId="0" xr:uid="{00000000-0006-0000-3400-00002E000000}">
      <text>
        <r>
          <rPr>
            <b/>
            <sz val="9"/>
            <color indexed="81"/>
            <rFont val="Tahoma"/>
            <family val="2"/>
          </rPr>
          <t>Author:
Item in 2017-18 Budget, Personal income tax - increasing the Medicare levy low-income thresholds
Treasury Laws Amendment (Medicare Levy and Medicare Levy Surcharge) Bill 2017 before the HoR (SRS tabled 24 May 2017)</t>
        </r>
      </text>
    </comment>
    <comment ref="I24" authorId="2" shapeId="0" xr:uid="{00000000-0006-0000-3400-00002F000000}">
      <text>
        <r>
          <rPr>
            <b/>
            <sz val="9"/>
            <color indexed="81"/>
            <rFont val="Tahoma"/>
            <family val="2"/>
          </rPr>
          <t>Author:
Item in 2017-18 Budget, Personal income tax - increasing the Medicare levy low-income thresholds
Treasury Laws Amendment (Medicare Levy and Medicare Levy Surcharge) Bill 2017 before the HoR (SRS tabled 24 May 2017)</t>
        </r>
      </text>
    </comment>
    <comment ref="J24" authorId="2" shapeId="0" xr:uid="{00000000-0006-0000-3400-000030000000}">
      <text>
        <r>
          <rPr>
            <b/>
            <sz val="9"/>
            <color indexed="81"/>
            <rFont val="Tahoma"/>
            <family val="2"/>
          </rPr>
          <t>Author:
Item in 2017-18 Budget, Personal income tax - increasing the Medicare levy low-income thresholds
Treasury Laws Amendment (Medicare Levy and Medicare Levy Surcharge) Bill 2017 before the HoR (SRS tabled 24 May 2017)</t>
        </r>
      </text>
    </comment>
    <comment ref="K24" authorId="2" shapeId="0" xr:uid="{00000000-0006-0000-3400-000031000000}">
      <text>
        <r>
          <rPr>
            <b/>
            <sz val="9"/>
            <color indexed="81"/>
            <rFont val="Tahoma"/>
            <family val="2"/>
          </rPr>
          <t>Author:
Item in 2017-18 Budget, Personal income tax - increasing the Medicare levy low-income thresholds
Treasury Laws Amendment (Medicare Levy and Medicare Levy Surcharge) Bill 2017 before the HoR (SRS tabled 24 May 2017)</t>
        </r>
      </text>
    </comment>
    <comment ref="S26" authorId="6" shapeId="0" xr:uid="{00000000-0006-0000-3400-000032000000}">
      <text>
        <r>
          <rPr>
            <b/>
            <sz val="9"/>
            <color indexed="81"/>
            <rFont val="Tahoma"/>
            <family val="2"/>
          </rPr>
          <t xml:space="preserve">Author:
Budget 2016-17, BP2, p113.  Pause of indexation for 3 years from 2018-19.
Author: 
This was part of the Budget Savings (Omnibus) Bill 2016. This received Royal Assent on 15 Sep 2016. </t>
        </r>
      </text>
    </comment>
    <comment ref="T26" authorId="6" shapeId="0" xr:uid="{00000000-0006-0000-3400-000033000000}">
      <text>
        <r>
          <rPr>
            <b/>
            <sz val="9"/>
            <color indexed="81"/>
            <rFont val="Tahoma"/>
            <family val="2"/>
          </rPr>
          <t xml:space="preserve">Author:
Budget 2016-17, BP2, p113.  Pause of indexation for 3 years from 2018-19.
</t>
        </r>
      </text>
    </comment>
    <comment ref="U26" authorId="6" shapeId="0" xr:uid="{00000000-0006-0000-3400-000034000000}">
      <text>
        <r>
          <rPr>
            <b/>
            <sz val="9"/>
            <color indexed="81"/>
            <rFont val="Tahoma"/>
            <family val="2"/>
          </rPr>
          <t xml:space="preserve">Author:
Budget 2016-17, BP2, p113.  Pause of indexation for 3 years from 2018-19.
</t>
        </r>
      </text>
    </comment>
    <comment ref="V26" authorId="6" shapeId="0" xr:uid="{00000000-0006-0000-3400-000035000000}">
      <text>
        <r>
          <rPr>
            <b/>
            <sz val="9"/>
            <color indexed="81"/>
            <rFont val="Tahoma"/>
            <family val="2"/>
          </rPr>
          <t xml:space="preserve">Author:
Budget 2016-17, BP2, p113.  Pause of indexation for 3 years from 2018-19.
</t>
        </r>
      </text>
    </comment>
    <comment ref="W26" authorId="6" shapeId="0" xr:uid="{00000000-0006-0000-3400-000036000000}">
      <text>
        <r>
          <rPr>
            <b/>
            <sz val="9"/>
            <color indexed="81"/>
            <rFont val="Tahoma"/>
            <family val="2"/>
          </rPr>
          <t xml:space="preserve">Author:
Budget 2016-17, BP2, p113.  Pause of indexation for 3 years from 2018-19.
</t>
        </r>
      </text>
    </comment>
    <comment ref="X26" authorId="6" shapeId="0" xr:uid="{00000000-0006-0000-3400-000037000000}">
      <text>
        <r>
          <rPr>
            <b/>
            <sz val="9"/>
            <color indexed="81"/>
            <rFont val="Tahoma"/>
            <family val="2"/>
          </rPr>
          <t xml:space="preserve">Author:
Budget 2016-17, BP2, p113.  Pause of indexation for 3 years from 2018-19.
</t>
        </r>
      </text>
    </comment>
    <comment ref="C27" authorId="2" shapeId="0" xr:uid="{00000000-0006-0000-3400-000038000000}">
      <text>
        <r>
          <rPr>
            <b/>
            <sz val="9"/>
            <color indexed="81"/>
            <rFont val="Tahoma"/>
            <family val="2"/>
          </rPr>
          <t>Author:
Item in 2017-18 Budget, Personal income tax - increase in the Medicare levy - National Disability Insurance Scheme</t>
        </r>
      </text>
    </comment>
  </commentList>
</comments>
</file>

<file path=xl/comments54.xml><?xml version="1.0" encoding="utf-8"?>
<comments xmlns="http://schemas.openxmlformats.org/spreadsheetml/2006/main" xmlns:mc="http://schemas.openxmlformats.org/markup-compatibility/2006" xmlns:xr="http://schemas.microsoft.com/office/spreadsheetml/2014/revision" mc:Ignorable="xr">
  <authors>
    <author>Brown, Mandy</author>
    <author>Tan, Alicia</author>
    <author>Stevenson, Martin</author>
    <author>Kowcza, Jarek</author>
    <author>Lipshut, Hannah</author>
    <author>Thompson, Alyse</author>
    <author>Young, William</author>
    <author>Nargar, Madeleine</author>
    <author>Bullen, Jared</author>
    <author>Bott, Mark</author>
    <author>Stacey, Emma</author>
    <author>Krolikowski, Michal</author>
    <author>Pineda, Virginia</author>
    <author>Pota, Shuchita</author>
    <author>Ledda, Daniel</author>
    <author>Puspaningrum, Heni</author>
    <author>O'Shea, Mark</author>
  </authors>
  <commentList>
    <comment ref="C1" authorId="0" shapeId="0" xr:uid="{00000000-0006-0000-3500-000001000000}">
      <text>
        <r>
          <rPr>
            <b/>
            <sz val="9"/>
            <color indexed="81"/>
            <rFont val="Tahoma"/>
            <family val="2"/>
          </rPr>
          <t>Author:
ITAA 1936 - Div 17 S 159HA</t>
        </r>
      </text>
    </comment>
    <comment ref="L1" authorId="1" shapeId="0" xr:uid="{00000000-0006-0000-3500-000002000000}">
      <text>
        <r>
          <rPr>
            <b/>
            <sz val="9"/>
            <color indexed="81"/>
            <rFont val="Tahoma"/>
            <family val="2"/>
          </rPr>
          <t>Author:
Income Tax Assessment Act 1936 - Sect 159N</t>
        </r>
      </text>
    </comment>
    <comment ref="O1" authorId="2" shapeId="0" xr:uid="{00000000-0006-0000-3500-000003000000}">
      <text>
        <r>
          <rPr>
            <b/>
            <sz val="9"/>
            <color indexed="81"/>
            <rFont val="Tahoma"/>
            <family val="2"/>
          </rPr>
          <t>Author:
Certain low income pensioners and "self funded retirees" are entiltled to this special tax offset. Referred to as SATO.  ITAA36s 160AAAA.
Merged with PENTO from 1 July 2012 to create SATPO.</t>
        </r>
      </text>
    </comment>
    <comment ref="T1" authorId="2" shapeId="0" xr:uid="{00000000-0006-0000-3500-000004000000}">
      <text>
        <r>
          <rPr>
            <b/>
            <sz val="9"/>
            <color indexed="81"/>
            <rFont val="Tahoma"/>
            <family val="2"/>
          </rPr>
          <t>Author:
Certain social security or veterans affairs pensioners may be eligible for a separate rebate, commonly referred to as the pensioner rebate or tax offset. (PENTO). ITAA36 s 160AAA(1).
Merged with SATO from 1 July 2012 to create SAPTO.</t>
        </r>
      </text>
    </comment>
    <comment ref="AA1" authorId="2" shapeId="0" xr:uid="{00000000-0006-0000-3500-000005000000}">
      <text>
        <r>
          <rPr>
            <b/>
            <sz val="9"/>
            <color indexed="81"/>
            <rFont val="Tahoma"/>
            <family val="2"/>
          </rPr>
          <t>Author:
Certain low income pensioners and "self funded retirees" are entiltled to this special tax offset. Referred to as SAPTO. ITAA36s 160AAAA</t>
        </r>
      </text>
    </comment>
    <comment ref="AF1" authorId="0" shapeId="0" xr:uid="{00000000-0006-0000-3500-000006000000}">
      <text>
        <r>
          <rPr>
            <b/>
            <sz val="9"/>
            <color indexed="81"/>
            <rFont val="Tahoma"/>
            <family val="2"/>
          </rPr>
          <t xml:space="preserve">Author:
ITAA 1936 Div 17 S 159HA
</t>
        </r>
      </text>
    </comment>
    <comment ref="AJ1" authorId="1" shapeId="0" xr:uid="{00000000-0006-0000-3500-000007000000}">
      <text>
        <r>
          <rPr>
            <b/>
            <sz val="9"/>
            <color indexed="81"/>
            <rFont val="Tahoma"/>
            <family val="2"/>
          </rPr>
          <t>Author:
ITAA Part 2-20 
Divisions 61-K</t>
        </r>
      </text>
    </comment>
    <comment ref="C2" authorId="3" shapeId="0" xr:uid="{00000000-0006-0000-3500-000008000000}">
      <text>
        <r>
          <rPr>
            <b/>
            <sz val="9"/>
            <color indexed="81"/>
            <rFont val="Tahoma"/>
            <family val="2"/>
          </rPr>
          <t>Author:
These are stated in annual amounts.</t>
        </r>
      </text>
    </comment>
    <comment ref="G2" authorId="3" shapeId="0" xr:uid="{00000000-0006-0000-3500-000009000000}">
      <text>
        <r>
          <rPr>
            <b/>
            <sz val="9"/>
            <color indexed="81"/>
            <rFont val="Tahoma"/>
            <family val="2"/>
          </rPr>
          <t>Author:
This is stated in annual amounts.</t>
        </r>
      </text>
    </comment>
    <comment ref="H2" authorId="3" shapeId="0" xr:uid="{00000000-0006-0000-3500-00000A000000}">
      <text>
        <r>
          <rPr>
            <b/>
            <sz val="9"/>
            <color indexed="81"/>
            <rFont val="Tahoma"/>
            <family val="2"/>
          </rPr>
          <t>Author:
These are stated in annual amounts.</t>
        </r>
      </text>
    </comment>
    <comment ref="AF2" authorId="4" shapeId="0" xr:uid="{00000000-0006-0000-3500-00000B000000}">
      <text>
        <r>
          <rPr>
            <b/>
            <sz val="9"/>
            <color indexed="81"/>
            <rFont val="Tahoma"/>
            <family val="2"/>
          </rPr>
          <t xml:space="preserve">Author:
2013-14 budget: NMETO phase out, with transitional arrangements for those already claiming the offset. 
From 1 July 2013 those who claimed NMETO for the 2012-13 income year will continue to be eligible for the 2013-14 income year. These tranisitonal arrangements will exist until 1 July 2019. </t>
        </r>
      </text>
    </comment>
    <comment ref="AJ2" authorId="4" shapeId="0" xr:uid="{00000000-0006-0000-3500-00000C000000}">
      <text>
        <r>
          <rPr>
            <b/>
            <sz val="9"/>
            <color indexed="81"/>
            <rFont val="Tahoma"/>
            <family val="2"/>
          </rPr>
          <t xml:space="preserve">Author:
Abolished from 1 July 2014. 2014-15 budget measure. </t>
        </r>
      </text>
    </comment>
    <comment ref="AQ2" authorId="5" shapeId="0" xr:uid="{00000000-0006-0000-3500-00000D000000}">
      <text>
        <r>
          <rPr>
            <b/>
            <sz val="9"/>
            <color indexed="81"/>
            <rFont val="Tahoma"/>
            <family val="2"/>
          </rPr>
          <t>Author:
ITAA 1997  - Section 61‑660 Education expenses tax offset limit
These are stated in annual amounts.</t>
        </r>
      </text>
    </comment>
    <comment ref="AS2" authorId="5" shapeId="0" xr:uid="{00000000-0006-0000-3500-00000E000000}">
      <text>
        <r>
          <rPr>
            <b/>
            <sz val="9"/>
            <color indexed="81"/>
            <rFont val="Tahoma"/>
            <family val="2"/>
          </rPr>
          <t>Author:
ITAA 1997  - Section 61‑650  Amount of education expenses tax offset</t>
        </r>
      </text>
    </comment>
    <comment ref="AT2" authorId="5" shapeId="0" xr:uid="{00000000-0006-0000-3500-00000F000000}">
      <text>
        <r>
          <rPr>
            <b/>
            <sz val="9"/>
            <color indexed="81"/>
            <rFont val="Tahoma"/>
            <family val="2"/>
          </rPr>
          <t>Author:
ITAA97 s 290-230 (1),(2)
This is stated in annual amounts.</t>
        </r>
      </text>
    </comment>
    <comment ref="AU2" authorId="5" shapeId="0" xr:uid="{00000000-0006-0000-3500-000010000000}">
      <text>
        <r>
          <rPr>
            <b/>
            <sz val="9"/>
            <color indexed="81"/>
            <rFont val="Tahoma"/>
            <family val="2"/>
          </rPr>
          <t>Author:
ITAA97 s 290-230 (1),(2)
This is stated in annual amounts.</t>
        </r>
      </text>
    </comment>
    <comment ref="AV2" authorId="5" shapeId="0" xr:uid="{00000000-0006-0000-3500-000011000000}">
      <text>
        <r>
          <rPr>
            <b/>
            <sz val="9"/>
            <color indexed="81"/>
            <rFont val="Tahoma"/>
            <family val="2"/>
          </rPr>
          <t>Author:
ITAA97 s 290-235</t>
        </r>
      </text>
    </comment>
    <comment ref="AW2" authorId="6" shapeId="0" xr:uid="{00000000-0006-0000-3500-000012000000}">
      <text>
        <r>
          <rPr>
            <b/>
            <sz val="9"/>
            <color indexed="81"/>
            <rFont val="Tahoma"/>
            <family val="2"/>
          </rPr>
          <t>Author:
Applies to eligible contributions.
ITAA97 s 290-235</t>
        </r>
      </text>
    </comment>
    <comment ref="AX2" authorId="5" shapeId="0" xr:uid="{00000000-0006-0000-3500-000013000000}">
      <text>
        <r>
          <rPr>
            <b/>
            <sz val="9"/>
            <color indexed="81"/>
            <rFont val="Tahoma"/>
            <family val="2"/>
          </rPr>
          <t>Author:
see Income Tax Assessment (1936 Act) Regulation 2015 (ITR 2015), reg 13.</t>
        </r>
      </text>
    </comment>
    <comment ref="AY2" authorId="5" shapeId="0" xr:uid="{00000000-0006-0000-3500-000014000000}">
      <text>
        <r>
          <rPr>
            <b/>
            <sz val="9"/>
            <color indexed="81"/>
            <rFont val="Tahoma"/>
            <family val="2"/>
          </rPr>
          <t>Author:
see Income Tax Assessment (1936 Act) Regulation 2015 (ITR 2015), reg 13.</t>
        </r>
      </text>
    </comment>
    <comment ref="C3" authorId="3" shapeId="0" xr:uid="{00000000-0006-0000-3500-000015000000}">
      <text>
        <r>
          <rPr>
            <b/>
            <sz val="9"/>
            <color indexed="81"/>
            <rFont val="Tahoma"/>
            <family val="2"/>
          </rPr>
          <t>Author:
A taxpayer is not entitled to a spose rebate for any period in the income tax year during which the taxpayer or the taxpayer's spouse is eligible for FTB Part B. In practice, the FTB Part B takes the place of the higher "with child" spouse rebate that was formally available, which has only been notionally retained for the purposes of caluculating the zone and overseas forces rebates.
Therefore, in practice, the dependant spouse rebate, when the taxpayer and/or spouse have a dependant child for the full year, is $0.</t>
        </r>
      </text>
    </comment>
    <comment ref="D3" authorId="3" shapeId="0" xr:uid="{00000000-0006-0000-3500-000016000000}">
      <text>
        <r>
          <rPr>
            <b/>
            <sz val="9"/>
            <color indexed="81"/>
            <rFont val="Tahoma"/>
            <family val="2"/>
          </rPr>
          <t>Author:
This is stated in annual amounts.</t>
        </r>
      </text>
    </comment>
    <comment ref="F3" authorId="3" shapeId="0" xr:uid="{00000000-0006-0000-3500-000017000000}">
      <text>
        <r>
          <rPr>
            <b/>
            <sz val="9"/>
            <color indexed="81"/>
            <rFont val="Tahoma"/>
            <family val="2"/>
          </rPr>
          <t>Author:
This is stated in annual amounts.</t>
        </r>
      </text>
    </comment>
    <comment ref="G3" authorId="3" shapeId="0" xr:uid="{00000000-0006-0000-3500-000018000000}">
      <text>
        <r>
          <rPr>
            <b/>
            <sz val="9"/>
            <color indexed="81"/>
            <rFont val="Tahoma"/>
            <family val="2"/>
          </rPr>
          <t>Author:
ITAA36 Section 159J(2) - Class 4.
This ATI threshold refers to children under 21 and student rebates that have since been abolished. These rebates and thresholds are no longer paid out but have been retained for the purpose of determining entitlement to the medical expenses and zone rebates, the higher level of child-housekeeper and housekeeper rebates, the notional sole parent and "with child" spose rebates and the amount of the Medicare levy family income threshold.</t>
        </r>
      </text>
    </comment>
    <comment ref="H3" authorId="3" shapeId="0" xr:uid="{00000000-0006-0000-3500-000019000000}">
      <text>
        <r>
          <rPr>
            <b/>
            <sz val="9"/>
            <color indexed="81"/>
            <rFont val="Tahoma"/>
            <family val="2"/>
          </rPr>
          <t>Author:
A taxpayer is not entitled to a spouse rebate for any period in the income tax year during which the taxpayer or the taxpayer's spouse is eligible for FTB Part B. In practice, the FTB Part B takes the place of the higher "with child" spouse rebate that was formally available, which has only been notionally retained for the purposes of caluculating the zone and overseas forces rebates.
Therefore, in practice, the dependant spouse rebate, when the taxpayer and/or spouse have a dependant child for the full year, is $0.</t>
        </r>
      </text>
    </comment>
    <comment ref="I3" authorId="3" shapeId="0" xr:uid="{00000000-0006-0000-3500-00001A000000}">
      <text>
        <r>
          <rPr>
            <b/>
            <sz val="9"/>
            <color indexed="81"/>
            <rFont val="Tahoma"/>
            <family val="2"/>
          </rPr>
          <t>Author:
This is stated in annual amounts.</t>
        </r>
      </text>
    </comment>
    <comment ref="K3" authorId="3" shapeId="0" xr:uid="{00000000-0006-0000-3500-00001B000000}">
      <text>
        <r>
          <rPr>
            <b/>
            <sz val="9"/>
            <color indexed="81"/>
            <rFont val="Tahoma"/>
            <family val="2"/>
          </rPr>
          <t>Author:
This is stated in annual amounts.</t>
        </r>
      </text>
    </comment>
    <comment ref="L3" authorId="3" shapeId="0" xr:uid="{00000000-0006-0000-3500-00001C000000}">
      <text>
        <r>
          <rPr>
            <b/>
            <sz val="9"/>
            <color indexed="81"/>
            <rFont val="Tahoma"/>
            <family val="2"/>
          </rPr>
          <t>Author:
This is stated in annual amounts.</t>
        </r>
      </text>
    </comment>
    <comment ref="M3" authorId="3" shapeId="0" xr:uid="{00000000-0006-0000-3500-00001D000000}">
      <text>
        <r>
          <rPr>
            <b/>
            <sz val="9"/>
            <color indexed="81"/>
            <rFont val="Tahoma"/>
            <family val="2"/>
          </rPr>
          <t>Author:
This is stated in annual amounts.</t>
        </r>
      </text>
    </comment>
    <comment ref="O3" authorId="3" shapeId="0" xr:uid="{00000000-0006-0000-3500-00001E000000}">
      <text>
        <r>
          <rPr>
            <b/>
            <sz val="9"/>
            <color indexed="81"/>
            <rFont val="Tahoma"/>
            <family val="2"/>
          </rPr>
          <t>Author:
These are stated in annual amounts.</t>
        </r>
      </text>
    </comment>
    <comment ref="Q3" authorId="3" shapeId="0" xr:uid="{00000000-0006-0000-3500-00001F000000}">
      <text>
        <r>
          <rPr>
            <b/>
            <sz val="9"/>
            <color indexed="81"/>
            <rFont val="Tahoma"/>
            <family val="2"/>
          </rPr>
          <t>Author:
These are stated in annual amounts.</t>
        </r>
      </text>
    </comment>
    <comment ref="T3" authorId="3" shapeId="0" xr:uid="{00000000-0006-0000-3500-000020000000}">
      <text>
        <r>
          <rPr>
            <b/>
            <sz val="9"/>
            <color indexed="81"/>
            <rFont val="Tahoma"/>
            <family val="2"/>
          </rPr>
          <t>Author:
These are stated in annual amounts.</t>
        </r>
      </text>
    </comment>
    <comment ref="V3" authorId="3" shapeId="0" xr:uid="{00000000-0006-0000-3500-000021000000}">
      <text>
        <r>
          <rPr>
            <b/>
            <sz val="9"/>
            <color indexed="81"/>
            <rFont val="Tahoma"/>
            <family val="2"/>
          </rPr>
          <t>Author:
These are stated in annual amounts.</t>
        </r>
      </text>
    </comment>
    <comment ref="Y3" authorId="7" shapeId="0" xr:uid="{00000000-0006-0000-3500-000022000000}">
      <text>
        <r>
          <rPr>
            <b/>
            <sz val="9"/>
            <color indexed="81"/>
            <rFont val="Tahoma"/>
            <family val="2"/>
          </rPr>
          <t>Author:
Used in dynamic calculation of PENTO maximum amount and thresholds
These are stated in annual amounts.</t>
        </r>
      </text>
    </comment>
    <comment ref="AA3" authorId="2" shapeId="0" xr:uid="{00000000-0006-0000-3500-000023000000}">
      <text>
        <r>
          <rPr>
            <b/>
            <sz val="9"/>
            <color indexed="81"/>
            <rFont val="Tahoma"/>
            <family val="2"/>
          </rPr>
          <t>Author:
Maximum rebate amount depends on person's marital status.
ITR36 Rega 150AA; 150AB; 150AD
These are stated in annual amounts.</t>
        </r>
      </text>
    </comment>
    <comment ref="AC3" authorId="2" shapeId="0" xr:uid="{00000000-0006-0000-3500-000024000000}">
      <text>
        <r>
          <rPr>
            <b/>
            <sz val="9"/>
            <color indexed="81"/>
            <rFont val="Tahoma"/>
            <family val="2"/>
          </rPr>
          <t>Author:
To be eligible for the offset, the person must have rebate income below a certain cut-out threshold. 
See ITR36 Reg 150AB (3), (3A) for calcualtion of threshold.
These are stated in annual amounts.</t>
        </r>
      </text>
    </comment>
    <comment ref="AF3" authorId="1" shapeId="0" xr:uid="{00000000-0006-0000-3500-000025000000}">
      <text>
        <r>
          <rPr>
            <b/>
            <sz val="9"/>
            <color indexed="81"/>
            <rFont val="Tahoma"/>
            <family val="2"/>
          </rPr>
          <t>Author:
this is the tax offset (the rebatable amount) on net medical expenses over the threshold</t>
        </r>
      </text>
    </comment>
    <comment ref="AH3" authorId="3" shapeId="0" xr:uid="{00000000-0006-0000-3500-000026000000}">
      <text>
        <r>
          <rPr>
            <b/>
            <sz val="9"/>
            <color indexed="81"/>
            <rFont val="Tahoma"/>
            <family val="2"/>
          </rPr>
          <t>Author:
This is stated in annual amounts.</t>
        </r>
      </text>
    </comment>
    <comment ref="AI3" authorId="3" shapeId="0" xr:uid="{00000000-0006-0000-3500-000027000000}">
      <text>
        <r>
          <rPr>
            <b/>
            <sz val="9"/>
            <color indexed="81"/>
            <rFont val="Tahoma"/>
            <family val="2"/>
          </rPr>
          <t>Author:
This is stated in annual amounts.</t>
        </r>
      </text>
    </comment>
    <comment ref="AJ3" authorId="3" shapeId="0" xr:uid="{00000000-0006-0000-3500-000028000000}">
      <text>
        <r>
          <rPr>
            <b/>
            <sz val="9"/>
            <color indexed="81"/>
            <rFont val="Tahoma"/>
            <family val="2"/>
          </rPr>
          <t>Author:
This is stated in annual amounts.</t>
        </r>
      </text>
    </comment>
    <comment ref="AL3" authorId="3" shapeId="0" xr:uid="{00000000-0006-0000-3500-000029000000}">
      <text>
        <r>
          <rPr>
            <b/>
            <sz val="9"/>
            <color indexed="81"/>
            <rFont val="Tahoma"/>
            <family val="2"/>
          </rPr>
          <t>Author:
This is stated in annual amounts.</t>
        </r>
      </text>
    </comment>
    <comment ref="AM3" authorId="7" shapeId="0" xr:uid="{00000000-0006-0000-3500-00002A000000}">
      <text>
        <r>
          <rPr>
            <b/>
            <sz val="9"/>
            <color indexed="81"/>
            <rFont val="Tahoma"/>
            <family val="2"/>
          </rPr>
          <t>Author:
Note this can be derived from 'threshold to start phase-out', along with maximum rebate amount and phase out rate
This is stated in annual amounts.</t>
        </r>
      </text>
    </comment>
    <comment ref="R4" authorId="7" shapeId="0" xr:uid="{00000000-0006-0000-3500-00002B000000}">
      <text>
        <r>
          <rPr>
            <b/>
            <sz val="9"/>
            <color indexed="81"/>
            <rFont val="Tahoma"/>
            <family val="2"/>
          </rPr>
          <t>Author:
SATO thresholds are calculated dynamically in STINMOD, rather than read-in from the parameter spreadsheet. These values are hardcoded for information only, based on policy settings as of x/x/2012. 
If changes are made to the rate of LITO, DSTO or SATO, or the income tax scales, the SATO thresholds should change to reflect this.</t>
        </r>
      </text>
    </comment>
    <comment ref="T4" authorId="7" shapeId="0" xr:uid="{00000000-0006-0000-3500-00002C000000}">
      <text>
        <r>
          <rPr>
            <b/>
            <sz val="9"/>
            <color indexed="81"/>
            <rFont val="Tahoma"/>
            <family val="2"/>
          </rPr>
          <t>Author:
PENTO rates and thresholds are calculated dynamically in STINMOD, rather than read-in from the parameter spreadsheet. These values are hardcoded for information only, based on policy settings as of x/x/2012. 
The rate of PENTO is calculated based on the pension rates.
The PENTO thresholds is calculated based on the pension rate, LITO, DSTO, SATO, and income tax scales.
If changes are made to any of these numbers, the PENTO rates and thresholds should be updated to reflect this.</t>
        </r>
      </text>
    </comment>
    <comment ref="U4" authorId="7" shapeId="0" xr:uid="{00000000-0006-0000-3500-00002D000000}">
      <text>
        <r>
          <rPr>
            <b/>
            <sz val="9"/>
            <color indexed="81"/>
            <rFont val="Tahoma"/>
            <family val="2"/>
          </rPr>
          <t>Author:
PENTO rates and thresholds are calculated dynamically in STINMOD, rather than read-in from the parameter spreadsheet. These values are hardcoded for information only, based on policy settings as of x/x/2012. 
The rate of PENTO is calculated based on the pension rates.
The PENTO thresholds is calculated based on the pension rate, LITO, DSTO, SATO, and income tax scales.
If changes are made to any of these numbers, the PENTO rates and thresholds should be updated to reflect this.</t>
        </r>
      </text>
    </comment>
    <comment ref="V4" authorId="7" shapeId="0" xr:uid="{00000000-0006-0000-3500-00002E000000}">
      <text>
        <r>
          <rPr>
            <b/>
            <sz val="9"/>
            <color indexed="81"/>
            <rFont val="Tahoma"/>
            <family val="2"/>
          </rPr>
          <t>Author:
PENTO rates and thresholds are calculated dynamically in STINMOD, rather than read-in from the parameter spreadsheet. These values are hardcoded for information only, based on policy settings as of x/x/2012. 
The rate of PENTO is calculated based on the pension rates.
The PENTO thresholds is calculated based on the pension rate, LITO, DSTO, SATO, and income tax scales.
If changes are made to any of these numbers, the PENTO rates and thresholds should be updated to reflect this.</t>
        </r>
      </text>
    </comment>
    <comment ref="W4" authorId="7" shapeId="0" xr:uid="{00000000-0006-0000-3500-00002F000000}">
      <text>
        <r>
          <rPr>
            <b/>
            <sz val="9"/>
            <color indexed="81"/>
            <rFont val="Tahoma"/>
            <family val="2"/>
          </rPr>
          <t>Author:
PENTO rates and thresholds are calculated dynamically in STINMOD, rather than read-in from the parameter spreadsheet. These values are hardcoded for information only, based on policy settings as of x/x/2012. 
The rate of PENTO is calculated based on the pension rates.
The PENTO thresholds is calculated based on the pension rate, LITO, DSTO, SATO, and income tax scales.
If changes are made to any of these numbers, the PENTO rates and thresholds should be updated to reflect this.</t>
        </r>
      </text>
    </comment>
    <comment ref="O7" authorId="5" shapeId="0" xr:uid="{00000000-0006-0000-3500-000030000000}">
      <text>
        <r>
          <rPr>
            <b/>
            <sz val="9"/>
            <color indexed="81"/>
            <rFont val="Tahoma"/>
            <family val="2"/>
          </rPr>
          <t xml:space="preserve">Author:
ITR 1936, Section 150AB(2), Item 1 of table. </t>
        </r>
      </text>
    </comment>
    <comment ref="P7" authorId="5" shapeId="0" xr:uid="{00000000-0006-0000-3500-000031000000}">
      <text>
        <r>
          <rPr>
            <b/>
            <sz val="9"/>
            <color indexed="81"/>
            <rFont val="Tahoma"/>
            <family val="2"/>
          </rPr>
          <t xml:space="preserve">Author:
ITR 1936, Section 150AB(2), Item 2 of table. </t>
        </r>
      </text>
    </comment>
    <comment ref="Q7" authorId="2" shapeId="0" xr:uid="{00000000-0006-0000-3500-000032000000}">
      <text>
        <r>
          <rPr>
            <b/>
            <sz val="9"/>
            <color indexed="81"/>
            <rFont val="Tahoma"/>
            <family val="2"/>
          </rPr>
          <t>Author:
For person who is single, no tax payable on rebate income up to the cut-out threshold. SATO reduced by taper rate for each dollar of income over the cut-out threshold.
See ITR36 reg 150AB (2), (3), (3A) for calculation of threshold.</t>
        </r>
      </text>
    </comment>
    <comment ref="R7" authorId="2" shapeId="0" xr:uid="{00000000-0006-0000-3500-000033000000}">
      <text>
        <r>
          <rPr>
            <b/>
            <sz val="9"/>
            <color indexed="81"/>
            <rFont val="Tahoma"/>
            <family val="2"/>
          </rPr>
          <t xml:space="preserve">Author:
For person in couple, no tax payable for rebate income up to the cut-out threshold. SATO reduced by taper rate for each dollar of income over the cut-out threshold.
See ITR36 reg 150AB (2), (3), (3A) for calculation of threshold.
</t>
        </r>
      </text>
    </comment>
    <comment ref="S7" authorId="2" shapeId="0" xr:uid="{00000000-0006-0000-3500-000034000000}">
      <text>
        <r>
          <rPr>
            <b/>
            <sz val="9"/>
            <color indexed="81"/>
            <rFont val="Tahoma"/>
            <family val="2"/>
          </rPr>
          <t>Author:
Taper rate for reduction in offset for those with income above the cut-out threshold.
ITR36 reg 150AD b) (ii), c) (ii).
http://www.ato.gov.au/Media-centre/Articles/Tax-Time-2001---Information-for-media---Budget-initiatives-for-seniors-and-important-changes/</t>
        </r>
      </text>
    </comment>
    <comment ref="V7" authorId="2" shapeId="0" xr:uid="{00000000-0006-0000-3500-000035000000}">
      <text>
        <r>
          <rPr>
            <b/>
            <sz val="9"/>
            <color indexed="81"/>
            <rFont val="Tahoma"/>
            <family val="2"/>
          </rPr>
          <t>Author:
ITR36 reg 151</t>
        </r>
      </text>
    </comment>
    <comment ref="W7" authorId="2" shapeId="0" xr:uid="{00000000-0006-0000-3500-000036000000}">
      <text>
        <r>
          <rPr>
            <b/>
            <sz val="9"/>
            <color indexed="81"/>
            <rFont val="Tahoma"/>
            <family val="2"/>
          </rPr>
          <t>Author:
ITR36 reg 151</t>
        </r>
      </text>
    </comment>
    <comment ref="X7" authorId="2" shapeId="0" xr:uid="{00000000-0006-0000-3500-000037000000}">
      <text>
        <r>
          <rPr>
            <b/>
            <sz val="9"/>
            <color indexed="81"/>
            <rFont val="Tahoma"/>
            <family val="2"/>
          </rPr>
          <t>Author:
Taper rate for reduction in offset for those with income above the cut-out threshold.
ITR36 reg 150AD b) (ii), c) (ii).</t>
        </r>
      </text>
    </comment>
    <comment ref="Y7" authorId="8" shapeId="0" xr:uid="{00000000-0006-0000-3500-000038000000}">
      <text>
        <r>
          <rPr>
            <b/>
            <sz val="9"/>
            <color indexed="81"/>
            <rFont val="Tahoma"/>
            <family val="2"/>
          </rPr>
          <t>Author:
ITR36 reg 151 (3A)(a)</t>
        </r>
      </text>
    </comment>
    <comment ref="Z7" authorId="8" shapeId="0" xr:uid="{00000000-0006-0000-3500-000039000000}">
      <text>
        <r>
          <rPr>
            <b/>
            <sz val="9"/>
            <color indexed="81"/>
            <rFont val="Tahoma"/>
            <family val="2"/>
          </rPr>
          <t xml:space="preserve">Author:
ITR Reg 151 (3A) (b)
</t>
        </r>
      </text>
    </comment>
    <comment ref="AA7" authorId="2" shapeId="0" xr:uid="{00000000-0006-0000-3500-00003A000000}">
      <text>
        <r>
          <rPr>
            <b/>
            <sz val="9"/>
            <color indexed="81"/>
            <rFont val="Tahoma"/>
            <family val="2"/>
          </rPr>
          <t xml:space="preserve">Author:
Max SAPTO for person who is single.
ITR36 reg 150AB (2) Item 1 of table.
</t>
        </r>
      </text>
    </comment>
    <comment ref="AB7" authorId="2" shapeId="0" xr:uid="{00000000-0006-0000-3500-00003B000000}">
      <text>
        <r>
          <rPr>
            <b/>
            <sz val="9"/>
            <color indexed="81"/>
            <rFont val="Tahoma"/>
            <family val="2"/>
          </rPr>
          <t>Author:
Max SAPTO for person in a couple.
 ITR36 reg 150AB Item 2 of table.</t>
        </r>
      </text>
    </comment>
    <comment ref="AC7" authorId="2" shapeId="0" xr:uid="{00000000-0006-0000-3500-00003C000000}">
      <text>
        <r>
          <rPr>
            <b/>
            <sz val="9"/>
            <color indexed="81"/>
            <rFont val="Tahoma"/>
            <family val="2"/>
          </rPr>
          <t>Author;
For person who is single, no tax payable on rebate income up to the cut-out threshold. SAPTO reduced by taper rate for each dollar of income over the cut-out threshold.
See ITR36 reg 150AB (2), (3), (3A) for calculation of threshold.</t>
        </r>
      </text>
    </comment>
    <comment ref="AD7" authorId="2" shapeId="0" xr:uid="{00000000-0006-0000-3500-00003D000000}">
      <text>
        <r>
          <rPr>
            <b/>
            <sz val="9"/>
            <color indexed="81"/>
            <rFont val="Tahoma"/>
            <family val="2"/>
          </rPr>
          <t>Author:
For person in a couple, no tax payable on rebate income up to the cut-out threshold. SAPTO reduced by taper rate for each dollar of income over the cut-out threshold.
See ITR36 reg 150AB (2), (3), (3A) for calculation of threshold.</t>
        </r>
      </text>
    </comment>
    <comment ref="AE7" authorId="6" shapeId="0" xr:uid="{00000000-0006-0000-3500-00003E000000}">
      <text>
        <r>
          <rPr>
            <b/>
            <sz val="9"/>
            <color indexed="81"/>
            <rFont val="Tahoma"/>
            <family val="2"/>
          </rPr>
          <t xml:space="preserve">Author:
Not the best source but: http://www.ato.gov.au/Rates/Household-Assistance-Package---tax-reforms/?default=&amp;page=5#Seniors_and_pensioners_tax_offsets
</t>
        </r>
      </text>
    </comment>
    <comment ref="T19" authorId="3" shapeId="0" xr:uid="{00000000-0006-0000-3500-00003F000000}">
      <text>
        <r>
          <rPr>
            <b/>
            <sz val="9"/>
            <color indexed="81"/>
            <rFont val="Tahoma"/>
            <family val="2"/>
          </rPr>
          <t>Author:
Merged with SATO from 1 July 2012 to create SAPTO.</t>
        </r>
      </text>
    </comment>
    <comment ref="U19" authorId="3" shapeId="0" xr:uid="{00000000-0006-0000-3500-000040000000}">
      <text>
        <r>
          <rPr>
            <b/>
            <sz val="9"/>
            <color indexed="81"/>
            <rFont val="Tahoma"/>
            <family val="2"/>
          </rPr>
          <t>Author:
Merged with SATO from 1 July 2012 to create SAPTO.</t>
        </r>
      </text>
    </comment>
    <comment ref="V19" authorId="3" shapeId="0" xr:uid="{00000000-0006-0000-3500-000041000000}">
      <text>
        <r>
          <rPr>
            <b/>
            <sz val="9"/>
            <color indexed="81"/>
            <rFont val="Tahoma"/>
            <family val="2"/>
          </rPr>
          <t>Author:
Merged with SATO from 1 July 2012 to create SAPTO.</t>
        </r>
      </text>
    </comment>
    <comment ref="W19" authorId="3" shapeId="0" xr:uid="{00000000-0006-0000-3500-000042000000}">
      <text>
        <r>
          <rPr>
            <b/>
            <sz val="9"/>
            <color indexed="81"/>
            <rFont val="Tahoma"/>
            <family val="2"/>
          </rPr>
          <t>Author:
Merged with SATO from 1 July 2012 to create SAPTO.</t>
        </r>
      </text>
    </comment>
    <comment ref="L20" authorId="8" shapeId="0" xr:uid="{00000000-0006-0000-3500-000043000000}">
      <text>
        <r>
          <rPr>
            <b/>
            <sz val="9"/>
            <color indexed="81"/>
            <rFont val="Tahoma"/>
            <family val="2"/>
          </rPr>
          <t>Author:
LITO changed as part pf CEF package</t>
        </r>
      </text>
    </comment>
    <comment ref="M20" authorId="8" shapeId="0" xr:uid="{00000000-0006-0000-3500-000044000000}">
      <text>
        <r>
          <rPr>
            <b/>
            <sz val="9"/>
            <color indexed="81"/>
            <rFont val="Tahoma"/>
            <family val="2"/>
          </rPr>
          <t>Author:
LITO changed as part pf CEF package</t>
        </r>
      </text>
    </comment>
    <comment ref="N20" authorId="8" shapeId="0" xr:uid="{00000000-0006-0000-3500-000045000000}">
      <text>
        <r>
          <rPr>
            <b/>
            <sz val="9"/>
            <color indexed="81"/>
            <rFont val="Tahoma"/>
            <family val="2"/>
          </rPr>
          <t>Author:
LITO changed as part pf CEF package</t>
        </r>
      </text>
    </comment>
    <comment ref="AQ20" authorId="9" shapeId="0" xr:uid="{00000000-0006-0000-3500-000046000000}">
      <text>
        <r>
          <rPr>
            <b/>
            <sz val="9"/>
            <color indexed="81"/>
            <rFont val="Tahoma"/>
            <family val="2"/>
          </rPr>
          <t>Author:
Replaced with schoolkids bonus. (now a transfer payment)</t>
        </r>
      </text>
    </comment>
    <comment ref="C22" authorId="10" shapeId="0" xr:uid="{00000000-0006-0000-3500-000047000000}">
      <text>
        <r>
          <rPr>
            <b/>
            <sz val="9"/>
            <color indexed="81"/>
            <rFont val="Tahoma"/>
            <family val="2"/>
          </rPr>
          <t>Author:
DSTO abolished in Budget 2014-15.
Legislated TSLAB1 2015</t>
        </r>
      </text>
    </comment>
    <comment ref="AF22" authorId="4" shapeId="0" xr:uid="{00000000-0006-0000-3500-000048000000}">
      <text>
        <r>
          <rPr>
            <b/>
            <sz val="9"/>
            <color indexed="81"/>
            <rFont val="Tahoma"/>
            <family val="2"/>
          </rPr>
          <t xml:space="preserve">Author:
Can only be claimed by  those already claiming the offset in 2012-13. </t>
        </r>
      </text>
    </comment>
    <comment ref="H23" authorId="11" shapeId="0" xr:uid="{00000000-0006-0000-3500-000049000000}">
      <text>
        <r>
          <rPr>
            <b/>
            <sz val="9"/>
            <color indexed="81"/>
            <rFont val="Tahoma"/>
            <family val="2"/>
          </rPr>
          <t xml:space="preserve">Author:
Fixed indexation formula. </t>
        </r>
      </text>
    </comment>
    <comment ref="K23" authorId="12" shapeId="0" xr:uid="{00000000-0006-0000-3500-00004A000000}">
      <text>
        <r>
          <rPr>
            <b/>
            <sz val="9"/>
            <color indexed="81"/>
            <rFont val="Tahoma"/>
            <family val="2"/>
          </rPr>
          <t>Author:
Linked to FTBB primary earner income limit</t>
        </r>
      </text>
    </comment>
    <comment ref="AF23" authorId="13" shapeId="0" xr:uid="{00000000-0006-0000-3500-00004B000000}">
      <text>
        <r>
          <rPr>
            <b/>
            <sz val="9"/>
            <color indexed="81"/>
            <rFont val="Tahoma"/>
            <family val="2"/>
          </rPr>
          <t>Author:
Additional restrictions applied to limit what types of expenses can be claimed, regardless of claim amount in previous years.</t>
        </r>
      </text>
    </comment>
    <comment ref="K24" authorId="14" shapeId="0" xr:uid="{00000000-0006-0000-3500-00004C000000}">
      <text>
        <r>
          <rPr>
            <b/>
            <sz val="9"/>
            <color indexed="81"/>
            <rFont val="Tahoma"/>
            <family val="2"/>
          </rPr>
          <t xml:space="preserve">Author:
Linked to FTBB income limit. Freeze extended until the end of 2019-20. See 2016-17 MYEFO 'Extending Existing Freezes on Certain Family Payment Thresholds'. This was part of the Budget Savings (Omnibus) Bill 2016. This received Royal Assent on 15 Sep 2016. </t>
        </r>
      </text>
    </comment>
    <comment ref="AT24" authorId="15" shapeId="0" xr:uid="{00000000-0006-0000-3500-00004D000000}">
      <text>
        <r>
          <rPr>
            <b/>
            <sz val="9"/>
            <color indexed="81"/>
            <rFont val="Tahoma"/>
            <family val="2"/>
          </rPr>
          <t>Author:
Budget Measures 2016-17</t>
        </r>
      </text>
    </comment>
    <comment ref="L26" authorId="16" shapeId="0" xr:uid="{00000000-0006-0000-3500-00004E000000}">
      <text>
        <r>
          <rPr>
            <b/>
            <sz val="9"/>
            <color indexed="81"/>
            <rFont val="Tahoma"/>
            <family val="2"/>
          </rPr>
          <t>Author:
2013-14 Budget measure deferred second round of Clean Energy tax cuts until the estimated carbon price in the Budget reaches $25.40. Based on 2013-14 Budget projections, carbon prices are estimated to exceed $25.40 in 2018-19. 
May be repealed by the Coalition so will need to be updated again.
The 2015-16 tax cuts associated with the Carbon tax have been repealed (Labor 2013-14 Budget Savings (Measures No. 1)Act 2014)</t>
        </r>
      </text>
    </comment>
    <comment ref="N26" authorId="16" shapeId="0" xr:uid="{00000000-0006-0000-3500-00004F000000}">
      <text>
        <r>
          <rPr>
            <b/>
            <sz val="9"/>
            <color indexed="81"/>
            <rFont val="Tahoma"/>
            <family val="2"/>
          </rPr>
          <t>Author:
2013-14 Budget measure deferred second round of Clean Energy tax cuts until the estimated carbon price in the Budget reaches $25.40. Based on 2013-14 Budget projections, carbon prices are estimated to exceed $25.40 in 2018-19. 
May be repealed by the Coalition so will need to be updated again.</t>
        </r>
      </text>
    </comment>
    <comment ref="AF27" authorId="4" shapeId="0" xr:uid="{00000000-0006-0000-3500-000050000000}">
      <text>
        <r>
          <rPr>
            <b/>
            <sz val="9"/>
            <color indexed="81"/>
            <rFont val="Tahoma"/>
            <family val="2"/>
          </rPr>
          <t xml:space="preserve">Author:
Fully phased out in 2019. </t>
        </r>
      </text>
    </comment>
  </commentList>
</comments>
</file>

<file path=xl/comments55.xml><?xml version="1.0" encoding="utf-8"?>
<comments xmlns="http://schemas.openxmlformats.org/spreadsheetml/2006/main" xmlns:mc="http://schemas.openxmlformats.org/markup-compatibility/2006" xmlns:xr="http://schemas.microsoft.com/office/spreadsheetml/2014/revision" mc:Ignorable="xr">
  <authors>
    <author>Bott, Mark</author>
    <author>Young, William</author>
    <author>Puspaningrum, Heni</author>
    <author>Stevenson, Martin</author>
    <author>Wang, Hongyan</author>
    <author>Ledda, Daniel</author>
  </authors>
  <commentList>
    <comment ref="C2" authorId="0" shapeId="0" xr:uid="{00000000-0006-0000-3600-000001000000}">
      <text>
        <r>
          <rPr>
            <b/>
            <sz val="9"/>
            <color indexed="81"/>
            <rFont val="Tahoma"/>
            <family val="2"/>
          </rPr>
          <t>Author:
Except in special circumstances, individuals are unable to access their super unless they are of preservation age.</t>
        </r>
      </text>
    </comment>
    <comment ref="D2" authorId="0" shapeId="0" xr:uid="{00000000-0006-0000-3600-000002000000}">
      <text>
        <r>
          <rPr>
            <b/>
            <sz val="9"/>
            <color indexed="81"/>
            <rFont val="Tahoma"/>
            <family val="2"/>
          </rPr>
          <t>Author:
As part of the "better super" package, all superannuation benefits for people aged this age or over are tax free (non-assessable, non-exempt).
See s301-10 ITAA 1997.</t>
        </r>
      </text>
    </comment>
    <comment ref="E2" authorId="0" shapeId="0" xr:uid="{00000000-0006-0000-3600-000003000000}">
      <text>
        <r>
          <rPr>
            <b/>
            <sz val="9"/>
            <color indexed="81"/>
            <rFont val="Tahoma"/>
            <family val="2"/>
          </rPr>
          <t>Author:
Once an individual starts a pension or annuity, a minimum percentage of the account balance must be paid each year. 
This percentage depends on the individual's age.
See schedule 7 to Superannuation Industry (Supervision) Act 1994.</t>
        </r>
      </text>
    </comment>
    <comment ref="AA2" authorId="1" shapeId="0" xr:uid="{00000000-0006-0000-3600-000004000000}">
      <text>
        <r>
          <rPr>
            <b/>
            <sz val="9"/>
            <color indexed="81"/>
            <rFont val="Tahoma"/>
            <family val="2"/>
          </rPr>
          <t>Author:
Redundancy payments and early retirememnt payments are non-assessable, non exempt income up until an amount given by:
base payment + (years of service * add on).
Source: See s.83-170(3) and s960.275 ITAA1997.
Amounts not used from 2007-08 onward but kept for interest.
https://www.ato.gov.au/rates/key-superannuation-rates-and-thresholds/?page=19#Tax_free_part_of_genuine_redundancy_and_early</t>
        </r>
      </text>
    </comment>
    <comment ref="AC2" authorId="2" shapeId="0" xr:uid="{00000000-0006-0000-3600-000005000000}">
      <text>
        <r>
          <rPr>
            <b/>
            <sz val="9"/>
            <color indexed="81"/>
            <rFont val="Tahoma"/>
            <family val="2"/>
          </rPr>
          <t>Author:
Budget Measures 2016-17: $1.6m super transfer balance cap into retirement phase.</t>
        </r>
      </text>
    </comment>
    <comment ref="V3" authorId="0" shapeId="0" xr:uid="{00000000-0006-0000-3600-000006000000}">
      <text>
        <r>
          <rPr>
            <b/>
            <sz val="9"/>
            <color indexed="81"/>
            <rFont val="Tahoma"/>
            <family val="2"/>
          </rPr>
          <t>Author:
The taxed elements for people across this age do not attract tax.</t>
        </r>
      </text>
    </comment>
    <comment ref="Y3" authorId="1" shapeId="0" xr:uid="{00000000-0006-0000-3600-000007000000}">
      <text>
        <r>
          <rPr>
            <b/>
            <sz val="9"/>
            <color indexed="81"/>
            <rFont val="Tahoma"/>
            <family val="2"/>
          </rPr>
          <t>Author: 
Lump sum payments up to this amount are given a more concessional treatment.
Indexed annually by AWOTE.
Frequency: Annual
See s301.20, 307.345, 960.285 ITAA1997, .
https://www.ato.gov.au/Rates/Key-superannuation-rates-and-thresholds/?page=7</t>
        </r>
      </text>
    </comment>
    <comment ref="Z3" authorId="0" shapeId="0" xr:uid="{00000000-0006-0000-3600-000008000000}">
      <text>
        <r>
          <rPr>
            <b/>
            <sz val="9"/>
            <color indexed="81"/>
            <rFont val="Tahoma"/>
            <family val="2"/>
          </rPr>
          <t>Author:
The untaxed plan cap amount limits the concessional tax treatment of benefits that have not been subject to contributions tax in a super fund.  
Frequency: Annual
See s307.345, 960.285 ITAA1997.
https://www.ato.gov.au/Rates/Key-superannuation-rates-and-thresholds/?page=8#Untaxed_plan_cap_amount</t>
        </r>
      </text>
    </comment>
    <comment ref="L5" authorId="0" shapeId="0" xr:uid="{00000000-0006-0000-3600-000009000000}">
      <text>
        <r>
          <rPr>
            <b/>
            <sz val="9"/>
            <color indexed="81"/>
            <rFont val="Tahoma"/>
            <family val="2"/>
          </rPr>
          <t>Author:
Pre preservation aged lump sums are taxed at 20 per cent.
s301-35 ITAA 1997.
https://www.ato.gov.au/Rates/Key-superannuation-rates-and-thresholds/?page=11#Super_lump_sum_tax_table</t>
        </r>
      </text>
    </comment>
    <comment ref="M5" authorId="0" shapeId="0" xr:uid="{00000000-0006-0000-3600-00000A000000}">
      <text>
        <r>
          <rPr>
            <b/>
            <sz val="9"/>
            <color indexed="81"/>
            <rFont val="Tahoma"/>
            <family val="2"/>
          </rPr>
          <t>Author:
Those who have pre preservation access to super due to disability are entitled to an  offset for contributions tax paid. s301-40 ITAA 1997.</t>
        </r>
      </text>
    </comment>
    <comment ref="N5" authorId="0" shapeId="0" xr:uid="{00000000-0006-0000-3600-00000B000000}">
      <text>
        <r>
          <rPr>
            <b/>
            <sz val="9"/>
            <color indexed="81"/>
            <rFont val="Tahoma"/>
            <family val="2"/>
          </rPr>
          <t>Author:
For pre preservation age individuals, the untaxed element of lump sums (up to the untaxed plan cap amount) are taxed at this rate. s307-350 ITAA 1997.
Any amount above the cap are taxed at the top marginal rate. s301-115 ITAA 1997.</t>
        </r>
      </text>
    </comment>
    <comment ref="P5" authorId="3" shapeId="0" xr:uid="{00000000-0006-0000-3600-00000C000000}">
      <text>
        <r>
          <rPr>
            <b/>
            <sz val="9"/>
            <color indexed="81"/>
            <rFont val="Tahoma"/>
            <family val="2"/>
          </rPr>
          <t>Author:
For person between preservation age and post tax free age, taxable component of lump sum is assesable income. s301-20 ITAA 1997.</t>
        </r>
      </text>
    </comment>
    <comment ref="R5" authorId="3" shapeId="0" xr:uid="{00000000-0006-0000-3600-00000D000000}">
      <text>
        <r>
          <rPr>
            <b/>
            <sz val="9"/>
            <color indexed="81"/>
            <rFont val="Tahoma"/>
            <family val="2"/>
          </rPr>
          <t>Author:
For person between preservation age and post tax free age, taxable component of income stream is assesable income. s301-25 ITAA 1997.</t>
        </r>
      </text>
    </comment>
    <comment ref="S5" authorId="3" shapeId="0" xr:uid="{00000000-0006-0000-3600-00000E000000}">
      <text>
        <r>
          <rPr>
            <b/>
            <sz val="9"/>
            <color indexed="81"/>
            <rFont val="Tahoma"/>
            <family val="2"/>
          </rPr>
          <t>Author:
For person over preservation age but under 60 recieves lump benefit, the element untaxed is assesable income. s301-105 ITAA 1997</t>
        </r>
      </text>
    </comment>
    <comment ref="V5" authorId="3" shapeId="0" xr:uid="{00000000-0006-0000-3600-00000F000000}">
      <text>
        <r>
          <rPr>
            <b/>
            <sz val="9"/>
            <color indexed="81"/>
            <rFont val="Tahoma"/>
            <family val="2"/>
          </rPr>
          <t>Author:
For person post tax free age with lump sum benefit, element untaxed is assesable income. s301-95 ITAA 1997.</t>
        </r>
      </text>
    </comment>
    <comment ref="X5" authorId="3" shapeId="0" xr:uid="{00000000-0006-0000-3600-000010000000}">
      <text>
        <r>
          <rPr>
            <b/>
            <sz val="9"/>
            <color indexed="81"/>
            <rFont val="Tahoma"/>
            <family val="2"/>
          </rPr>
          <t xml:space="preserve">Author:
For person post tax free age with income stream, element untaxed is assesable income and subject to marginal tax rates. s301-95 ITAA 1997. </t>
        </r>
      </text>
    </comment>
    <comment ref="P6" authorId="0" shapeId="0" xr:uid="{00000000-0006-0000-3600-000011000000}">
      <text>
        <r>
          <rPr>
            <b/>
            <sz val="9"/>
            <color indexed="81"/>
            <rFont val="Tahoma"/>
            <family val="2"/>
          </rPr>
          <t xml:space="preserve">Author:
For person between preservation age and post tax free age, lump sum up to the low cap amount are untaxed. s301-20 ITAA 1997.
</t>
        </r>
      </text>
    </comment>
    <comment ref="Q6" authorId="0" shapeId="0" xr:uid="{00000000-0006-0000-3600-000012000000}">
      <text>
        <r>
          <rPr>
            <b/>
            <sz val="9"/>
            <color indexed="81"/>
            <rFont val="Tahoma"/>
            <family val="2"/>
          </rPr>
          <t>Author:
For person between preservation age and post tax free age, lump sum over low cap amount is taxed at this rate. s301-20 ITAA 1997</t>
        </r>
      </text>
    </comment>
    <comment ref="R6" authorId="3" shapeId="0" xr:uid="{00000000-0006-0000-3600-000013000000}">
      <text>
        <r>
          <rPr>
            <b/>
            <sz val="9"/>
            <color indexed="81"/>
            <rFont val="Tahoma"/>
            <family val="2"/>
          </rPr>
          <t>Author:
Member entitled to tax offset equal to 15 per cent of taxable component. s301-25 ITAA 1997
https://www.ato.gov.au/individuals/income-and-deductions/offsets-and-rebates/super-related-tax-offsets/</t>
        </r>
      </text>
    </comment>
    <comment ref="S6" authorId="3" shapeId="0" xr:uid="{00000000-0006-0000-3600-000014000000}">
      <text>
        <r>
          <rPr>
            <b/>
            <sz val="9"/>
            <color indexed="81"/>
            <rFont val="Tahoma"/>
            <family val="2"/>
          </rPr>
          <t xml:space="preserve">Author:
Tax rate on components up to the low rate cap amount.  s307-345 ITAA 1997
</t>
        </r>
      </text>
    </comment>
    <comment ref="T6" authorId="3" shapeId="0" xr:uid="{00000000-0006-0000-3600-000015000000}">
      <text>
        <r>
          <rPr>
            <b/>
            <sz val="9"/>
            <color indexed="81"/>
            <rFont val="Tahoma"/>
            <family val="2"/>
          </rPr>
          <t>Author:
Tax rate on amounts in excess of the low cap rate amount and up to untaxed plan cap amount. s307-350 ITAA 1997
Any amount above this is taxed at the top marginal rate.</t>
        </r>
      </text>
    </comment>
    <comment ref="V6" authorId="3" shapeId="0" xr:uid="{00000000-0006-0000-3600-000016000000}">
      <text>
        <r>
          <rPr>
            <b/>
            <sz val="9"/>
            <color indexed="81"/>
            <rFont val="Tahoma"/>
            <family val="2"/>
          </rPr>
          <t>Author:
For post tax free age individuals, the untaxed element of lump sums (up to the untaxed plan cap amount) are taxed at this rate. S307-350 ITAA 1997.
Top marginal rate applies to part of element untaxed in fund that exceeds untaxed plan cap amount.</t>
        </r>
      </text>
    </comment>
    <comment ref="X6" authorId="3" shapeId="0" xr:uid="{00000000-0006-0000-3600-000017000000}">
      <text>
        <r>
          <rPr>
            <b/>
            <sz val="9"/>
            <color indexed="81"/>
            <rFont val="Tahoma"/>
            <family val="2"/>
          </rPr>
          <t>Author:
Post tax free age individuals entiltled to offset equal to 10 per cent of element untaxed in the fund. s301-100 ITAA 1997.
https://www.ato.gov.au/individuals/income-and-deductions/offsets-and-rebates/super-related-tax-offsets/</t>
        </r>
      </text>
    </comment>
    <comment ref="Y15" authorId="0" shapeId="0" xr:uid="{00000000-0006-0000-3600-000018000000}">
      <text>
        <r>
          <rPr>
            <b/>
            <sz val="9"/>
            <color indexed="81"/>
            <rFont val="Tahoma"/>
            <family val="2"/>
          </rPr>
          <t>Author:
Current legislative arrangements begin here.</t>
        </r>
      </text>
    </comment>
    <comment ref="E16" authorId="1" shapeId="0" xr:uid="{00000000-0006-0000-3600-000019000000}">
      <text>
        <r>
          <rPr>
            <b/>
            <sz val="9"/>
            <color indexed="81"/>
            <rFont val="Tahoma"/>
            <family val="2"/>
          </rPr>
          <t>Author:
Draw down relief of 50% provided due to GFC in 2008-09, 2009-10 and 2010-11.</t>
        </r>
      </text>
    </comment>
    <comment ref="E19" authorId="1" shapeId="0" xr:uid="{00000000-0006-0000-3600-00001A000000}">
      <text>
        <r>
          <rPr>
            <b/>
            <sz val="9"/>
            <color indexed="81"/>
            <rFont val="Tahoma"/>
            <family val="2"/>
          </rPr>
          <t>Author:
Drawdown factors reduced by 25% in 2011-12 and 2012-13 due to GFC</t>
        </r>
      </text>
    </comment>
    <comment ref="AA22" authorId="4" shapeId="0" xr:uid="{00000000-0006-0000-3600-00001B000000}">
      <text>
        <r>
          <rPr>
            <b/>
            <sz val="9"/>
            <color indexed="81"/>
            <rFont val="Tahoma"/>
            <family val="2"/>
          </rPr>
          <t xml:space="preserve">Author:
hard coded with 9514 now corrected with fomular
</t>
        </r>
      </text>
    </comment>
    <comment ref="AB22" authorId="4" shapeId="0" xr:uid="{00000000-0006-0000-3600-00001C000000}">
      <text>
        <r>
          <rPr>
            <b/>
            <sz val="9"/>
            <color indexed="81"/>
            <rFont val="Tahoma"/>
            <family val="2"/>
          </rPr>
          <t xml:space="preserve">Author:
hard coded with 4758, now corrected with fomular
</t>
        </r>
      </text>
    </comment>
    <comment ref="C23" authorId="1" shapeId="0" xr:uid="{00000000-0006-0000-3600-00001D000000}">
      <text>
        <r>
          <rPr>
            <b/>
            <sz val="9"/>
            <color indexed="81"/>
            <rFont val="Tahoma"/>
            <family val="2"/>
          </rPr>
          <t>Author:
See key superannuation rates and thresholds on ATO werbsite.</t>
        </r>
      </text>
    </comment>
    <comment ref="AC25" authorId="5" shapeId="0" xr:uid="{00000000-0006-0000-3600-00001E000000}">
      <text>
        <r>
          <rPr>
            <b/>
            <sz val="9"/>
            <color indexed="81"/>
            <rFont val="Tahoma"/>
            <family val="2"/>
          </rPr>
          <t>Author:
Budget Measures 2016-17: $1.6m super transfer balance cap into retirement phase.</t>
        </r>
      </text>
    </comment>
  </commentList>
</comments>
</file>

<file path=xl/sharedStrings.xml><?xml version="1.0" encoding="utf-8"?>
<sst xmlns="http://schemas.openxmlformats.org/spreadsheetml/2006/main" count="2394" uniqueCount="982">
  <si>
    <t>CPI Release</t>
  </si>
  <si>
    <t>Index</t>
  </si>
  <si>
    <t>AWE Release</t>
  </si>
  <si>
    <t>Males Total Average Weekly Earnings</t>
  </si>
  <si>
    <t>Original Survey Basis</t>
  </si>
  <si>
    <t>Full Time Adults Average Weekly Ordinary Time Earnings</t>
  </si>
  <si>
    <t>Seasonaly Adjusted</t>
  </si>
  <si>
    <t>Quarterly Growth</t>
  </si>
  <si>
    <t>All Persons Total Average Weekly Earnings</t>
  </si>
  <si>
    <t>PBLCI Release</t>
  </si>
  <si>
    <t>PBLCI, Australia (First published)</t>
  </si>
  <si>
    <t>Couple</t>
  </si>
  <si>
    <t>Single</t>
  </si>
  <si>
    <t>Period</t>
  </si>
  <si>
    <t>Disability rate</t>
  </si>
  <si>
    <t>Rent assistance free area</t>
  </si>
  <si>
    <t>From</t>
  </si>
  <si>
    <t>To</t>
  </si>
  <si>
    <t>Special</t>
  </si>
  <si>
    <t>Intermediate</t>
  </si>
  <si>
    <t>Extreme</t>
  </si>
  <si>
    <t>Married</t>
  </si>
  <si>
    <t>Withdrawal rate for rent assistance</t>
  </si>
  <si>
    <t>Rates</t>
  </si>
  <si>
    <t>Tests</t>
  </si>
  <si>
    <t>Pension supplement</t>
  </si>
  <si>
    <t>Income test</t>
  </si>
  <si>
    <t>Income test free area</t>
  </si>
  <si>
    <t>Extra per dependent child</t>
  </si>
  <si>
    <t>Home owner</t>
  </si>
  <si>
    <t>Basic amount</t>
  </si>
  <si>
    <t>Remaining amount</t>
  </si>
  <si>
    <t>Minimum amount</t>
  </si>
  <si>
    <t>Total</t>
  </si>
  <si>
    <t>Non home owner</t>
  </si>
  <si>
    <t>Income test taper rate</t>
  </si>
  <si>
    <t>Carer Allowance (per fortnight)</t>
  </si>
  <si>
    <t>Extra per dept child</t>
  </si>
  <si>
    <t>Youth disability supplement</t>
  </si>
  <si>
    <t>Income threshold</t>
  </si>
  <si>
    <t>Other</t>
  </si>
  <si>
    <t>Non-home owner</t>
  </si>
  <si>
    <t>Age of Independence</t>
  </si>
  <si>
    <t>Full time students</t>
  </si>
  <si>
    <t>FTB-A supplement (per child)</t>
  </si>
  <si>
    <t>Large family supplement</t>
  </si>
  <si>
    <t>Extra per additional dep</t>
  </si>
  <si>
    <t>Reduction for excess income</t>
  </si>
  <si>
    <t>Under 18 years old</t>
  </si>
  <si>
    <t>18 to 24 years old</t>
  </si>
  <si>
    <t>Under 13 years old</t>
  </si>
  <si>
    <t>16 to 17 years old</t>
  </si>
  <si>
    <t>Dependency Income limit ($ per year)</t>
  </si>
  <si>
    <t>Couples</t>
  </si>
  <si>
    <t>Sole parents</t>
  </si>
  <si>
    <t>No child &lt; 5 yo</t>
  </si>
  <si>
    <t>At least one child &lt; 5 yo</t>
  </si>
  <si>
    <t>Extra inc for deps</t>
  </si>
  <si>
    <t>Test</t>
  </si>
  <si>
    <t>Income limit for baby bonus</t>
  </si>
  <si>
    <t>Maximum Rate</t>
  </si>
  <si>
    <t>Primary Earner</t>
  </si>
  <si>
    <t>Secondary Earner</t>
  </si>
  <si>
    <t>Phase in Threshold</t>
  </si>
  <si>
    <t>Taper in Rate</t>
  </si>
  <si>
    <t>Phase out threshold</t>
  </si>
  <si>
    <t>Taper out rate</t>
  </si>
  <si>
    <t>Rate</t>
  </si>
  <si>
    <t>Income Requirement Thresholds</t>
  </si>
  <si>
    <t xml:space="preserve">From </t>
  </si>
  <si>
    <t>Individuals, no dependents</t>
  </si>
  <si>
    <t>Couples, no dependants</t>
  </si>
  <si>
    <t>Families with dependents</t>
  </si>
  <si>
    <t>At Home</t>
  </si>
  <si>
    <t>Away from Home</t>
  </si>
  <si>
    <t>Partnered</t>
  </si>
  <si>
    <t>Marginal rate in first tax step</t>
  </si>
  <si>
    <t>Second step in income tax scale</t>
  </si>
  <si>
    <t>Marginal rate in second tax step</t>
  </si>
  <si>
    <t>Third step in income tax scale</t>
  </si>
  <si>
    <t>Marginal rate in third tax step</t>
  </si>
  <si>
    <t>Fourth step in income tax scale</t>
  </si>
  <si>
    <t>Marginal rate in fourth tax step</t>
  </si>
  <si>
    <t>Period from:</t>
  </si>
  <si>
    <t>Medicare levy surcharge</t>
  </si>
  <si>
    <t>Shade-in rate</t>
  </si>
  <si>
    <t>Seniors</t>
  </si>
  <si>
    <t>Dependant spouse rebate</t>
  </si>
  <si>
    <t>Senior Australian Tax Offset</t>
  </si>
  <si>
    <t>Mature age worker tax offset</t>
  </si>
  <si>
    <t>Education Tax Refund</t>
  </si>
  <si>
    <t>Separate net income thresholds</t>
  </si>
  <si>
    <t>Withdrawal rates</t>
  </si>
  <si>
    <t>Income limit of dependent spouse rebate</t>
  </si>
  <si>
    <t>Rebate maximum amount</t>
  </si>
  <si>
    <t>Income test threshold</t>
  </si>
  <si>
    <t>Withdrawal rate</t>
  </si>
  <si>
    <t>Rebate amount</t>
  </si>
  <si>
    <t>Qualifying age</t>
  </si>
  <si>
    <t>Maximum rebateable expenditure per child</t>
  </si>
  <si>
    <t>Proportion of expenses covered</t>
  </si>
  <si>
    <t>No dependents</t>
  </si>
  <si>
    <t>Phase-in Rate</t>
  </si>
  <si>
    <t>Phase-out Rate</t>
  </si>
  <si>
    <t>Share of earned income in private income</t>
  </si>
  <si>
    <t>Primary school</t>
  </si>
  <si>
    <t>Secondary school</t>
  </si>
  <si>
    <t>Annual Growth</t>
  </si>
  <si>
    <t>Payment rates (fortnightly)</t>
  </si>
  <si>
    <t>16-17 y.o.</t>
  </si>
  <si>
    <t>18+ y.o.</t>
  </si>
  <si>
    <t>Pen. Edu Supplement</t>
  </si>
  <si>
    <t>Threshold to start phase-out</t>
  </si>
  <si>
    <t>Pensioners Tax Offset</t>
  </si>
  <si>
    <t xml:space="preserve">Withdrawal Rate </t>
  </si>
  <si>
    <t>Base rate</t>
  </si>
  <si>
    <t>Maximum rate</t>
  </si>
  <si>
    <t>Annual payment rate per child</t>
  </si>
  <si>
    <t>Income tests</t>
  </si>
  <si>
    <t>Maximum rebate amount</t>
  </si>
  <si>
    <t>Threshold to end phase-out</t>
  </si>
  <si>
    <t>Net Medical Expenses Offset</t>
  </si>
  <si>
    <t>Threshold</t>
  </si>
  <si>
    <t>Senior Australians and Pensioners Tax Offset</t>
  </si>
  <si>
    <t>Taxed elements</t>
  </si>
  <si>
    <t>Untaxed elements</t>
  </si>
  <si>
    <t>Taper Rate</t>
  </si>
  <si>
    <t>Seniors rebate supplement</t>
  </si>
  <si>
    <t>Preservation age</t>
  </si>
  <si>
    <t>No deps</t>
  </si>
  <si>
    <t>1-2 deps</t>
  </si>
  <si>
    <t>&gt; 2 deps</t>
  </si>
  <si>
    <t>Maximum rent assistance payable</t>
  </si>
  <si>
    <t>Minimum rent paid for rent allowance to be payable</t>
  </si>
  <si>
    <t>Rate of Pharmaceutical Allowance</t>
  </si>
  <si>
    <t>Singles</t>
  </si>
  <si>
    <t>lower</t>
  </si>
  <si>
    <t>upper</t>
  </si>
  <si>
    <t>Telephone Allowance</t>
  </si>
  <si>
    <t>Utitlities Allowance</t>
  </si>
  <si>
    <t>Seniors Supplement</t>
  </si>
  <si>
    <t>Commonwealth Senior Health Card Eligibility</t>
  </si>
  <si>
    <t>Increase for Dependent Children</t>
  </si>
  <si>
    <t>Permissable Child Earnings</t>
  </si>
  <si>
    <t>Under 16 (weekly)</t>
  </si>
  <si>
    <t>16 and more (annual)</t>
  </si>
  <si>
    <t>Child Care Benefit</t>
  </si>
  <si>
    <t>Multiple Child Loading</t>
  </si>
  <si>
    <t>2 kids</t>
  </si>
  <si>
    <t>3+ kids</t>
  </si>
  <si>
    <t>School Kids Percentage</t>
  </si>
  <si>
    <t>Maximum Hours</t>
  </si>
  <si>
    <t>If Pass Worktest</t>
  </si>
  <si>
    <t>If Do Not Pass Worktest</t>
  </si>
  <si>
    <t>Weekly Hours Work Required to Pass Worktest</t>
  </si>
  <si>
    <t>Income Thresholds</t>
  </si>
  <si>
    <t>Lower</t>
  </si>
  <si>
    <t>Upper</t>
  </si>
  <si>
    <t>Taper Rates</t>
  </si>
  <si>
    <t>1 child</t>
  </si>
  <si>
    <t>2 children</t>
  </si>
  <si>
    <t>3+ children</t>
  </si>
  <si>
    <t>Child Care Rebate</t>
  </si>
  <si>
    <t>Maximum Annual Rebate</t>
  </si>
  <si>
    <t>Percentage of Out of Pocket Costs Claimable</t>
  </si>
  <si>
    <t>If Do Not Pass Activity Test</t>
  </si>
  <si>
    <t>If Pass Activity Test</t>
  </si>
  <si>
    <t>Assets Deeming</t>
  </si>
  <si>
    <t>Means Tests</t>
  </si>
  <si>
    <t>Thresholds</t>
  </si>
  <si>
    <t>Other Couple</t>
  </si>
  <si>
    <t>Pensioner Couple</t>
  </si>
  <si>
    <t>Single Threshold</t>
  </si>
  <si>
    <t>Married Threshold</t>
  </si>
  <si>
    <t>Taper Rate on Income Excess</t>
  </si>
  <si>
    <t>Assets testing</t>
  </si>
  <si>
    <t>Reduction rate</t>
  </si>
  <si>
    <t>Rounding Factor for Assets Tetsing</t>
  </si>
  <si>
    <t>Income reduction factor for earned income below the threshold</t>
  </si>
  <si>
    <t>Pension Supplement</t>
  </si>
  <si>
    <t>Coupled</t>
  </si>
  <si>
    <t>Maximum Basic Rate</t>
  </si>
  <si>
    <t>Total fortnightly maximum single pension rate</t>
  </si>
  <si>
    <t>Total fortnightly maximum coupled pension rate</t>
  </si>
  <si>
    <t>Carer Supplement (annual)</t>
  </si>
  <si>
    <t>Disability and Dependent Pension Rates</t>
  </si>
  <si>
    <t>Income Support Supplement Ceiling Rate</t>
  </si>
  <si>
    <t>War Widows' Pension</t>
  </si>
  <si>
    <t>Components</t>
  </si>
  <si>
    <t>Maximum fortnightly WW pension</t>
  </si>
  <si>
    <t>Supplementary Amount</t>
  </si>
  <si>
    <t>Add on</t>
  </si>
  <si>
    <t>Means Test</t>
  </si>
  <si>
    <t>peCpi</t>
  </si>
  <si>
    <t>peCpiG</t>
  </si>
  <si>
    <t>pePblci</t>
  </si>
  <si>
    <t>pePblciG</t>
  </si>
  <si>
    <t>Age Pension Work Bonus</t>
  </si>
  <si>
    <t>Female</t>
  </si>
  <si>
    <t>Male</t>
  </si>
  <si>
    <t>Age pension age</t>
  </si>
  <si>
    <t>Maximum Fortnightly Rate (before rent assistance and pharmA)</t>
  </si>
  <si>
    <t>Assets Cut Outs</t>
  </si>
  <si>
    <t>Home Owner</t>
  </si>
  <si>
    <t>Non-Home Owner</t>
  </si>
  <si>
    <t>Payment Rates</t>
  </si>
  <si>
    <t>Aged Under 18</t>
  </si>
  <si>
    <t>Aged 18 to 20</t>
  </si>
  <si>
    <t>Aged Under 21</t>
  </si>
  <si>
    <t>Total Payment (before PhA and RA)</t>
  </si>
  <si>
    <t>With Dependents</t>
  </si>
  <si>
    <t>No Dependents</t>
  </si>
  <si>
    <t>MBR</t>
  </si>
  <si>
    <t>60+ and long term recipient</t>
  </si>
  <si>
    <t>NewStart Allowance, Special Benefit, Sickness Allowance and Parenting Payment Partnered Rates</t>
  </si>
  <si>
    <t>AlNsaTot60S</t>
  </si>
  <si>
    <t>Total (before RA and PhA)</t>
  </si>
  <si>
    <t>Asset Cutout</t>
  </si>
  <si>
    <t>Couples and Singles Without Deps</t>
  </si>
  <si>
    <t>Singles with Dependents</t>
  </si>
  <si>
    <t>Total (before RA)</t>
  </si>
  <si>
    <t>Dependent At Home</t>
  </si>
  <si>
    <t>Coupled Without Children</t>
  </si>
  <si>
    <t>Coupled With Children</t>
  </si>
  <si>
    <t>Single, no kids, not at home</t>
  </si>
  <si>
    <t>Income Tests</t>
  </si>
  <si>
    <t>Full Time Students</t>
  </si>
  <si>
    <t>Income Thresholds ($ per Fortnight)</t>
  </si>
  <si>
    <t>Unemployed</t>
  </si>
  <si>
    <t>1st Year</t>
  </si>
  <si>
    <t>Intermediate Rate</t>
  </si>
  <si>
    <t>Ongoing Rate Rate</t>
  </si>
  <si>
    <t>Relocation Scholarship (per year)</t>
  </si>
  <si>
    <t>Basic Rate</t>
  </si>
  <si>
    <t>13 to 15 years old and senior secondary students</t>
  </si>
  <si>
    <t>Multiple Birth Allowance</t>
  </si>
  <si>
    <t>Triplets</t>
  </si>
  <si>
    <t>Quads or More</t>
  </si>
  <si>
    <t>Higher Income Free Area</t>
  </si>
  <si>
    <t>Income Free Area</t>
  </si>
  <si>
    <t>Fortnightly Component</t>
  </si>
  <si>
    <t>End of Year Supplement (per family)</t>
  </si>
  <si>
    <t>Secondary Earning Income Test</t>
  </si>
  <si>
    <t>Primary earner income limit</t>
  </si>
  <si>
    <t>Maintenance Income Test</t>
  </si>
  <si>
    <t>One Recipient of Child Support</t>
  </si>
  <si>
    <t>Both Parents Receive Child Support</t>
  </si>
  <si>
    <t>Standard Rate</t>
  </si>
  <si>
    <t>Annual Income Limit</t>
  </si>
  <si>
    <t xml:space="preserve">Reduction rate for income excess </t>
  </si>
  <si>
    <t>Method 1 income test</t>
  </si>
  <si>
    <t>FTB Child Qualifying Rules</t>
  </si>
  <si>
    <t>Total Baby Bonus Payment</t>
  </si>
  <si>
    <t>1st Child</t>
  </si>
  <si>
    <t>2nd and Subsequent Chidren</t>
  </si>
  <si>
    <t>oiLisMax</t>
  </si>
  <si>
    <t>oiLisThrSNoKid</t>
  </si>
  <si>
    <t>oiLisThrCNoKid</t>
  </si>
  <si>
    <t>oiLisThrFam</t>
  </si>
  <si>
    <t>oiLisTxThr</t>
  </si>
  <si>
    <t>Tax Requirement Lower Threshold</t>
  </si>
  <si>
    <t>Rate of Low Income Supplement</t>
  </si>
  <si>
    <t>Rent Assistance for Disability Pensioners</t>
  </si>
  <si>
    <t>Secondary Earner Income Test</t>
  </si>
  <si>
    <t>Add on for each child</t>
  </si>
  <si>
    <t>Add on per child</t>
  </si>
  <si>
    <t>Standard Threshold</t>
  </si>
  <si>
    <t>Taxable Pensioners</t>
  </si>
  <si>
    <t>Families</t>
  </si>
  <si>
    <t>Standard</t>
  </si>
  <si>
    <t>Tier 1</t>
  </si>
  <si>
    <t>Tier 2</t>
  </si>
  <si>
    <t>Tier 3</t>
  </si>
  <si>
    <t>SchoolKids Bonus per Child</t>
  </si>
  <si>
    <t>Primary School Children</t>
  </si>
  <si>
    <t>Secondary School Children</t>
  </si>
  <si>
    <t>Rate of Income Support Bonus</t>
  </si>
  <si>
    <t>Tax free age</t>
  </si>
  <si>
    <t>Minimum annual drawdown factors for super income streams</t>
  </si>
  <si>
    <t>Bona fide redundancy - tax-free part</t>
  </si>
  <si>
    <t>Pre-preservation age maximum rates</t>
  </si>
  <si>
    <t>Post-preservation but pre-tax free age maximum rates</t>
  </si>
  <si>
    <t>Base limit</t>
  </si>
  <si>
    <t>Per complete year of service</t>
  </si>
  <si>
    <t>Lump sum rate</t>
  </si>
  <si>
    <t>Income stream</t>
  </si>
  <si>
    <t>Lump sum</t>
  </si>
  <si>
    <t>Tax rate 1</t>
  </si>
  <si>
    <t>Tax rate 2</t>
  </si>
  <si>
    <t>Offset rate</t>
  </si>
  <si>
    <t>Spouse income threshold</t>
  </si>
  <si>
    <t>Maximum contributions eligible for offset</t>
  </si>
  <si>
    <t>Taper rate</t>
  </si>
  <si>
    <t>Medicare Levy</t>
  </si>
  <si>
    <t>(Statutory) Tax Free Threshold</t>
  </si>
  <si>
    <t>Cap</t>
  </si>
  <si>
    <t>Aged Under 65</t>
  </si>
  <si>
    <t>Aged 65-74</t>
  </si>
  <si>
    <t>Aged 75-79</t>
  </si>
  <si>
    <t>Aged 80-84</t>
  </si>
  <si>
    <t>Aged 85-89</t>
  </si>
  <si>
    <t>Aged 90-94</t>
  </si>
  <si>
    <t>Aged 95 or more</t>
  </si>
  <si>
    <t>Tax Rates on Superannuation Benefits</t>
  </si>
  <si>
    <t>Post tax-free age</t>
  </si>
  <si>
    <t>Offset rate disability benefit for income stream</t>
  </si>
  <si>
    <t>Lump sum tax rate</t>
  </si>
  <si>
    <t>Untaxed plan cap amount</t>
  </si>
  <si>
    <t>Low rate cap amount</t>
  </si>
  <si>
    <t>peMtaWe</t>
  </si>
  <si>
    <t>peMtaWeG</t>
  </si>
  <si>
    <t>pePtaWe</t>
  </si>
  <si>
    <t>pePtaWeG</t>
  </si>
  <si>
    <t>peAwote</t>
  </si>
  <si>
    <t>peAwoteG</t>
  </si>
  <si>
    <t>pePtaWeSa</t>
  </si>
  <si>
    <t>pePtaWeSaG</t>
  </si>
  <si>
    <t>peAwoteSa</t>
  </si>
  <si>
    <t>peAwoteSaG</t>
  </si>
  <si>
    <t>Rate 2</t>
  </si>
  <si>
    <t>Yearly ATI Threshold</t>
  </si>
  <si>
    <t>Dependency ATI limit for child or student</t>
  </si>
  <si>
    <t>Medical Expenses Threshold 1</t>
  </si>
  <si>
    <t>Medical Expenses Threshold 2</t>
  </si>
  <si>
    <t>Test (Income test = MLS Test)</t>
  </si>
  <si>
    <t>Spouse superannuation contribution tax offset</t>
  </si>
  <si>
    <t>CPI, Australia (First published)
Superseded September 2012</t>
  </si>
  <si>
    <t>Income Test</t>
  </si>
  <si>
    <t>CPI, Australia
Published series</t>
  </si>
  <si>
    <t>Quarterly growth</t>
  </si>
  <si>
    <t xml:space="preserve">CPI, Australia (First published)
</t>
  </si>
  <si>
    <t>peCpiFpG</t>
  </si>
  <si>
    <t>peCpiFpSs</t>
  </si>
  <si>
    <t>peCpiFpSsG</t>
  </si>
  <si>
    <t>Tax rate 3</t>
  </si>
  <si>
    <t>Low Income Tax Offset</t>
  </si>
  <si>
    <t>Lower income threshold</t>
  </si>
  <si>
    <t>Flood Levy</t>
  </si>
  <si>
    <t>Lower threshold</t>
  </si>
  <si>
    <t>Lower rate</t>
  </si>
  <si>
    <t>Upper threshold</t>
  </si>
  <si>
    <t>Upper rate</t>
  </si>
  <si>
    <t>Base Rate</t>
  </si>
  <si>
    <t>Outyears growth</t>
  </si>
  <si>
    <t>Taper</t>
  </si>
  <si>
    <t>Seasonally Adjusted</t>
  </si>
  <si>
    <t>Newborn Supplement</t>
  </si>
  <si>
    <t>Newborn Upfront Payment</t>
  </si>
  <si>
    <t>16 to 17 years old / 0-19 in an approved care organisation</t>
  </si>
  <si>
    <t>13 to 15 years old and 16-19 senior secondary students</t>
  </si>
  <si>
    <t>First Birth</t>
  </si>
  <si>
    <t>Subsequent Births</t>
  </si>
  <si>
    <t>Number of weeks</t>
  </si>
  <si>
    <t xml:space="preserve">Temporary Budget Repair Levy </t>
  </si>
  <si>
    <t xml:space="preserve">Rate </t>
  </si>
  <si>
    <t>Indexed to CPI outyears growth</t>
  </si>
  <si>
    <t>Child age limit</t>
  </si>
  <si>
    <t>PPSDepAge</t>
  </si>
  <si>
    <t>AllPartTpr</t>
  </si>
  <si>
    <t>MaaAge</t>
  </si>
  <si>
    <t>DvaPenAge</t>
  </si>
  <si>
    <t>WidAllMinAge</t>
  </si>
  <si>
    <t>PppDepAge</t>
  </si>
  <si>
    <t>MinPesAge</t>
  </si>
  <si>
    <t>PenEdSupHalfMaxF</t>
  </si>
  <si>
    <t>Proportion of rent paid by RA</t>
  </si>
  <si>
    <t>RAssCoPayProp</t>
  </si>
  <si>
    <t>PenBasicMaxSF</t>
  </si>
  <si>
    <t>PenSupBasicMaxSF</t>
  </si>
  <si>
    <t>PenSupRemMaxSF</t>
  </si>
  <si>
    <t>PenSupMinMaxSF</t>
  </si>
  <si>
    <t>PenSupTotSF</t>
  </si>
  <si>
    <t>PenTotSF</t>
  </si>
  <si>
    <t>PenBasicMaxCF</t>
  </si>
  <si>
    <t>PenSupBasicMaxCF</t>
  </si>
  <si>
    <t>PenSupRemMaxCF</t>
  </si>
  <si>
    <t>PenSupMinMaxCF</t>
  </si>
  <si>
    <t>PenSupTotCF</t>
  </si>
  <si>
    <t>PenTotCF</t>
  </si>
  <si>
    <t>PenThrSF</t>
  </si>
  <si>
    <t>PenThrAddonSF</t>
  </si>
  <si>
    <t>PenThrCF</t>
  </si>
  <si>
    <t>PenThrAddonCF</t>
  </si>
  <si>
    <t>HarmerPenTpr</t>
  </si>
  <si>
    <t>WorkBonF</t>
  </si>
  <si>
    <t>MaleAgePenAge</t>
  </si>
  <si>
    <t>FemaleAgePenAge</t>
  </si>
  <si>
    <t>CareAllMaxF</t>
  </si>
  <si>
    <t>CareSupMaxA</t>
  </si>
  <si>
    <t>PPSPenBasicMaxF</t>
  </si>
  <si>
    <t>PPSSupBasicMaxF</t>
  </si>
  <si>
    <t>PPSPenThrF</t>
  </si>
  <si>
    <t>PPSThrChild</t>
  </si>
  <si>
    <t>PPSPenTpr</t>
  </si>
  <si>
    <t>DSPU21YngAHPenBasicMaxSF</t>
  </si>
  <si>
    <t>DSPU21OldAHPenBasicMaxSF</t>
  </si>
  <si>
    <t>DSPU21PenBasicMaxSF</t>
  </si>
  <si>
    <t>DSPU21PenBasicMaxCF</t>
  </si>
  <si>
    <t>DSPU21PenThrSF</t>
  </si>
  <si>
    <t>DSPU21PenThrCF</t>
  </si>
  <si>
    <t>DSPU21PenTpr</t>
  </si>
  <si>
    <t>UnempSingNoDepsBasicMaxF</t>
  </si>
  <si>
    <t>UnempSingDepsBasicMaxF</t>
  </si>
  <si>
    <t>UnempAssHomeThrSA</t>
  </si>
  <si>
    <t>UnempAssNoHomeThrSA</t>
  </si>
  <si>
    <t>UnempAssHomeThrCA</t>
  </si>
  <si>
    <t>UnempAssNoHomeThrCA</t>
  </si>
  <si>
    <t>UnempThr1F</t>
  </si>
  <si>
    <t>UnempThr2F</t>
  </si>
  <si>
    <t>UnempTpr1</t>
  </si>
  <si>
    <t>UnempTpr2</t>
  </si>
  <si>
    <t>StudIndepAge</t>
  </si>
  <si>
    <t>YaAgeLwr</t>
  </si>
  <si>
    <t>DepCauseProp</t>
  </si>
  <si>
    <t>AllRedPareTpr</t>
  </si>
  <si>
    <t>AllPareThrA</t>
  </si>
  <si>
    <t>YngUnempYngAHBasicMaxF</t>
  </si>
  <si>
    <t>YngUnempOldAHBasicMaxF</t>
  </si>
  <si>
    <t>YngUnempSingNoDepsBasicMaxF</t>
  </si>
  <si>
    <t>YngUnempSingDepsBasicMaxF</t>
  </si>
  <si>
    <t>YngUnempThr1F</t>
  </si>
  <si>
    <t>YngUnempThr2F</t>
  </si>
  <si>
    <t>YngUnempTpr1</t>
  </si>
  <si>
    <t>YngUnempTpr2</t>
  </si>
  <si>
    <t>UnempIndepAge</t>
  </si>
  <si>
    <t>IncSupBonMaxBs</t>
  </si>
  <si>
    <t>IncSupBonMaxBc</t>
  </si>
  <si>
    <t>PenEdSupFullMaxF</t>
  </si>
  <si>
    <t>PharmAllMaxSF</t>
  </si>
  <si>
    <t>PharmAllMaxCF</t>
  </si>
  <si>
    <t>RAssMaxSF</t>
  </si>
  <si>
    <t>RentMaxSDeps1_2</t>
  </si>
  <si>
    <t>RentMaxSDepsMany</t>
  </si>
  <si>
    <t>RAssMaxCF</t>
  </si>
  <si>
    <t>RentMaxCDeps1_2</t>
  </si>
  <si>
    <t>RentMaxCDepsMany</t>
  </si>
  <si>
    <t>RAssMinRentSF</t>
  </si>
  <si>
    <t>RentMinSDeps1_2</t>
  </si>
  <si>
    <t>RentMinSDepsMany</t>
  </si>
  <si>
    <t>RAssMinRentCF</t>
  </si>
  <si>
    <t>RentMinCDeps1_2</t>
  </si>
  <si>
    <t>RentMinCDepsMany</t>
  </si>
  <si>
    <t>LagCpi</t>
  </si>
  <si>
    <t>FtbaMaxRateAgeUnder13</t>
  </si>
  <si>
    <t>FtbaMaxRateAge13_19Stud</t>
  </si>
  <si>
    <t>FtbaMaxRateAge16_17SecGrad</t>
  </si>
  <si>
    <t>FtbaBaseRateA</t>
  </si>
  <si>
    <t>FtbaSupA</t>
  </si>
  <si>
    <t>LfsRateA</t>
  </si>
  <si>
    <t>FtbaBaseBasicThr</t>
  </si>
  <si>
    <t>FtbaBaseAddThr</t>
  </si>
  <si>
    <t>FtbaBaseTpr</t>
  </si>
  <si>
    <t>FtbaMaxThr</t>
  </si>
  <si>
    <t>FtbaMaxTpr</t>
  </si>
  <si>
    <t>MaintIncFreeSingle</t>
  </si>
  <si>
    <t>MaintIncFreeCouple</t>
  </si>
  <si>
    <t>MaintIncFreeKids</t>
  </si>
  <si>
    <t>MaintTpr</t>
  </si>
  <si>
    <t>FtbbDepUnder5A</t>
  </si>
  <si>
    <t>FtbbDepOver5A</t>
  </si>
  <si>
    <t>FtbbSupA</t>
  </si>
  <si>
    <t>FtbbSecThr</t>
  </si>
  <si>
    <t>FtbbSecTpr</t>
  </si>
  <si>
    <t>FtbbPrimaryThr</t>
  </si>
  <si>
    <t>SKPrimaryRateA</t>
  </si>
  <si>
    <t>SKSecStudRateA</t>
  </si>
  <si>
    <t>SifsThrUpr</t>
  </si>
  <si>
    <t>SifsMaxA</t>
  </si>
  <si>
    <t>SifsThrLwr</t>
  </si>
  <si>
    <t>SifsTpr1</t>
  </si>
  <si>
    <t>SifsThrMid</t>
  </si>
  <si>
    <t>SifsTpr2</t>
  </si>
  <si>
    <t>SifsPartThr</t>
  </si>
  <si>
    <t>SifsPartTpr</t>
  </si>
  <si>
    <t>BabyBon1A</t>
  </si>
  <si>
    <t>BabyBon2A</t>
  </si>
  <si>
    <t>BabyBonThr</t>
  </si>
  <si>
    <t>Stillborn Baby Payment</t>
  </si>
  <si>
    <t>Income Threshold</t>
  </si>
  <si>
    <t>First StillBorn Child</t>
  </si>
  <si>
    <t>Subsequent Stillborn Children</t>
  </si>
  <si>
    <t>Upper Threshold</t>
  </si>
  <si>
    <t>TaxThr1</t>
  </si>
  <si>
    <t>TaxRate1</t>
  </si>
  <si>
    <t>TaxThr2</t>
  </si>
  <si>
    <t>TaxRate2</t>
  </si>
  <si>
    <t>TaxThr3</t>
  </si>
  <si>
    <t>TaxRate3</t>
  </si>
  <si>
    <t>TaxThr4</t>
  </si>
  <si>
    <t>TaxRate4</t>
  </si>
  <si>
    <t>NumTaxBrkt</t>
  </si>
  <si>
    <t>Number of tax brackets</t>
  </si>
  <si>
    <t>MedLevRate</t>
  </si>
  <si>
    <t>MedLevShdInRate</t>
  </si>
  <si>
    <t>MedLevSingThr</t>
  </si>
  <si>
    <t>MedLevSAPTOThr</t>
  </si>
  <si>
    <t>MedLevFamIncThr</t>
  </si>
  <si>
    <t>MedLevThrDep</t>
  </si>
  <si>
    <t>MedLevDepAge1</t>
  </si>
  <si>
    <t>MedLevDepAge2</t>
  </si>
  <si>
    <t>MedLevDepIncThr1</t>
  </si>
  <si>
    <t>MedLevDepIncThr2</t>
  </si>
  <si>
    <t>Age limit 1</t>
  </si>
  <si>
    <t>Age limit 2</t>
  </si>
  <si>
    <t>Income threshold 1</t>
  </si>
  <si>
    <t>Income Threshold 2</t>
  </si>
  <si>
    <t>Dependants</t>
  </si>
  <si>
    <t>MedLevSurRate1</t>
  </si>
  <si>
    <t>MedLevSurRate2</t>
  </si>
  <si>
    <t>MedLevSurRate3</t>
  </si>
  <si>
    <t>MedLevSurTier1ThrS</t>
  </si>
  <si>
    <t>MedLevSurTier2ThrS</t>
  </si>
  <si>
    <t>MedLevSurTier3ThrS</t>
  </si>
  <si>
    <t>MedLevSurTier1ThrC</t>
  </si>
  <si>
    <t>MedLevSurTier2ThrC</t>
  </si>
  <si>
    <t>MedLevSurTier3ThrC</t>
  </si>
  <si>
    <t>MedLevSurThrDep</t>
  </si>
  <si>
    <t>MedLevSurDepAge1</t>
  </si>
  <si>
    <t>MedLevSurDepAge2</t>
  </si>
  <si>
    <t>NewBornSup1A</t>
  </si>
  <si>
    <t>NewBornSup2A</t>
  </si>
  <si>
    <t>NewBornUpfrontRateA</t>
  </si>
  <si>
    <t>NbsNumw</t>
  </si>
  <si>
    <t>Disqualifying Age for NON-school students</t>
  </si>
  <si>
    <t>Disqualifying Age as a senior secondary school child</t>
  </si>
  <si>
    <t>Adjusted taxable income for offset threshold</t>
  </si>
  <si>
    <t>DICTOMax</t>
  </si>
  <si>
    <t>DICTOThr</t>
  </si>
  <si>
    <t>DICTOTpr</t>
  </si>
  <si>
    <t>DICTOIncThr</t>
  </si>
  <si>
    <t>MAWTOMax</t>
  </si>
  <si>
    <t>Beneficiary Tax Offset</t>
  </si>
  <si>
    <t>Maximum amount of rebate</t>
  </si>
  <si>
    <t>BENTOThr</t>
  </si>
  <si>
    <t>BENTORate</t>
  </si>
  <si>
    <t>DSTOMax</t>
  </si>
  <si>
    <t>DSTOThr</t>
  </si>
  <si>
    <t>DSTOTpr</t>
  </si>
  <si>
    <t>DSTOIncThr</t>
  </si>
  <si>
    <t>LITOMax</t>
  </si>
  <si>
    <t>LITOThr</t>
  </si>
  <si>
    <t>LITOTpr</t>
  </si>
  <si>
    <t>SAPTOMaxS</t>
  </si>
  <si>
    <t>SAPTOMaxC</t>
  </si>
  <si>
    <t>SAPTOTpr</t>
  </si>
  <si>
    <t>MAWTOAge</t>
  </si>
  <si>
    <t>MAWTOThr1</t>
  </si>
  <si>
    <t>MAWTOThr2</t>
  </si>
  <si>
    <t>MAWTOPhsInRate</t>
  </si>
  <si>
    <t>MAWTOPhsOutRate</t>
  </si>
  <si>
    <t>Date</t>
  </si>
  <si>
    <t>Enddate</t>
  </si>
  <si>
    <t>DVA Pension Age</t>
  </si>
  <si>
    <t>Allowance Partner Income Test Taper Rate</t>
  </si>
  <si>
    <t>Mature Age Allowance Age</t>
  </si>
  <si>
    <t>Mininmum eligibility age for Widow Allowance</t>
  </si>
  <si>
    <t>Parenting Payment Partnered Child age limit</t>
  </si>
  <si>
    <t>Proportion of dependent YA recipients who are away from home</t>
  </si>
  <si>
    <t>Pen. Edu Supplement Half Rate</t>
  </si>
  <si>
    <t>Pen. Edu Supplement minimum age</t>
  </si>
  <si>
    <t>Reduction in rate of YA once parental income exceeds parental income threshold</t>
  </si>
  <si>
    <t>Parental Income Threshold for YA purposes</t>
  </si>
  <si>
    <t>Total Payment (Not including CES and before PhA and RA)</t>
  </si>
  <si>
    <t>Period:</t>
  </si>
  <si>
    <t>LFSKidsMin</t>
  </si>
  <si>
    <t>Minimum number of kids</t>
  </si>
  <si>
    <t xml:space="preserve">Supplement </t>
  </si>
  <si>
    <t>UnempSingDepsTpr1</t>
  </si>
  <si>
    <t>UnempSingDepsTpr2</t>
  </si>
  <si>
    <t>UnempCoupBasicMaxF</t>
  </si>
  <si>
    <t>StudYngAHBasicMaxF</t>
  </si>
  <si>
    <t>StudOldAHBasicMaxF</t>
  </si>
  <si>
    <t>StudSingNoDepsBasicMaxF</t>
  </si>
  <si>
    <t>StudCoupNoDepsBasicMaxF</t>
  </si>
  <si>
    <t>StudCoupDepsBasicMaxF</t>
  </si>
  <si>
    <t>StudSingDepsBasicMaxF</t>
  </si>
  <si>
    <t>StudThr1F</t>
  </si>
  <si>
    <t>StudThr2F</t>
  </si>
  <si>
    <t>StudTpr1</t>
  </si>
  <si>
    <t>StudTpr2</t>
  </si>
  <si>
    <t>YngUnempCoupNoDepsBasicMaxF</t>
  </si>
  <si>
    <t>YngUnempCoupDepsBasicMaxF</t>
  </si>
  <si>
    <t>SenSupMaxAS</t>
  </si>
  <si>
    <t>SenSupMaxAC</t>
  </si>
  <si>
    <t>TelAllLowMaxAS</t>
  </si>
  <si>
    <t>TelAllHighMaxAS</t>
  </si>
  <si>
    <t>UtilitiesAllMaxAS</t>
  </si>
  <si>
    <t>TelAllLowMaxAC</t>
  </si>
  <si>
    <t>TelAllHighMaxAC</t>
  </si>
  <si>
    <t>UtilitiesAllMaxAC</t>
  </si>
  <si>
    <t>Drawdown5564</t>
  </si>
  <si>
    <t>Drawdown6574</t>
  </si>
  <si>
    <t>Drawdown7579</t>
  </si>
  <si>
    <t>Drawdown8084</t>
  </si>
  <si>
    <t>Drawdown8589</t>
  </si>
  <si>
    <t>Drawdown9094</t>
  </si>
  <si>
    <t>DrawdownGt95</t>
  </si>
  <si>
    <t>Maximum YA Other Age</t>
  </si>
  <si>
    <t>Youth Unemployed</t>
  </si>
  <si>
    <t>YaStudAgeUpr</t>
  </si>
  <si>
    <t>YAOtherAgeUpr</t>
  </si>
  <si>
    <t>Rent assistance income free area</t>
  </si>
  <si>
    <t>Single Parent supplement 
(ages 6-12 incl.)</t>
  </si>
  <si>
    <t>UntaxIncStrToRate</t>
  </si>
  <si>
    <t>TaxIncStrToRate</t>
  </si>
  <si>
    <t>Energy Supplement</t>
  </si>
  <si>
    <t>ES</t>
  </si>
  <si>
    <t>ES Single</t>
  </si>
  <si>
    <t>ES Couple</t>
  </si>
  <si>
    <t>DvaWarWidEsF</t>
  </si>
  <si>
    <t>DvaDisBaseEsF</t>
  </si>
  <si>
    <t>PenEsMaxCF</t>
  </si>
  <si>
    <t>PenEsMaxSF</t>
  </si>
  <si>
    <t>PPSPenEsMaxF</t>
  </si>
  <si>
    <t>DSPU21YngAHPenEsMaxSF</t>
  </si>
  <si>
    <t>DSPU21OldAHPenEsMaxSF</t>
  </si>
  <si>
    <t>DSPU21PenEsMaxSF</t>
  </si>
  <si>
    <t>DSPU21PenEsMaxCF</t>
  </si>
  <si>
    <t>UnempSingNoDepsEsMaxF</t>
  </si>
  <si>
    <t>UnempSingDepsEsMaxF</t>
  </si>
  <si>
    <t>UnempOldLtrBasicMaxF</t>
  </si>
  <si>
    <t>UnempOldLtrEsMaxF</t>
  </si>
  <si>
    <t>UnempCoupEsMaxF</t>
  </si>
  <si>
    <t>StudYngAhEsMaxF</t>
  </si>
  <si>
    <t>StudOldAhEsMaxF</t>
  </si>
  <si>
    <t>StudSingNoDepsEsMaxF</t>
  </si>
  <si>
    <t>StudCoupNoDepsEsMaxF</t>
  </si>
  <si>
    <t>StudCoupDepsEsMaxF</t>
  </si>
  <si>
    <t>StudSingDepsEsMaxF</t>
  </si>
  <si>
    <t>YngUnempYngAhEsMaxF</t>
  </si>
  <si>
    <t>YngUnempOldAhEsMaxF</t>
  </si>
  <si>
    <t>YngUnempSingNoDepsEsMaxF</t>
  </si>
  <si>
    <t>YngUnempCoupNoDepsEsMaxF</t>
  </si>
  <si>
    <t>YngUnempCoupDepsEsMaxF</t>
  </si>
  <si>
    <t>YngUnempSingDepsEsMaxF</t>
  </si>
  <si>
    <t>FtbaMaxEsAgeunder13</t>
  </si>
  <si>
    <t>FtbaMaxEsAge13_19Stud</t>
  </si>
  <si>
    <t>FtbaMaxEsAge16_17SecGrad</t>
  </si>
  <si>
    <t>FtbaBaseEsRateA</t>
  </si>
  <si>
    <t>FtbbEsUnder5A</t>
  </si>
  <si>
    <t>FtbbEsOver5A</t>
  </si>
  <si>
    <t>FtbSingPareSupMaxA</t>
  </si>
  <si>
    <t>MedLevSaptoFamIncThr</t>
  </si>
  <si>
    <t>TempBudgRepLevThr</t>
  </si>
  <si>
    <t>TempBudgRepLevRate</t>
  </si>
  <si>
    <t>SuperPresAge</t>
  </si>
  <si>
    <t>SuperTfAge</t>
  </si>
  <si>
    <t>SenSupEsMaxFC</t>
  </si>
  <si>
    <t>SenSupEsMaxFS</t>
  </si>
  <si>
    <t>DepChildIncLimUnder16</t>
  </si>
  <si>
    <t>DepChildIncLimOver16</t>
  </si>
  <si>
    <t>CshcThrAS</t>
  </si>
  <si>
    <t>CshcThrAC</t>
  </si>
  <si>
    <t>CshcThrDepAddA</t>
  </si>
  <si>
    <t>Dependant (Invalid and Carer) Tax Offset</t>
  </si>
  <si>
    <t>School Age (Estimate for Cameo purposes)</t>
  </si>
  <si>
    <t>Standard Hourly Rate - Approved care</t>
  </si>
  <si>
    <t>Standard Hourly Rate - Registered care</t>
  </si>
  <si>
    <t>2+ children</t>
  </si>
  <si>
    <t>CcbSchAge</t>
  </si>
  <si>
    <t>Phase out rate</t>
  </si>
  <si>
    <t>Youth Allowance Student minimum age</t>
  </si>
  <si>
    <t>Youth Allowance Student maximum age</t>
  </si>
  <si>
    <t>SkBonusIncThr</t>
  </si>
  <si>
    <t>FtbaChldIncLim</t>
  </si>
  <si>
    <t>Child Care Subsidy</t>
  </si>
  <si>
    <t>Fee caps</t>
  </si>
  <si>
    <t>Activity test hours worked thresholds</t>
  </si>
  <si>
    <t>Activity test hours of fee assistance</t>
  </si>
  <si>
    <t>Long Day Care Hourly Fee Cap</t>
  </si>
  <si>
    <t>Family Day Care Hourly Fee Cap</t>
  </si>
  <si>
    <t>Outside School Hours Care Hourly Fee Cap</t>
  </si>
  <si>
    <t>Subsidy rates</t>
  </si>
  <si>
    <t>Lower subsidy rate</t>
  </si>
  <si>
    <t>Upper subsidy rate</t>
  </si>
  <si>
    <t>CcbStdHrRateApp</t>
  </si>
  <si>
    <t>CcbStdHrRateReg</t>
  </si>
  <si>
    <t>CcbMultChdLd2</t>
  </si>
  <si>
    <t>CcbMultChdLd3</t>
  </si>
  <si>
    <t>CcbSchKidPct</t>
  </si>
  <si>
    <t>CcbIncThrLwrA</t>
  </si>
  <si>
    <t>CcbIncThrUprA</t>
  </si>
  <si>
    <t>CcbTprLwr1</t>
  </si>
  <si>
    <t>CcbTprLwr2</t>
  </si>
  <si>
    <t>CcbTprUpr1</t>
  </si>
  <si>
    <t>CcbTprUpr2</t>
  </si>
  <si>
    <t>CcbMaxHrUprW</t>
  </si>
  <si>
    <t>CcbMaxHrLwrW</t>
  </si>
  <si>
    <t>CcbActivHrThrW</t>
  </si>
  <si>
    <t>CcrPct</t>
  </si>
  <si>
    <t>CcrMaxRebA</t>
  </si>
  <si>
    <t>CcsLdcHrFeeCap</t>
  </si>
  <si>
    <t>CcsFdcHrFeeCap</t>
  </si>
  <si>
    <t>CcsOshcHrFeeCap</t>
  </si>
  <si>
    <t>CcsRateUprA</t>
  </si>
  <si>
    <t>CcsRateLwrA</t>
  </si>
  <si>
    <t>CcsIncThrA1</t>
  </si>
  <si>
    <t>CcsIncThrA2</t>
  </si>
  <si>
    <t>CcsIncThrA3</t>
  </si>
  <si>
    <t>CcsCappedSubsidyA</t>
  </si>
  <si>
    <t>CcsActivHrThrW1</t>
  </si>
  <si>
    <t>CcsActivHrThrW2</t>
  </si>
  <si>
    <t>CcsActivHrThrW3</t>
  </si>
  <si>
    <t>CcsMaxHrAssistW1</t>
  </si>
  <si>
    <t>CcsMaxHrAssistW2</t>
  </si>
  <si>
    <t>CcsMaxHrAssistW3</t>
  </si>
  <si>
    <t>CcsMaxHrAssistW4</t>
  </si>
  <si>
    <t>Start of second category</t>
  </si>
  <si>
    <t>Start of third category</t>
  </si>
  <si>
    <t>Start of fourth category</t>
  </si>
  <si>
    <t>LDC Part Time Loading</t>
  </si>
  <si>
    <t>Hours per week</t>
  </si>
  <si>
    <t>Percent loading</t>
  </si>
  <si>
    <t>Hours category one</t>
  </si>
  <si>
    <t>Hours category two</t>
  </si>
  <si>
    <t>Hours category three</t>
  </si>
  <si>
    <t>Hours category four</t>
  </si>
  <si>
    <t>Hours category five</t>
  </si>
  <si>
    <t>First loading</t>
  </si>
  <si>
    <t>Second loading</t>
  </si>
  <si>
    <t>Third loading</t>
  </si>
  <si>
    <t>Fourth loading</t>
  </si>
  <si>
    <t>Fifth loading</t>
  </si>
  <si>
    <t>Sixth loading</t>
  </si>
  <si>
    <t>CcbLdcLdHr1</t>
  </si>
  <si>
    <t>CcbLdcLdHr2</t>
  </si>
  <si>
    <t>CcbLdcLdHr3</t>
  </si>
  <si>
    <t>CcbLdcLdHr4</t>
  </si>
  <si>
    <t>CcbLdcLdHr5</t>
  </si>
  <si>
    <t>CcbLdcLdPct1</t>
  </si>
  <si>
    <t>CcbLdcLdPct2</t>
  </si>
  <si>
    <t>CcbLdcLdPct3</t>
  </si>
  <si>
    <t>CcbLdcLdPct4</t>
  </si>
  <si>
    <t>CcbLdcLdPct5</t>
  </si>
  <si>
    <t>CcbLdcLdPct6</t>
  </si>
  <si>
    <t>High income annual subsidy cap</t>
  </si>
  <si>
    <t>First maximum hours category</t>
  </si>
  <si>
    <t>Second category maximum hours</t>
  </si>
  <si>
    <t>Third category maximum hours</t>
  </si>
  <si>
    <t>Fourth category maximum hours</t>
  </si>
  <si>
    <t>Special category maximum hours</t>
  </si>
  <si>
    <t>CcsMaxHrAssistWSpc</t>
  </si>
  <si>
    <t>School Age (Estimate for cameo purposes)</t>
  </si>
  <si>
    <t xml:space="preserve">Youngest child </t>
  </si>
  <si>
    <t>under 1 yo</t>
  </si>
  <si>
    <t>1-4 yo</t>
  </si>
  <si>
    <t>5-12 yo</t>
  </si>
  <si>
    <t>13-16 yo</t>
  </si>
  <si>
    <t>FtbbDep1_4A</t>
  </si>
  <si>
    <t>FtbbDep5_12A</t>
  </si>
  <si>
    <t>FtbbDep13_16A</t>
  </si>
  <si>
    <t>13-16 yo       Single parents</t>
  </si>
  <si>
    <t>not_used25</t>
  </si>
  <si>
    <t>not_used26</t>
  </si>
  <si>
    <t>not_used27</t>
  </si>
  <si>
    <t>not_used28</t>
  </si>
  <si>
    <t>not_used29</t>
  </si>
  <si>
    <t>not_used30</t>
  </si>
  <si>
    <t>not_used31</t>
  </si>
  <si>
    <t>not_used33</t>
  </si>
  <si>
    <t>not_used34</t>
  </si>
  <si>
    <t>not_used35</t>
  </si>
  <si>
    <t>not_used37</t>
  </si>
  <si>
    <t>not_used38</t>
  </si>
  <si>
    <t>not_used39</t>
  </si>
  <si>
    <t>not_used40</t>
  </si>
  <si>
    <t>not_used41</t>
  </si>
  <si>
    <t>not_used66</t>
  </si>
  <si>
    <t>not_used82</t>
  </si>
  <si>
    <t>not_used86</t>
  </si>
  <si>
    <t>not_used87</t>
  </si>
  <si>
    <t>not_used89</t>
  </si>
  <si>
    <t>not_used96</t>
  </si>
  <si>
    <t>not_used99</t>
  </si>
  <si>
    <t>not_used105</t>
  </si>
  <si>
    <t>not_used108</t>
  </si>
  <si>
    <t>not_used114</t>
  </si>
  <si>
    <t>not_used131</t>
  </si>
  <si>
    <t>not_used134</t>
  </si>
  <si>
    <t>not_used137</t>
  </si>
  <si>
    <t>not_used140</t>
  </si>
  <si>
    <t>not_used143</t>
  </si>
  <si>
    <t>not_used146</t>
  </si>
  <si>
    <t>not_used152</t>
  </si>
  <si>
    <t>not_used153</t>
  </si>
  <si>
    <t>not_used154</t>
  </si>
  <si>
    <t>not_used162</t>
  </si>
  <si>
    <t>not_used165</t>
  </si>
  <si>
    <t>not_used168</t>
  </si>
  <si>
    <t>not_used171</t>
  </si>
  <si>
    <t>not_used174</t>
  </si>
  <si>
    <t>not_used177</t>
  </si>
  <si>
    <t>not_used282</t>
  </si>
  <si>
    <t>not_used296</t>
  </si>
  <si>
    <t>not_used273</t>
  </si>
  <si>
    <t>not_used297</t>
  </si>
  <si>
    <t>not_used287</t>
  </si>
  <si>
    <t>not_used288</t>
  </si>
  <si>
    <t>not_used289</t>
  </si>
  <si>
    <t>not_used290</t>
  </si>
  <si>
    <t>not_used291</t>
  </si>
  <si>
    <t>not_used303</t>
  </si>
  <si>
    <t>not_used304</t>
  </si>
  <si>
    <t>not_used365</t>
  </si>
  <si>
    <t>not_used368</t>
  </si>
  <si>
    <t>not_used386</t>
  </si>
  <si>
    <t>not_used387</t>
  </si>
  <si>
    <t>not_used388</t>
  </si>
  <si>
    <t>not_used389</t>
  </si>
  <si>
    <t>not_used396</t>
  </si>
  <si>
    <t>not_used404</t>
  </si>
  <si>
    <t>not_used405</t>
  </si>
  <si>
    <t>not_used406</t>
  </si>
  <si>
    <t>not_used407</t>
  </si>
  <si>
    <t>not_used408</t>
  </si>
  <si>
    <t>not_used409</t>
  </si>
  <si>
    <t>not_used410</t>
  </si>
  <si>
    <t>not_used411</t>
  </si>
  <si>
    <t>not_used412</t>
  </si>
  <si>
    <t>not_used413</t>
  </si>
  <si>
    <t>not_used414</t>
  </si>
  <si>
    <t>not_used415</t>
  </si>
  <si>
    <t>not_used418</t>
  </si>
  <si>
    <t>not_used419</t>
  </si>
  <si>
    <t>not_used421</t>
  </si>
  <si>
    <t>not_used422</t>
  </si>
  <si>
    <t>not_used423</t>
  </si>
  <si>
    <t>not_used424</t>
  </si>
  <si>
    <t>not_used431</t>
  </si>
  <si>
    <t>not_used432</t>
  </si>
  <si>
    <t>not_used433</t>
  </si>
  <si>
    <t>not_used434</t>
  </si>
  <si>
    <t>not_used435</t>
  </si>
  <si>
    <t>not_used436</t>
  </si>
  <si>
    <t>not_used437</t>
  </si>
  <si>
    <t>not_used438</t>
  </si>
  <si>
    <t>not_used456</t>
  </si>
  <si>
    <t>not_used457</t>
  </si>
  <si>
    <t>not_used458</t>
  </si>
  <si>
    <t>not_used459</t>
  </si>
  <si>
    <t>not_used460</t>
  </si>
  <si>
    <t>not_used461</t>
  </si>
  <si>
    <t>not_used463</t>
  </si>
  <si>
    <t>not_used464</t>
  </si>
  <si>
    <t>not_used465</t>
  </si>
  <si>
    <t>not_used466</t>
  </si>
  <si>
    <t>not_used467</t>
  </si>
  <si>
    <t>not_used469</t>
  </si>
  <si>
    <t>not_used470</t>
  </si>
  <si>
    <t>not_used471</t>
  </si>
  <si>
    <t>not_used472</t>
  </si>
  <si>
    <t>Mid-level subsidy rate</t>
  </si>
  <si>
    <t>Second income threshold</t>
  </si>
  <si>
    <t>Third income threshold</t>
  </si>
  <si>
    <t>HIgh income threshold</t>
  </si>
  <si>
    <t>High income threshold</t>
  </si>
  <si>
    <t>CcsIncThrA4</t>
  </si>
  <si>
    <t>CcsIncThrA5</t>
  </si>
  <si>
    <t>CcsRateMidA</t>
  </si>
  <si>
    <t>Youth Allowance Student maximum age (must be less than)</t>
  </si>
  <si>
    <t>Bott, Mark:</t>
  </si>
  <si>
    <t xml:space="preserve">The income support bonus is paid twice yearly (20 Sept/20 March) to recipients of social security benefits and PPS. </t>
  </si>
  <si>
    <t>To make annual averaging work, the amounts payable in Sep are specified in both Sep &amp; Dec quarters and the March amount in Mar &amp; Jun quarters. This is because ISB is paid in March and Sep, so annual averages should reflect the average of the values at those two quarters, and not the value from previous quarters.</t>
  </si>
  <si>
    <t>These amounts are the rates of single installments specified in the table in s920 SSA1991 and indexed by CPI half yearly as per table item 43 in s1191. (Note while the indexation date says 20 September, we index on 1 July to make our annual averages reflect the amount paid in the financial year.)</t>
  </si>
  <si>
    <t>The income support bonus is stated in bi-annual amounts</t>
  </si>
  <si>
    <t>Females Total Average Weekly Earnings</t>
  </si>
  <si>
    <t>peFtaWe</t>
  </si>
  <si>
    <t>peFtaWeG</t>
  </si>
  <si>
    <t xml:space="preserve">Super Transfer Balance </t>
  </si>
  <si>
    <t>FTB-A supplement (threshold)</t>
  </si>
  <si>
    <t>FtbaSupAThr</t>
  </si>
  <si>
    <t>FtbbDepUnder1A</t>
  </si>
  <si>
    <t>Fourth income threshold</t>
  </si>
  <si>
    <t>`</t>
  </si>
  <si>
    <t>Fifth income threshold</t>
  </si>
  <si>
    <t>Effective taper rate</t>
  </si>
  <si>
    <t>Method 2 income test (higher free income test)</t>
  </si>
  <si>
    <t>CcsRateTpr</t>
  </si>
  <si>
    <t>CcsIncThrA6</t>
  </si>
  <si>
    <t>PenAssThrHoS</t>
  </si>
  <si>
    <t>PenAssThrNhoS</t>
  </si>
  <si>
    <t>PenAssThrHoC</t>
  </si>
  <si>
    <t>PenAssThrNhoC</t>
  </si>
  <si>
    <t>PenAssTpr</t>
  </si>
  <si>
    <t>PenAssRnding</t>
  </si>
  <si>
    <t>PenDeemRateLwr</t>
  </si>
  <si>
    <t>PenDeemRateUpr</t>
  </si>
  <si>
    <t>PenDeemThrS</t>
  </si>
  <si>
    <t>PenDeemThrPenC</t>
  </si>
  <si>
    <t>PenDeemThrOthC</t>
  </si>
  <si>
    <t>Category</t>
  </si>
  <si>
    <t>Quarterly series</t>
  </si>
  <si>
    <t>Annual series</t>
  </si>
  <si>
    <t>Description</t>
  </si>
  <si>
    <t>Indexation</t>
  </si>
  <si>
    <t>CPI</t>
  </si>
  <si>
    <t>CPI_A</t>
  </si>
  <si>
    <t>Time series from ABS catlogue number 6401.0 Consumer Price Index, Australia</t>
  </si>
  <si>
    <t>AWE</t>
  </si>
  <si>
    <t>AWE_A</t>
  </si>
  <si>
    <t>Time series from ABS catlogue number 6302.0 Average Weekly Earnings, Australia</t>
  </si>
  <si>
    <t>PBLCI</t>
  </si>
  <si>
    <t>PBLCI_A</t>
  </si>
  <si>
    <t>PBCLI series as published in ABS catalogue number 6467.0 Pensioner &amp; Beneficiary Living Cost Index</t>
  </si>
  <si>
    <t>Veterans</t>
  </si>
  <si>
    <t>DVA</t>
  </si>
  <si>
    <t>DVA_A</t>
  </si>
  <si>
    <t>Contains rates and thresholds for veterans disability and war widow pensions</t>
  </si>
  <si>
    <t>Income Support</t>
  </si>
  <si>
    <t>Pensions</t>
  </si>
  <si>
    <t>Pensions_A</t>
  </si>
  <si>
    <t>Various rates and thresholds for some pension payments (Aged, Disability, Wife) as defined by SSA 1991</t>
  </si>
  <si>
    <t>Carers</t>
  </si>
  <si>
    <t>Carers_A</t>
  </si>
  <si>
    <t>Contains carer payments and supplements</t>
  </si>
  <si>
    <t>Parenting payment single</t>
  </si>
  <si>
    <t>Parenting payment single_A</t>
  </si>
  <si>
    <t>Contains rates and thresholds for Sole Parent Pension as defined by SSA 1991</t>
  </si>
  <si>
    <t>Youth DSP</t>
  </si>
  <si>
    <t>Youth DSP_A</t>
  </si>
  <si>
    <t>Contains disability support payments, aged under age 21, no children</t>
  </si>
  <si>
    <t>Unemployment</t>
  </si>
  <si>
    <t>Unemployment_A</t>
  </si>
  <si>
    <t>Contains rates and thresholds for working age payments (Newstart, Special Benefit, Partner Allowance) as defined by SSA 1991</t>
  </si>
  <si>
    <t>Youth &amp; Students</t>
  </si>
  <si>
    <t>Youth &amp; Students_A</t>
  </si>
  <si>
    <t>Contains rates and thresholds for youth allowance and AUSTUDY as defined by SSA 1991</t>
  </si>
  <si>
    <t>Pensioner Education Sup</t>
  </si>
  <si>
    <t>Pensioner Education Sup_A</t>
  </si>
  <si>
    <t>Rate of Pensioner Education Supplement</t>
  </si>
  <si>
    <t>SS Dependency Income Limit</t>
  </si>
  <si>
    <t>SS Dependency Income Limit_A</t>
  </si>
  <si>
    <t>Income limits for children to be dependent</t>
  </si>
  <si>
    <t>Pharm Allowance</t>
  </si>
  <si>
    <t>Pharm Allowance_A</t>
  </si>
  <si>
    <t>Contains rates of Pharmaceutical Allowance</t>
  </si>
  <si>
    <t>Telephone &amp; Utitlity</t>
  </si>
  <si>
    <t>Telephone &amp; Utility_A</t>
  </si>
  <si>
    <t>Contains rates of TAL and Utility Allowance</t>
  </si>
  <si>
    <t>Senior Supplement</t>
  </si>
  <si>
    <t>Senior Supplement_A</t>
  </si>
  <si>
    <t>Rates of Seniors Supplement &amp; Income test for CSHC</t>
  </si>
  <si>
    <t>Rent Assistance</t>
  </si>
  <si>
    <t>Rent Assistance_A</t>
  </si>
  <si>
    <t>Contains rates and thresholds relating to rent assistance</t>
  </si>
  <si>
    <t>Low income supplements</t>
  </si>
  <si>
    <t>Low income supplements_A</t>
  </si>
  <si>
    <t>Contains rates and thresholds for low income supplement</t>
  </si>
  <si>
    <t>IncomeSupportBonus</t>
  </si>
  <si>
    <t>IncomeSupportBonus_A</t>
  </si>
  <si>
    <t>Contains rates of Income Support Bonus</t>
  </si>
  <si>
    <t>Family Assistance</t>
  </si>
  <si>
    <t>Childcare</t>
  </si>
  <si>
    <t>Childcare_A</t>
  </si>
  <si>
    <t>Contains rates and thresholds for child care benefit, child care rebate and the proposed child care subsidy</t>
  </si>
  <si>
    <t>FTB-A</t>
  </si>
  <si>
    <t>FTB-A_A</t>
  </si>
  <si>
    <t>Contains rates and thresholds for Family Tax Benefit A</t>
  </si>
  <si>
    <t>FTB-B</t>
  </si>
  <si>
    <t>FTB-B_A</t>
  </si>
  <si>
    <t>Contains rates and thresholds for Family Tax Benefit B</t>
  </si>
  <si>
    <t>Baby Bonus</t>
  </si>
  <si>
    <t>Baby Bonus_A</t>
  </si>
  <si>
    <t>Contains rates for maternity allowance and the threshold for the baby bonus</t>
  </si>
  <si>
    <t>SchoolKidsBonus</t>
  </si>
  <si>
    <t>SchoolKidsBonus_A</t>
  </si>
  <si>
    <t>Contains rates of Schoolkids Bonus payment</t>
  </si>
  <si>
    <t>SIFS</t>
  </si>
  <si>
    <t>SIFS_A</t>
  </si>
  <si>
    <t>Single income family suppliment rate and taper for primary and secondary earner</t>
  </si>
  <si>
    <t>Income Tax</t>
  </si>
  <si>
    <t>TaxSchedule</t>
  </si>
  <si>
    <t>Contains basic income tax rates and thresholds</t>
  </si>
  <si>
    <t>Medicare</t>
  </si>
  <si>
    <t>Contains medicare levy and surcharge rates and tests</t>
  </si>
  <si>
    <t>RebatesOffsets</t>
  </si>
  <si>
    <t>Contains rates and thresholds for tax rebates and offsets</t>
  </si>
  <si>
    <t>Superannuation</t>
  </si>
  <si>
    <t>SuperBenefits</t>
  </si>
  <si>
    <t>Contains rates, thresholds and rules associated with tax and rebates on superannuation benefits</t>
  </si>
  <si>
    <t>Note: The wage and price forecasts used in CAPITA have been based on the published forecasts in the 2017 18 Budget; the average wage forecasts have been based on the wage price index forecasts.</t>
  </si>
  <si>
    <t xml:space="preserve">Note: The wage and price forecasts used in CAPITA have been based on the published forecasts in the 2017 18 Budget.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</si>
</sst>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42">
    <numFmt numFmtId="5" formatCode="&quot;$&quot;#,##0;\-&quot;$&quot;#,##0"/>
    <numFmt numFmtId="8" formatCode="&quot;$&quot;#,##0.00;[Red]\-&quot;$&quot;#,##0.00"/>
    <numFmt numFmtId="44" formatCode="_-&quot;$&quot;* #,##0.00_-;\-&quot;$&quot;* #,##0.00_-;_-&quot;$&quot;* &quot;-&quot;??_-;_-@_-"/>
    <numFmt numFmtId="43" formatCode="_-* #,##0.00_-;\-* #,##0.00_-;_-* &quot;-&quot;??_-;_-@_-"/>
    <numFmt numFmtId="164" formatCode="&quot;$&quot;#,##0.00"/>
    <numFmt numFmtId="165" formatCode="0.0000"/>
    <numFmt numFmtId="166" formatCode="0.0000%"/>
    <numFmt numFmtId="167" formatCode="0.0"/>
    <numFmt numFmtId="168" formatCode="#,##0.0000_ ;[Red]\-#,##0.0000\ "/>
    <numFmt numFmtId="169" formatCode="0.0%"/>
    <numFmt numFmtId="170" formatCode="&quot;$&quot;#,##0"/>
    <numFmt numFmtId="171" formatCode="0.0;\-0.0;0.0;@"/>
    <numFmt numFmtId="172" formatCode="&quot;$&quot;#,##0.00\ ;[Red]\-&quot;$&quot;#,##0.00\ ;&quot;- - &quot;"/>
    <numFmt numFmtId="173" formatCode="#,##0.00_ ;[Red]\-#,##0.00\ "/>
    <numFmt numFmtId="174" formatCode="&quot;$&quot;#,##0.000"/>
    <numFmt numFmtId="175" formatCode="_-[$€-2]* #,##0.00_-;\-[$€-2]* #,##0.00_-;_-[$€-2]* &quot;-&quot;??_-"/>
    <numFmt numFmtId="176" formatCode="0.000"/>
    <numFmt numFmtId="177" formatCode="0.000000000"/>
    <numFmt numFmtId="178" formatCode="_(&quot;$&quot;* #,##0.00_);_(&quot;$&quot;* \(#,##0.00\);_(&quot;$&quot;* &quot;-&quot;??_);_(@_)"/>
    <numFmt numFmtId="179" formatCode="&quot;$&quot;#,##0;[Red]\-&quot;$&quot;#,##0;[Blue]&quot;$&quot;#,##0;@"/>
    <numFmt numFmtId="180" formatCode="&quot;$&quot;#,##0.00;[Red]\-&quot;$&quot;#,##0.00;[Blue]&quot;$&quot;#,##0.00;@"/>
    <numFmt numFmtId="181" formatCode="[$-C09]dd\-mmm\-yy;@"/>
    <numFmt numFmtId="182" formatCode="0.00_ ;\-0.00\ ;&quot;- - &quot;"/>
    <numFmt numFmtId="183" formatCode="0_ ;\-0\ ;&quot;- - &quot;"/>
    <numFmt numFmtId="184" formatCode="&quot;$&quot;#,##0\ ;[Red]\-&quot;$&quot;#,##0\ ;&quot;- - &quot;"/>
    <numFmt numFmtId="185" formatCode="&quot;$&quot;#,##0.000\ ;[Red]\-&quot;$&quot;#,##0.000\ ;&quot;- - &quot;"/>
    <numFmt numFmtId="186" formatCode="0%\ ;\-0%\ ;&quot;- - &quot;"/>
    <numFmt numFmtId="187" formatCode="0.00%\ ;\-0.00%\ ;&quot;- - &quot;"/>
    <numFmt numFmtId="188" formatCode="_(* #,##0.00_);_(* \(#,##0.00\);_(* &quot;-&quot;??_);_(@_)"/>
    <numFmt numFmtId="189" formatCode="&quot;$&quot;#,##0.00;[Red]\-&quot;$&quot;#,##0.00;&quot;&quot;;@"/>
    <numFmt numFmtId="190" formatCode="&quot;$&quot;#,##0;[Red]\-&quot;$&quot;#,##0;&quot;&quot;;@"/>
    <numFmt numFmtId="191" formatCode="&quot;$&quot;#,##0.000;[Red]\-&quot;$&quot;#,##0.000;&quot;&quot;;@"/>
    <numFmt numFmtId="192" formatCode="mmm\ yyyy"/>
    <numFmt numFmtId="193" formatCode="0.00%;[Red]\-0.00%;&quot;&quot;;@"/>
    <numFmt numFmtId="194" formatCode="0;[Red]\-0;&quot;&quot;;@"/>
    <numFmt numFmtId="195" formatCode="0.0;[Red]\-0.0;&quot;&quot;;@"/>
    <numFmt numFmtId="196" formatCode="0.00;[Red]\-0.00;&quot;&quot;;@"/>
    <numFmt numFmtId="197" formatCode="0.000;[Red]\-0.000;&quot;&quot;;@"/>
    <numFmt numFmtId="198" formatCode="&quot;$&quot;#,##0.000;[Red]\-&quot;$&quot;#,##0.000;[Blue]&quot;$&quot;#,##0.000;@"/>
    <numFmt numFmtId="199" formatCode="0;0;0;\ @\ "/>
    <numFmt numFmtId="200" formatCode="0.00;\-0.00;0.00;@"/>
    <numFmt numFmtId="201" formatCode="_-* #,##0_-;\-* #,##0_-;_-* &quot;-&quot;??_-;_-@_-"/>
  </numFmts>
  <fonts count="38" x14ac:knownFonts="1">
    <font>
      <sz val="11"/>
      <color theme="1"/>
      <name val="Calibri"/>
      <family val="2"/>
      <scheme val="minor"/>
    </font>
    <font>
      <sz val="11"/>
      <color theme="1"/>
      <name val="Calibri"/>
      <family val="2"/>
      <scheme val="minor"/>
    </font>
    <font>
      <b/>
      <sz val="11"/>
      <color theme="1"/>
      <name val="Calibri"/>
      <family val="2"/>
      <scheme val="minor"/>
    </font>
    <font>
      <u/>
      <sz val="11"/>
      <color theme="10"/>
      <name val="Calibri"/>
      <family val="2"/>
    </font>
    <font>
      <sz val="10"/>
      <name val="Arial"/>
      <family val="2"/>
    </font>
    <font>
      <sz val="11"/>
      <name val="Calibri"/>
      <family val="2"/>
      <scheme val="minor"/>
    </font>
    <font>
      <sz val="11"/>
      <color theme="1"/>
      <name val="Courier New"/>
      <family val="3"/>
    </font>
    <font>
      <b/>
      <sz val="11"/>
      <color indexed="8"/>
      <name val="Calibri"/>
      <family val="2"/>
      <scheme val="minor"/>
    </font>
    <font>
      <sz val="11"/>
      <name val="Courier New"/>
      <family val="3"/>
    </font>
    <font>
      <b/>
      <sz val="11"/>
      <name val="Calibri"/>
      <family val="2"/>
      <scheme val="minor"/>
    </font>
    <font>
      <u/>
      <sz val="10"/>
      <color indexed="12"/>
      <name val="Arial"/>
      <family val="2"/>
    </font>
    <font>
      <sz val="11"/>
      <color rgb="FF000000"/>
      <name val="Calibri"/>
      <family val="2"/>
      <scheme val="minor"/>
    </font>
    <font>
      <sz val="8"/>
      <color theme="1"/>
      <name val="Arial"/>
      <family val="2"/>
    </font>
    <font>
      <sz val="12"/>
      <name val="Times New Roman"/>
      <family val="1"/>
    </font>
    <font>
      <sz val="10"/>
      <color indexed="10"/>
      <name val="Times New Roman"/>
      <family val="1"/>
    </font>
    <font>
      <sz val="10"/>
      <color indexed="16"/>
      <name val="Times New Roman"/>
      <family val="1"/>
    </font>
    <font>
      <i/>
      <sz val="10"/>
      <name val="Helv"/>
    </font>
    <font>
      <sz val="7"/>
      <name val="Times New Roman"/>
      <family val="1"/>
    </font>
    <font>
      <sz val="14"/>
      <name val="Terminal"/>
      <family val="3"/>
      <charset val="255"/>
    </font>
    <font>
      <sz val="10"/>
      <name val="Arial"/>
      <family val="2"/>
    </font>
    <font>
      <sz val="10"/>
      <name val="Arial"/>
      <family val="2"/>
    </font>
    <font>
      <sz val="11"/>
      <color rgb="FFFF0000"/>
      <name val="Calibri"/>
      <family val="2"/>
      <scheme val="minor"/>
    </font>
    <font>
      <sz val="10"/>
      <name val="Arial"/>
      <family val="2"/>
    </font>
    <font>
      <sz val="11"/>
      <color theme="1"/>
      <name val="Courier New"/>
      <family val="3"/>
    </font>
    <font>
      <sz val="11"/>
      <color theme="1"/>
      <name val="Calibri"/>
      <family val="2"/>
      <scheme val="minor"/>
    </font>
    <font>
      <sz val="9"/>
      <color indexed="81"/>
      <name val="Tahoma"/>
      <family val="2"/>
    </font>
    <font>
      <b/>
      <sz val="9"/>
      <color indexed="81"/>
      <name val="Tahoma"/>
      <family val="2"/>
    </font>
    <font>
      <sz val="11"/>
      <color rgb="FF006100"/>
      <name val="Calibri"/>
      <family val="2"/>
      <scheme val="minor"/>
    </font>
    <font>
      <b/>
      <sz val="10"/>
      <name val="Arial"/>
      <family val="2"/>
    </font>
    <font>
      <sz val="10"/>
      <color theme="1"/>
      <name val="Arial"/>
      <family val="2"/>
    </font>
    <font>
      <b/>
      <sz val="9"/>
      <color theme="1"/>
      <name val="Calibri"/>
      <family val="2"/>
      <scheme val="minor"/>
    </font>
    <font>
      <b/>
      <sz val="10"/>
      <color theme="1"/>
      <name val="Arial"/>
      <family val="2"/>
    </font>
    <font>
      <sz val="10"/>
      <color theme="0"/>
      <name val="Arial"/>
      <family val="2"/>
    </font>
    <font>
      <b/>
      <sz val="16"/>
      <name val="Arial"/>
      <family val="2"/>
    </font>
    <font>
      <sz val="10"/>
      <color theme="3"/>
      <name val="Arial"/>
      <family val="2"/>
    </font>
    <font>
      <sz val="10"/>
      <color theme="3" tint="-0.24994659260841701"/>
      <name val="Arial"/>
      <family val="2"/>
    </font>
    <font>
      <sz val="9"/>
      <name val="Terminal"/>
      <family val="3"/>
      <charset val="255"/>
    </font>
    <font>
      <u/>
      <sz val="11"/>
      <color theme="10"/>
      <name val="Calibri"/>
      <family val="2"/>
      <scheme val="minor"/>
    </font>
  </fonts>
  <fills count="25">
    <fill>
      <patternFill patternType="none"/>
    </fill>
    <fill>
      <patternFill patternType="gray125"/>
    </fill>
    <fill>
      <patternFill patternType="solid">
        <fgColor theme="0"/>
        <bgColor indexed="64"/>
      </patternFill>
    </fill>
    <fill>
      <patternFill patternType="solid">
        <fgColor theme="9" tint="0.39997558519241921"/>
        <bgColor indexed="64"/>
      </patternFill>
    </fill>
    <fill>
      <patternFill patternType="solid">
        <fgColor rgb="FFFFCC99"/>
        <bgColor indexed="64"/>
      </patternFill>
    </fill>
    <fill>
      <patternFill patternType="solid">
        <fgColor rgb="FFCCECFF"/>
        <bgColor indexed="64"/>
      </patternFill>
    </fill>
    <fill>
      <patternFill patternType="solid">
        <fgColor rgb="FFCCFFCC"/>
        <bgColor indexed="64"/>
      </patternFill>
    </fill>
    <fill>
      <patternFill patternType="solid">
        <fgColor rgb="FFFFFFCC"/>
        <bgColor indexed="64"/>
      </patternFill>
    </fill>
    <fill>
      <patternFill patternType="solid">
        <fgColor theme="3" tint="0.59999389629810485"/>
        <bgColor indexed="64"/>
      </patternFill>
    </fill>
    <fill>
      <patternFill patternType="solid">
        <fgColor rgb="FFFFCC00"/>
        <bgColor indexed="64"/>
      </patternFill>
    </fill>
    <fill>
      <patternFill patternType="solid">
        <fgColor rgb="FFFF9933"/>
        <bgColor indexed="64"/>
      </patternFill>
    </fill>
    <fill>
      <patternFill patternType="solid">
        <fgColor rgb="FF82BBEE"/>
        <bgColor indexed="64"/>
      </patternFill>
    </fill>
    <fill>
      <patternFill patternType="solid">
        <fgColor theme="4" tint="0.39997558519241921"/>
        <bgColor indexed="64"/>
      </patternFill>
    </fill>
    <fill>
      <patternFill patternType="solid">
        <fgColor indexed="9"/>
        <bgColor indexed="64"/>
      </patternFill>
    </fill>
    <fill>
      <patternFill patternType="solid">
        <fgColor indexed="47"/>
        <bgColor indexed="64"/>
      </patternFill>
    </fill>
    <fill>
      <patternFill patternType="solid">
        <fgColor theme="5" tint="0.39997558519241921"/>
        <bgColor indexed="64"/>
      </patternFill>
    </fill>
    <fill>
      <patternFill patternType="solid">
        <fgColor theme="5" tint="0.79998168889431442"/>
        <bgColor indexed="64"/>
      </patternFill>
    </fill>
    <fill>
      <patternFill patternType="solid">
        <fgColor rgb="FF00B050"/>
        <bgColor indexed="64"/>
      </patternFill>
    </fill>
    <fill>
      <patternFill patternType="solid">
        <fgColor theme="6" tint="0.39997558519241921"/>
        <bgColor indexed="64"/>
      </patternFill>
    </fill>
    <fill>
      <patternFill patternType="solid">
        <fgColor rgb="FFC6EFCE"/>
      </patternFill>
    </fill>
    <fill>
      <patternFill patternType="solid">
        <fgColor theme="1"/>
        <bgColor indexed="64"/>
      </patternFill>
    </fill>
    <fill>
      <patternFill patternType="solid">
        <fgColor rgb="FFCCFFCC"/>
        <bgColor rgb="FFCCFFCC"/>
      </patternFill>
    </fill>
    <fill>
      <patternFill patternType="solid">
        <fgColor theme="0"/>
        <bgColor theme="7" tint="0.59996337778862885"/>
      </patternFill>
    </fill>
    <fill>
      <patternFill patternType="solid">
        <fgColor rgb="FFFF9999"/>
        <bgColor indexed="64"/>
      </patternFill>
    </fill>
    <fill>
      <patternFill patternType="solid">
        <fgColor theme="7" tint="0.59996337778862885"/>
        <bgColor indexed="64"/>
      </patternFill>
    </fill>
  </fills>
  <borders count="21">
    <border>
      <left/>
      <right/>
      <top/>
      <bottom/>
      <diagonal/>
    </border>
    <border>
      <left style="medium">
        <color indexed="64"/>
      </left>
      <right/>
      <top style="medium">
        <color indexed="64"/>
      </top>
      <bottom/>
      <diagonal/>
    </border>
    <border>
      <left style="medium">
        <color indexed="64"/>
      </left>
      <right style="medium">
        <color indexed="64"/>
      </right>
      <top/>
      <bottom/>
      <diagonal/>
    </border>
    <border>
      <left style="medium">
        <color indexed="64"/>
      </left>
      <right/>
      <top/>
      <bottom/>
      <diagonal/>
    </border>
    <border>
      <left style="medium">
        <color indexed="64"/>
      </left>
      <right/>
      <top/>
      <bottom style="medium">
        <color indexed="64"/>
      </bottom>
      <diagonal/>
    </border>
    <border>
      <left style="medium">
        <color indexed="64"/>
      </left>
      <right style="medium">
        <color indexed="64"/>
      </right>
      <top/>
      <bottom style="medium">
        <color indexed="64"/>
      </bottom>
      <diagonal/>
    </border>
    <border>
      <left style="medium">
        <color indexed="64"/>
      </left>
      <right style="medium">
        <color indexed="64"/>
      </right>
      <top style="medium">
        <color indexed="64"/>
      </top>
      <bottom/>
      <diagonal/>
    </border>
    <border>
      <left style="medium">
        <color indexed="64"/>
      </left>
      <right style="medium">
        <color indexed="64"/>
      </right>
      <top style="medium">
        <color indexed="64"/>
      </top>
      <bottom style="medium">
        <color indexed="64"/>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right/>
      <top style="medium">
        <color indexed="64"/>
      </top>
      <bottom style="medium">
        <color indexed="64"/>
      </bottom>
      <diagonal/>
    </border>
    <border>
      <left/>
      <right/>
      <top style="medium">
        <color indexed="64"/>
      </top>
      <bottom/>
      <diagonal/>
    </border>
    <border>
      <left/>
      <right style="medium">
        <color indexed="64"/>
      </right>
      <top style="medium">
        <color indexed="64"/>
      </top>
      <bottom/>
      <diagonal/>
    </border>
    <border>
      <left/>
      <right style="medium">
        <color indexed="64"/>
      </right>
      <top/>
      <bottom/>
      <diagonal/>
    </border>
    <border>
      <left/>
      <right/>
      <top/>
      <bottom style="thin">
        <color indexed="64"/>
      </bottom>
      <diagonal/>
    </border>
    <border>
      <left/>
      <right style="medium">
        <color indexed="64"/>
      </right>
      <top/>
      <bottom style="medium">
        <color indexed="64"/>
      </bottom>
      <diagonal/>
    </border>
    <border>
      <left/>
      <right/>
      <top/>
      <bottom style="medium">
        <color indexed="64"/>
      </bottom>
      <diagonal/>
    </border>
    <border>
      <left style="thin">
        <color indexed="64"/>
      </left>
      <right style="thin">
        <color indexed="64"/>
      </right>
      <top/>
      <bottom/>
      <diagonal/>
    </border>
    <border>
      <left style="medium">
        <color indexed="64"/>
      </left>
      <right style="thin">
        <color indexed="64"/>
      </right>
      <top style="medium">
        <color indexed="64"/>
      </top>
      <bottom style="medium">
        <color indexed="64"/>
      </bottom>
      <diagonal/>
    </border>
    <border>
      <left/>
      <right/>
      <top style="thin">
        <color auto="1"/>
      </top>
      <bottom style="thin">
        <color auto="1"/>
      </bottom>
      <diagonal/>
    </border>
    <border>
      <left/>
      <right/>
      <top style="thin">
        <color auto="1"/>
      </top>
      <bottom/>
      <diagonal/>
    </border>
  </borders>
  <cellStyleXfs count="146">
    <xf numFmtId="0" fontId="0" fillId="0" borderId="0"/>
    <xf numFmtId="9" fontId="1" fillId="0" borderId="0" applyFont="0" applyFill="0" applyBorder="0" applyAlignment="0" applyProtection="0"/>
    <xf numFmtId="0" fontId="4" fillId="0" borderId="0" applyFont="0" applyFill="0" applyBorder="0" applyAlignment="0" applyProtection="0"/>
    <xf numFmtId="8" fontId="4" fillId="0" borderId="0" applyFont="0" applyFill="0" applyBorder="0" applyAlignment="0" applyProtection="0"/>
    <xf numFmtId="0" fontId="4" fillId="0" borderId="0" applyFont="0" applyFill="0" applyBorder="0" applyAlignment="0" applyProtection="0"/>
    <xf numFmtId="9"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8" fontId="4" fillId="0" borderId="0" applyFont="0" applyFill="0" applyBorder="0" applyAlignment="0" applyProtection="0"/>
    <xf numFmtId="8" fontId="4" fillId="0" borderId="0" applyFont="0" applyFill="0" applyBorder="0" applyAlignment="0" applyProtection="0"/>
    <xf numFmtId="8" fontId="4" fillId="0" borderId="0" applyFont="0" applyFill="0" applyBorder="0" applyAlignment="0" applyProtection="0"/>
    <xf numFmtId="0" fontId="10" fillId="0" borderId="0" applyNumberFormat="0" applyFill="0" applyBorder="0" applyAlignment="0" applyProtection="0">
      <alignment vertical="top"/>
      <protection locked="0"/>
    </xf>
    <xf numFmtId="0" fontId="10" fillId="0" borderId="0" applyNumberFormat="0" applyFill="0" applyBorder="0" applyAlignment="0" applyProtection="0">
      <alignment vertical="top"/>
      <protection locked="0"/>
    </xf>
    <xf numFmtId="0" fontId="10" fillId="0" borderId="0" applyNumberFormat="0" applyFill="0" applyBorder="0" applyAlignment="0" applyProtection="0">
      <alignment vertical="top"/>
      <protection locked="0"/>
    </xf>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1" fillId="0" borderId="0"/>
    <xf numFmtId="0" fontId="4" fillId="0" borderId="0" applyFont="0" applyFill="0" applyBorder="0" applyAlignment="0" applyProtection="0"/>
    <xf numFmtId="0" fontId="11" fillId="0" borderId="0"/>
    <xf numFmtId="0" fontId="12"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0" fontId="4" fillId="0" borderId="0" applyFont="0" applyFill="0" applyBorder="0" applyAlignment="0" applyProtection="0"/>
    <xf numFmtId="0" fontId="4" fillId="0" borderId="0" applyFont="0" applyFill="0" applyBorder="0" applyAlignment="0" applyProtection="0"/>
    <xf numFmtId="0" fontId="4" fillId="0" borderId="0" applyFont="0" applyFill="0" applyBorder="0" applyAlignment="0" applyProtection="0"/>
    <xf numFmtId="0" fontId="4" fillId="0" borderId="0" applyFont="0" applyFill="0" applyBorder="0" applyAlignment="0" applyProtection="0"/>
    <xf numFmtId="0" fontId="4" fillId="0" borderId="0" applyFont="0" applyFill="0" applyBorder="0" applyAlignment="0" applyProtection="0"/>
    <xf numFmtId="172" fontId="1" fillId="0" borderId="0" applyFont="0" applyBorder="0" applyAlignment="0" applyProtection="0"/>
    <xf numFmtId="0" fontId="1" fillId="0" borderId="0"/>
    <xf numFmtId="175" fontId="4" fillId="0" borderId="0" applyFont="0" applyFill="0" applyBorder="0" applyAlignment="0" applyProtection="0"/>
    <xf numFmtId="175" fontId="4" fillId="0" borderId="0" applyFont="0" applyFill="0" applyBorder="0" applyAlignment="0" applyProtection="0"/>
    <xf numFmtId="1" fontId="14" fillId="0" borderId="0"/>
    <xf numFmtId="1" fontId="15" fillId="0" borderId="0"/>
    <xf numFmtId="0" fontId="16" fillId="0" borderId="17"/>
    <xf numFmtId="0" fontId="17" fillId="0" borderId="0"/>
    <xf numFmtId="0" fontId="13" fillId="0" borderId="0"/>
    <xf numFmtId="0" fontId="18" fillId="0" borderId="0"/>
    <xf numFmtId="0" fontId="19" fillId="0" borderId="0" applyFont="0" applyFill="0" applyBorder="0" applyAlignment="0" applyProtection="0"/>
    <xf numFmtId="43" fontId="19" fillId="0" borderId="0" applyFont="0" applyFill="0" applyBorder="0" applyAlignment="0" applyProtection="0"/>
    <xf numFmtId="8" fontId="19" fillId="0" borderId="0" applyFont="0" applyFill="0" applyBorder="0" applyAlignment="0" applyProtection="0"/>
    <xf numFmtId="9" fontId="19" fillId="0" borderId="0" applyFont="0" applyFill="0" applyBorder="0" applyAlignment="0" applyProtection="0"/>
    <xf numFmtId="0" fontId="20" fillId="0" borderId="0" applyFont="0" applyFill="0" applyBorder="0" applyAlignment="0" applyProtection="0"/>
    <xf numFmtId="43" fontId="20" fillId="0" borderId="0" applyFont="0" applyFill="0" applyBorder="0" applyAlignment="0" applyProtection="0"/>
    <xf numFmtId="8" fontId="20" fillId="0" borderId="0" applyFont="0" applyFill="0" applyBorder="0" applyAlignment="0" applyProtection="0"/>
    <xf numFmtId="9" fontId="20" fillId="0" borderId="0" applyFont="0" applyFill="0" applyBorder="0" applyAlignment="0" applyProtection="0"/>
    <xf numFmtId="44" fontId="1" fillId="0" borderId="0" applyFont="0" applyFill="0" applyBorder="0" applyAlignment="0" applyProtection="0"/>
    <xf numFmtId="0" fontId="4" fillId="0" borderId="0" applyFont="0" applyFill="0" applyBorder="0" applyAlignment="0" applyProtection="0"/>
    <xf numFmtId="43" fontId="4" fillId="0" borderId="0" applyFont="0" applyFill="0" applyBorder="0" applyAlignment="0" applyProtection="0"/>
    <xf numFmtId="8" fontId="4" fillId="0" borderId="0" applyFont="0" applyFill="0" applyBorder="0" applyAlignment="0" applyProtection="0"/>
    <xf numFmtId="9" fontId="4" fillId="0" borderId="0" applyFont="0" applyFill="0" applyBorder="0" applyAlignment="0" applyProtection="0"/>
    <xf numFmtId="0" fontId="4" fillId="0" borderId="0" applyFont="0" applyFill="0" applyBorder="0" applyAlignment="0" applyProtection="0"/>
    <xf numFmtId="43" fontId="4" fillId="0" borderId="0" applyFont="0" applyFill="0" applyBorder="0" applyAlignment="0" applyProtection="0"/>
    <xf numFmtId="8" fontId="4" fillId="0" borderId="0" applyFont="0" applyFill="0" applyBorder="0" applyAlignment="0" applyProtection="0"/>
    <xf numFmtId="9" fontId="4" fillId="0" borderId="0" applyFont="0" applyFill="0" applyBorder="0" applyAlignment="0" applyProtection="0"/>
    <xf numFmtId="0" fontId="22" fillId="0" borderId="0" applyFont="0" applyFill="0" applyBorder="0" applyAlignment="0" applyProtection="0"/>
    <xf numFmtId="43" fontId="22" fillId="0" borderId="0" applyFont="0" applyFill="0" applyBorder="0" applyAlignment="0" applyProtection="0"/>
    <xf numFmtId="8" fontId="22" fillId="0" borderId="0" applyFont="0" applyFill="0" applyBorder="0" applyAlignment="0" applyProtection="0"/>
    <xf numFmtId="9" fontId="22" fillId="0" borderId="0" applyFont="0" applyFill="0" applyBorder="0" applyAlignment="0" applyProtection="0"/>
    <xf numFmtId="0" fontId="4" fillId="0" borderId="0" applyFont="0" applyFill="0" applyBorder="0" applyAlignment="0" applyProtection="0"/>
    <xf numFmtId="43" fontId="4" fillId="0" borderId="0" applyFont="0" applyFill="0" applyBorder="0" applyAlignment="0" applyProtection="0"/>
    <xf numFmtId="8" fontId="4" fillId="0" borderId="0" applyFont="0" applyFill="0" applyBorder="0" applyAlignment="0" applyProtection="0"/>
    <xf numFmtId="9" fontId="4" fillId="0" borderId="0" applyFont="0" applyFill="0" applyBorder="0" applyAlignment="0" applyProtection="0"/>
    <xf numFmtId="0" fontId="4" fillId="0" borderId="0"/>
    <xf numFmtId="0" fontId="1" fillId="0" borderId="0"/>
    <xf numFmtId="0" fontId="1" fillId="0" borderId="0"/>
    <xf numFmtId="0" fontId="29" fillId="0" borderId="0"/>
    <xf numFmtId="184" fontId="1" fillId="0" borderId="0" applyFont="0" applyBorder="0" applyAlignment="0" applyProtection="0"/>
    <xf numFmtId="183" fontId="1" fillId="0" borderId="0" applyFont="0" applyBorder="0" applyAlignment="0" applyProtection="0"/>
    <xf numFmtId="185" fontId="1" fillId="0" borderId="0" applyFont="0" applyBorder="0" applyAlignment="0" applyProtection="0"/>
    <xf numFmtId="186" fontId="1" fillId="0" borderId="0" applyFont="0" applyBorder="0" applyAlignment="0" applyProtection="0"/>
    <xf numFmtId="187" fontId="1" fillId="0" borderId="0" applyFont="0" applyBorder="0" applyAlignment="0" applyProtection="0"/>
    <xf numFmtId="182" fontId="1" fillId="0" borderId="0" applyFont="0" applyBorder="0" applyAlignment="0" applyProtection="0"/>
    <xf numFmtId="181" fontId="29" fillId="0" borderId="0" applyFont="0" applyBorder="0" applyAlignment="0" applyProtection="0"/>
    <xf numFmtId="181" fontId="30" fillId="0" borderId="0" applyBorder="0" applyAlignment="0" applyProtection="0"/>
    <xf numFmtId="0" fontId="4" fillId="0" borderId="0"/>
    <xf numFmtId="0" fontId="32" fillId="20" borderId="0" applyNumberFormat="0" applyBorder="0" applyAlignment="0" applyProtection="0">
      <protection locked="0"/>
    </xf>
    <xf numFmtId="0" fontId="4" fillId="21" borderId="0" applyNumberFormat="0" applyBorder="0" applyAlignment="0" applyProtection="0">
      <protection locked="0"/>
    </xf>
    <xf numFmtId="188" fontId="4" fillId="0" borderId="0" applyFont="0" applyFill="0" applyBorder="0" applyAlignment="0" applyProtection="0"/>
    <xf numFmtId="178" fontId="4" fillId="0" borderId="0" applyFont="0" applyFill="0" applyBorder="0" applyAlignment="0" applyProtection="0"/>
    <xf numFmtId="0" fontId="27" fillId="19" borderId="0" applyNumberFormat="0" applyBorder="0" applyAlignment="0" applyProtection="0"/>
    <xf numFmtId="194" fontId="4" fillId="2" borderId="0" applyBorder="0" applyAlignment="0" applyProtection="0">
      <alignment horizontal="left"/>
    </xf>
    <xf numFmtId="195" fontId="4" fillId="2" borderId="0" applyBorder="0" applyAlignment="0" applyProtection="0">
      <alignment horizontal="left"/>
    </xf>
    <xf numFmtId="196" fontId="4" fillId="2" borderId="0" applyBorder="0" applyAlignment="0" applyProtection="0">
      <alignment horizontal="left"/>
    </xf>
    <xf numFmtId="197" fontId="4" fillId="0" borderId="0" applyBorder="0" applyAlignment="0" applyProtection="0">
      <alignment horizontal="left"/>
    </xf>
    <xf numFmtId="15" fontId="34" fillId="2" borderId="0" applyBorder="0" applyAlignment="0" applyProtection="0">
      <alignment horizontal="left"/>
    </xf>
    <xf numFmtId="0" fontId="4" fillId="0" borderId="0" applyBorder="0" applyAlignment="0" applyProtection="0">
      <alignment horizontal="left"/>
    </xf>
    <xf numFmtId="179" fontId="4" fillId="2" borderId="0" applyBorder="0" applyAlignment="0" applyProtection="0">
      <alignment horizontal="left"/>
    </xf>
    <xf numFmtId="180" fontId="4" fillId="0" borderId="0" applyBorder="0" applyAlignment="0" applyProtection="0">
      <alignment horizontal="left"/>
    </xf>
    <xf numFmtId="198" fontId="4" fillId="22" borderId="0" applyBorder="0" applyAlignment="0" applyProtection="0">
      <alignment horizontal="left"/>
    </xf>
    <xf numFmtId="193" fontId="4" fillId="0" borderId="0" applyBorder="0" applyAlignment="0" applyProtection="0">
      <alignment horizontal="left"/>
    </xf>
    <xf numFmtId="0" fontId="28" fillId="2" borderId="0" applyBorder="0" applyAlignment="0" applyProtection="0">
      <alignment horizontal="left"/>
    </xf>
    <xf numFmtId="0" fontId="33" fillId="2" borderId="0" applyBorder="0" applyAlignment="0" applyProtection="0">
      <alignment horizontal="left"/>
    </xf>
    <xf numFmtId="0" fontId="4" fillId="2" borderId="0" applyBorder="0" applyAlignment="0" applyProtection="0">
      <alignment horizontal="left"/>
    </xf>
    <xf numFmtId="194" fontId="4" fillId="2" borderId="0" applyBorder="0" applyProtection="0">
      <alignment horizontal="right"/>
    </xf>
    <xf numFmtId="195" fontId="4" fillId="2" borderId="0" applyBorder="0" applyProtection="0">
      <alignment horizontal="right"/>
    </xf>
    <xf numFmtId="196" fontId="4" fillId="2" borderId="0" applyBorder="0" applyProtection="0">
      <alignment horizontal="right"/>
    </xf>
    <xf numFmtId="197" fontId="4" fillId="2" borderId="0" applyBorder="0" applyProtection="0">
      <alignment horizontal="right"/>
    </xf>
    <xf numFmtId="15" fontId="4" fillId="2" borderId="0" applyBorder="0" applyProtection="0">
      <alignment horizontal="right"/>
    </xf>
    <xf numFmtId="192" fontId="4" fillId="2" borderId="0" applyBorder="0" applyProtection="0">
      <alignment horizontal="right"/>
    </xf>
    <xf numFmtId="190" fontId="4" fillId="0" borderId="0" applyBorder="0" applyProtection="0">
      <alignment horizontal="right"/>
    </xf>
    <xf numFmtId="189" fontId="4" fillId="0" borderId="0" applyBorder="0" applyProtection="0">
      <alignment horizontal="right"/>
    </xf>
    <xf numFmtId="191" fontId="4" fillId="0" borderId="0" applyBorder="0" applyProtection="0">
      <alignment horizontal="right"/>
    </xf>
    <xf numFmtId="193" fontId="4" fillId="2" borderId="0" applyBorder="0" applyProtection="0">
      <alignment horizontal="right"/>
    </xf>
    <xf numFmtId="0" fontId="35" fillId="0" borderId="0" applyBorder="0" applyProtection="0">
      <alignment horizontal="right"/>
    </xf>
    <xf numFmtId="0" fontId="31" fillId="2" borderId="0" applyBorder="0" applyProtection="0">
      <alignment horizontal="centerContinuous" wrapText="1"/>
    </xf>
    <xf numFmtId="0" fontId="4" fillId="2" borderId="0" applyBorder="0" applyProtection="0">
      <alignment horizontal="centerContinuous" wrapText="1"/>
    </xf>
    <xf numFmtId="0" fontId="35" fillId="0" borderId="0" applyBorder="0" applyAlignment="0" applyProtection="0">
      <alignment horizontal="right"/>
    </xf>
    <xf numFmtId="0" fontId="36" fillId="0" borderId="0" applyBorder="0" applyProtection="0">
      <alignment horizontal="left"/>
    </xf>
    <xf numFmtId="199" fontId="4" fillId="2" borderId="0" applyBorder="0" applyProtection="0">
      <alignment horizontal="left"/>
    </xf>
    <xf numFmtId="0" fontId="1" fillId="0" borderId="0"/>
    <xf numFmtId="9" fontId="1" fillId="0" borderId="0" applyFont="0" applyFill="0" applyBorder="0" applyAlignment="0" applyProtection="0"/>
    <xf numFmtId="0" fontId="3" fillId="0" borderId="0" applyNumberFormat="0" applyFill="0" applyBorder="0" applyAlignment="0" applyProtection="0">
      <alignment vertical="top"/>
      <protection locked="0"/>
    </xf>
    <xf numFmtId="8" fontId="4" fillId="0" borderId="0" applyFont="0" applyFill="0" applyBorder="0" applyAlignment="0" applyProtection="0"/>
    <xf numFmtId="9" fontId="4" fillId="0" borderId="0" applyFont="0" applyFill="0" applyBorder="0" applyAlignment="0" applyProtection="0"/>
    <xf numFmtId="43" fontId="4" fillId="0" borderId="0" applyFont="0" applyFill="0" applyBorder="0" applyAlignment="0" applyProtection="0"/>
    <xf numFmtId="0" fontId="1" fillId="0" borderId="0"/>
    <xf numFmtId="9" fontId="29" fillId="0" borderId="0" applyFont="0" applyFill="0" applyBorder="0" applyAlignment="0" applyProtection="0"/>
    <xf numFmtId="178" fontId="4" fillId="0" borderId="0" applyFont="0" applyFill="0" applyBorder="0" applyAlignment="0" applyProtection="0"/>
    <xf numFmtId="188" fontId="4" fillId="0" borderId="0" applyFont="0" applyFill="0" applyBorder="0" applyAlignment="0" applyProtection="0"/>
    <xf numFmtId="0" fontId="37" fillId="0" borderId="0" applyNumberFormat="0" applyFill="0" applyBorder="0" applyAlignment="0" applyProtection="0"/>
    <xf numFmtId="0" fontId="4" fillId="0" borderId="0" applyFont="0" applyFill="0" applyBorder="0" applyAlignment="0" applyProtection="0"/>
    <xf numFmtId="43" fontId="4" fillId="0" borderId="0" applyFont="0" applyFill="0" applyBorder="0" applyAlignment="0" applyProtection="0"/>
    <xf numFmtId="8" fontId="4" fillId="0" borderId="0" applyFont="0" applyFill="0" applyBorder="0" applyAlignment="0" applyProtection="0"/>
    <xf numFmtId="9" fontId="4" fillId="0" borderId="0" applyFont="0" applyFill="0" applyBorder="0" applyAlignment="0" applyProtection="0"/>
    <xf numFmtId="0" fontId="4" fillId="0" borderId="0" applyFont="0" applyFill="0" applyBorder="0" applyAlignment="0" applyProtection="0"/>
    <xf numFmtId="9" fontId="4" fillId="0" borderId="0" applyFont="0" applyFill="0" applyBorder="0" applyAlignment="0" applyProtection="0"/>
    <xf numFmtId="43" fontId="1" fillId="0" borderId="0" applyFont="0" applyFill="0" applyBorder="0" applyAlignment="0" applyProtection="0"/>
  </cellStyleXfs>
  <cellXfs count="1518">
    <xf numFmtId="0" fontId="0" fillId="0" borderId="0" xfId="0"/>
    <xf numFmtId="0" fontId="0" fillId="0" borderId="13" xfId="0" applyBorder="1"/>
    <xf numFmtId="0" fontId="0" fillId="0" borderId="3" xfId="0" applyBorder="1"/>
    <xf numFmtId="0" fontId="0" fillId="0" borderId="1" xfId="0" applyBorder="1"/>
    <xf numFmtId="0" fontId="0" fillId="0" borderId="12" xfId="0" applyBorder="1"/>
    <xf numFmtId="0" fontId="0" fillId="0" borderId="0" xfId="0" applyFill="1"/>
    <xf numFmtId="14" fontId="0" fillId="0" borderId="0" xfId="0" applyNumberFormat="1" applyFill="1" applyBorder="1" applyAlignment="1">
      <alignment horizontal="center" vertical="distributed"/>
    </xf>
    <xf numFmtId="14" fontId="0" fillId="0" borderId="3" xfId="0" applyNumberFormat="1" applyFill="1" applyBorder="1" applyAlignment="1">
      <alignment horizontal="center" vertical="distributed"/>
    </xf>
    <xf numFmtId="14" fontId="0" fillId="3" borderId="0" xfId="0" applyNumberFormat="1" applyFill="1" applyBorder="1" applyAlignment="1">
      <alignment horizontal="center" vertical="distributed"/>
    </xf>
    <xf numFmtId="14" fontId="0" fillId="3" borderId="3" xfId="0" applyNumberFormat="1" applyFill="1" applyBorder="1" applyAlignment="1">
      <alignment horizontal="center" vertical="distributed"/>
    </xf>
    <xf numFmtId="0" fontId="0" fillId="0" borderId="6" xfId="0" applyBorder="1"/>
    <xf numFmtId="0" fontId="0" fillId="0" borderId="2" xfId="0" applyBorder="1"/>
    <xf numFmtId="164" fontId="0" fillId="0" borderId="0" xfId="0" applyNumberFormat="1"/>
    <xf numFmtId="17" fontId="0" fillId="0" borderId="1" xfId="0" applyNumberFormat="1" applyFill="1" applyBorder="1" applyAlignment="1">
      <alignment horizontal="center" vertical="center"/>
    </xf>
    <xf numFmtId="17" fontId="0" fillId="0" borderId="3" xfId="0" applyNumberFormat="1" applyFill="1" applyBorder="1" applyAlignment="1">
      <alignment horizontal="center" vertical="center"/>
    </xf>
    <xf numFmtId="0" fontId="0" fillId="4" borderId="13" xfId="0" applyFill="1" applyBorder="1"/>
    <xf numFmtId="0" fontId="0" fillId="0" borderId="0" xfId="0" applyAlignment="1">
      <alignment vertical="center"/>
    </xf>
    <xf numFmtId="164" fontId="0" fillId="0" borderId="3" xfId="0" applyNumberFormat="1" applyBorder="1"/>
    <xf numFmtId="164" fontId="0" fillId="0" borderId="1" xfId="0" applyNumberFormat="1" applyBorder="1"/>
    <xf numFmtId="164" fontId="0" fillId="0" borderId="0" xfId="0" applyNumberFormat="1" applyBorder="1"/>
    <xf numFmtId="164" fontId="0" fillId="0" borderId="11" xfId="0" applyNumberFormat="1" applyBorder="1"/>
    <xf numFmtId="9" fontId="0" fillId="0" borderId="12" xfId="0" applyNumberFormat="1" applyBorder="1"/>
    <xf numFmtId="9" fontId="0" fillId="0" borderId="13" xfId="0" applyNumberFormat="1" applyBorder="1"/>
    <xf numFmtId="0" fontId="0" fillId="0" borderId="11" xfId="0" applyBorder="1"/>
    <xf numFmtId="0" fontId="0" fillId="0" borderId="3" xfId="0" applyFont="1" applyBorder="1"/>
    <xf numFmtId="0" fontId="0" fillId="0" borderId="0" xfId="0" applyFont="1"/>
    <xf numFmtId="0" fontId="0" fillId="0" borderId="0" xfId="0" applyFont="1" applyFill="1"/>
    <xf numFmtId="0" fontId="0" fillId="0" borderId="0" xfId="0" applyBorder="1"/>
    <xf numFmtId="0" fontId="0" fillId="0" borderId="0" xfId="0"/>
    <xf numFmtId="0" fontId="0" fillId="4" borderId="0" xfId="0" applyFill="1" applyBorder="1"/>
    <xf numFmtId="0" fontId="0" fillId="4" borderId="3" xfId="0" applyFill="1" applyBorder="1"/>
    <xf numFmtId="0" fontId="0" fillId="4" borderId="2" xfId="0" applyFill="1" applyBorder="1"/>
    <xf numFmtId="164" fontId="0" fillId="0" borderId="13" xfId="0" applyNumberFormat="1" applyFont="1" applyBorder="1"/>
    <xf numFmtId="164" fontId="0" fillId="4" borderId="3" xfId="0" applyNumberFormat="1" applyFill="1" applyBorder="1"/>
    <xf numFmtId="164" fontId="0" fillId="4" borderId="0" xfId="0" applyNumberFormat="1" applyFill="1" applyBorder="1"/>
    <xf numFmtId="164" fontId="0" fillId="0" borderId="13" xfId="0" applyNumberFormat="1" applyBorder="1"/>
    <xf numFmtId="0" fontId="0" fillId="0" borderId="12" xfId="0" applyFont="1" applyBorder="1"/>
    <xf numFmtId="9" fontId="5" fillId="0" borderId="13" xfId="5" applyNumberFormat="1" applyFont="1" applyFill="1" applyBorder="1" applyAlignment="1">
      <alignment horizontal="center"/>
    </xf>
    <xf numFmtId="164" fontId="0" fillId="4" borderId="13" xfId="0" applyNumberFormat="1" applyFont="1" applyFill="1" applyBorder="1"/>
    <xf numFmtId="0" fontId="0" fillId="0" borderId="0" xfId="0" applyFont="1" applyBorder="1"/>
    <xf numFmtId="0" fontId="0" fillId="7" borderId="8" xfId="0" applyFill="1" applyBorder="1" applyAlignment="1">
      <alignment horizontal="center" vertical="distributed"/>
    </xf>
    <xf numFmtId="0" fontId="0" fillId="6" borderId="8" xfId="0" applyFill="1" applyBorder="1" applyAlignment="1">
      <alignment horizontal="center" vertical="distributed"/>
    </xf>
    <xf numFmtId="0" fontId="0" fillId="6" borderId="7" xfId="0" applyFill="1" applyBorder="1" applyAlignment="1">
      <alignment horizontal="center" vertical="distributed"/>
    </xf>
    <xf numFmtId="0" fontId="0" fillId="6" borderId="7" xfId="0" applyFont="1" applyFill="1" applyBorder="1"/>
    <xf numFmtId="0" fontId="0" fillId="0" borderId="0" xfId="0" applyAlignment="1"/>
    <xf numFmtId="0" fontId="2" fillId="8" borderId="9" xfId="0" applyFont="1" applyFill="1" applyBorder="1" applyAlignment="1">
      <alignment horizontal="center"/>
    </xf>
    <xf numFmtId="0" fontId="0" fillId="7" borderId="1" xfId="0" applyFill="1" applyBorder="1" applyAlignment="1">
      <alignment horizontal="center" vertical="distributed"/>
    </xf>
    <xf numFmtId="0" fontId="0" fillId="7" borderId="12" xfId="0" applyFill="1" applyBorder="1" applyAlignment="1">
      <alignment horizontal="center" vertical="distributed"/>
    </xf>
    <xf numFmtId="0" fontId="6" fillId="6" borderId="8" xfId="0" applyFont="1" applyFill="1" applyBorder="1" applyAlignment="1">
      <alignment horizontal="center"/>
    </xf>
    <xf numFmtId="0" fontId="6" fillId="6" borderId="9" xfId="0" applyFont="1" applyFill="1" applyBorder="1" applyAlignment="1">
      <alignment horizontal="center"/>
    </xf>
    <xf numFmtId="166" fontId="0" fillId="0" borderId="13" xfId="0" applyNumberFormat="1" applyBorder="1"/>
    <xf numFmtId="166" fontId="0" fillId="0" borderId="15" xfId="0" applyNumberFormat="1" applyBorder="1"/>
    <xf numFmtId="166" fontId="0" fillId="0" borderId="12" xfId="0" applyNumberFormat="1" applyBorder="1"/>
    <xf numFmtId="10" fontId="0" fillId="0" borderId="0" xfId="0" applyNumberFormat="1"/>
    <xf numFmtId="164" fontId="0" fillId="0" borderId="0" xfId="0" applyNumberFormat="1" applyAlignment="1">
      <alignment vertical="center"/>
    </xf>
    <xf numFmtId="164" fontId="6" fillId="6" borderId="8" xfId="0" applyNumberFormat="1" applyFont="1" applyFill="1" applyBorder="1" applyAlignment="1">
      <alignment horizontal="center" vertical="center"/>
    </xf>
    <xf numFmtId="164" fontId="6" fillId="6" borderId="9" xfId="0" applyNumberFormat="1" applyFont="1" applyFill="1" applyBorder="1" applyAlignment="1">
      <alignment horizontal="center" vertical="center"/>
    </xf>
    <xf numFmtId="10" fontId="0" fillId="0" borderId="12" xfId="0" applyNumberFormat="1" applyBorder="1"/>
    <xf numFmtId="10" fontId="0" fillId="0" borderId="1" xfId="0" applyNumberFormat="1" applyBorder="1"/>
    <xf numFmtId="10" fontId="0" fillId="0" borderId="11" xfId="0" applyNumberFormat="1" applyBorder="1"/>
    <xf numFmtId="164" fontId="0" fillId="0" borderId="12" xfId="0" applyNumberFormat="1" applyBorder="1"/>
    <xf numFmtId="10" fontId="0" fillId="0" borderId="13" xfId="0" applyNumberFormat="1" applyBorder="1"/>
    <xf numFmtId="10" fontId="0" fillId="0" borderId="3" xfId="0" applyNumberFormat="1" applyBorder="1"/>
    <xf numFmtId="10" fontId="0" fillId="0" borderId="0" xfId="0" applyNumberFormat="1" applyBorder="1"/>
    <xf numFmtId="0" fontId="0" fillId="0" borderId="5" xfId="0" applyBorder="1"/>
    <xf numFmtId="164" fontId="0" fillId="0" borderId="4" xfId="0" applyNumberFormat="1" applyBorder="1"/>
    <xf numFmtId="10" fontId="0" fillId="0" borderId="15" xfId="0" applyNumberFormat="1" applyBorder="1"/>
    <xf numFmtId="10" fontId="0" fillId="0" borderId="4" xfId="0" applyNumberFormat="1" applyBorder="1"/>
    <xf numFmtId="164" fontId="0" fillId="0" borderId="16" xfId="0" applyNumberFormat="1" applyBorder="1"/>
    <xf numFmtId="164" fontId="0" fillId="0" borderId="15" xfId="0" applyNumberFormat="1" applyBorder="1"/>
    <xf numFmtId="0" fontId="0" fillId="0" borderId="15" xfId="0" applyBorder="1"/>
    <xf numFmtId="164" fontId="0" fillId="0" borderId="0" xfId="0" applyNumberFormat="1" applyBorder="1" applyAlignment="1">
      <alignment vertical="center"/>
    </xf>
    <xf numFmtId="14" fontId="0" fillId="0" borderId="6" xfId="0" applyNumberFormat="1" applyBorder="1"/>
    <xf numFmtId="14" fontId="0" fillId="0" borderId="2" xfId="0" applyNumberFormat="1" applyBorder="1"/>
    <xf numFmtId="14" fontId="0" fillId="4" borderId="2" xfId="0" applyNumberFormat="1" applyFill="1" applyBorder="1"/>
    <xf numFmtId="164" fontId="0" fillId="4" borderId="13" xfId="0" applyNumberFormat="1" applyFill="1" applyBorder="1"/>
    <xf numFmtId="10" fontId="0" fillId="4" borderId="0" xfId="0" applyNumberFormat="1" applyFill="1" applyBorder="1"/>
    <xf numFmtId="164" fontId="0" fillId="4" borderId="4" xfId="0" applyNumberFormat="1" applyFill="1" applyBorder="1"/>
    <xf numFmtId="164" fontId="0" fillId="4" borderId="16" xfId="0" applyNumberFormat="1" applyFill="1" applyBorder="1"/>
    <xf numFmtId="164" fontId="0" fillId="4" borderId="15" xfId="0" applyNumberFormat="1" applyFill="1" applyBorder="1"/>
    <xf numFmtId="10" fontId="0" fillId="4" borderId="16" xfId="0" applyNumberFormat="1" applyFill="1" applyBorder="1"/>
    <xf numFmtId="0" fontId="0" fillId="4" borderId="15" xfId="0" applyFill="1" applyBorder="1"/>
    <xf numFmtId="0" fontId="6" fillId="6" borderId="7" xfId="0" applyFont="1" applyFill="1" applyBorder="1" applyAlignment="1">
      <alignment horizontal="center" vertical="center"/>
    </xf>
    <xf numFmtId="0" fontId="6" fillId="6" borderId="8" xfId="0" applyFont="1" applyFill="1" applyBorder="1" applyAlignment="1">
      <alignment horizontal="center" vertical="center"/>
    </xf>
    <xf numFmtId="0" fontId="6" fillId="6" borderId="9" xfId="0" applyFont="1" applyFill="1" applyBorder="1" applyAlignment="1">
      <alignment horizontal="center" vertical="center"/>
    </xf>
    <xf numFmtId="0" fontId="0" fillId="0" borderId="4" xfId="0" applyBorder="1"/>
    <xf numFmtId="0" fontId="0" fillId="0" borderId="0" xfId="0" applyBorder="1" applyAlignment="1">
      <alignment vertical="center"/>
    </xf>
    <xf numFmtId="0" fontId="0" fillId="0" borderId="0" xfId="0" applyAlignment="1">
      <alignment horizontal="center" vertical="center" wrapText="1"/>
    </xf>
    <xf numFmtId="0" fontId="0" fillId="7" borderId="8" xfId="0" applyFill="1" applyBorder="1" applyAlignment="1">
      <alignment horizontal="center" vertical="center" wrapText="1"/>
    </xf>
    <xf numFmtId="0" fontId="0" fillId="7" borderId="10" xfId="0" applyFill="1" applyBorder="1" applyAlignment="1">
      <alignment horizontal="center" vertical="center" wrapText="1"/>
    </xf>
    <xf numFmtId="0" fontId="0" fillId="7" borderId="9" xfId="0" applyFill="1" applyBorder="1" applyAlignment="1">
      <alignment horizontal="center" vertical="center" wrapText="1"/>
    </xf>
    <xf numFmtId="0" fontId="0" fillId="4" borderId="4" xfId="0" applyFill="1" applyBorder="1"/>
    <xf numFmtId="164" fontId="0" fillId="0" borderId="6" xfId="0" applyNumberFormat="1" applyBorder="1"/>
    <xf numFmtId="164" fontId="0" fillId="0" borderId="2" xfId="0" applyNumberFormat="1" applyBorder="1"/>
    <xf numFmtId="164" fontId="0" fillId="0" borderId="5" xfId="0" applyNumberFormat="1" applyBorder="1"/>
    <xf numFmtId="0" fontId="0" fillId="4" borderId="5" xfId="0" applyFill="1" applyBorder="1"/>
    <xf numFmtId="0" fontId="0" fillId="5" borderId="8" xfId="0" applyFill="1" applyBorder="1" applyAlignment="1">
      <alignment horizontal="center" vertical="center" wrapText="1"/>
    </xf>
    <xf numFmtId="0" fontId="0" fillId="5" borderId="9" xfId="0" applyFill="1" applyBorder="1" applyAlignment="1">
      <alignment horizontal="center" vertical="center" wrapText="1"/>
    </xf>
    <xf numFmtId="0" fontId="0" fillId="5" borderId="7" xfId="0" applyFill="1" applyBorder="1" applyAlignment="1">
      <alignment horizontal="center" vertical="center" wrapText="1"/>
    </xf>
    <xf numFmtId="9" fontId="0" fillId="0" borderId="11" xfId="1" applyFont="1" applyBorder="1"/>
    <xf numFmtId="10" fontId="0" fillId="0" borderId="6" xfId="0" applyNumberFormat="1" applyBorder="1"/>
    <xf numFmtId="9" fontId="0" fillId="0" borderId="0" xfId="1" applyFont="1" applyBorder="1"/>
    <xf numFmtId="10" fontId="0" fillId="0" borderId="2" xfId="0" applyNumberFormat="1" applyBorder="1"/>
    <xf numFmtId="9" fontId="0" fillId="4" borderId="0" xfId="1" applyFont="1" applyFill="1" applyBorder="1"/>
    <xf numFmtId="10" fontId="0" fillId="4" borderId="13" xfId="0" applyNumberFormat="1" applyFill="1" applyBorder="1"/>
    <xf numFmtId="10" fontId="0" fillId="4" borderId="2" xfId="0" applyNumberFormat="1" applyFill="1" applyBorder="1"/>
    <xf numFmtId="10" fontId="0" fillId="4" borderId="3" xfId="0" applyNumberFormat="1" applyFill="1" applyBorder="1"/>
    <xf numFmtId="164" fontId="0" fillId="4" borderId="2" xfId="0" applyNumberFormat="1" applyFill="1" applyBorder="1"/>
    <xf numFmtId="10" fontId="0" fillId="4" borderId="15" xfId="0" applyNumberFormat="1" applyFill="1" applyBorder="1"/>
    <xf numFmtId="10" fontId="0" fillId="4" borderId="5" xfId="0" applyNumberFormat="1" applyFill="1" applyBorder="1"/>
    <xf numFmtId="10" fontId="0" fillId="4" borderId="4" xfId="0" applyNumberFormat="1" applyFill="1" applyBorder="1"/>
    <xf numFmtId="164" fontId="0" fillId="4" borderId="5" xfId="0" applyNumberFormat="1" applyFill="1" applyBorder="1"/>
    <xf numFmtId="0" fontId="0" fillId="7" borderId="7" xfId="0" applyFill="1" applyBorder="1" applyAlignment="1">
      <alignment horizontal="center" vertical="center"/>
    </xf>
    <xf numFmtId="0" fontId="6" fillId="6" borderId="10" xfId="0" applyFont="1" applyFill="1" applyBorder="1" applyAlignment="1">
      <alignment horizontal="center" vertical="center"/>
    </xf>
    <xf numFmtId="0" fontId="6" fillId="6" borderId="16" xfId="0" applyFont="1" applyFill="1" applyBorder="1" applyAlignment="1">
      <alignment horizontal="center" vertical="center"/>
    </xf>
    <xf numFmtId="0" fontId="0" fillId="0" borderId="1" xfId="0" applyFont="1" applyBorder="1"/>
    <xf numFmtId="0" fontId="2" fillId="8" borderId="6" xfId="0" applyFont="1" applyFill="1" applyBorder="1" applyAlignment="1">
      <alignment horizontal="center"/>
    </xf>
    <xf numFmtId="0" fontId="6" fillId="6" borderId="8" xfId="0" applyFont="1" applyFill="1" applyBorder="1"/>
    <xf numFmtId="0" fontId="6" fillId="6" borderId="10" xfId="0" applyFont="1" applyFill="1" applyBorder="1"/>
    <xf numFmtId="0" fontId="6" fillId="6" borderId="9" xfId="0" applyFont="1" applyFill="1" applyBorder="1"/>
    <xf numFmtId="14" fontId="0" fillId="0" borderId="1" xfId="0" applyNumberFormat="1" applyFont="1" applyBorder="1"/>
    <xf numFmtId="14" fontId="0" fillId="0" borderId="12" xfId="0" applyNumberFormat="1" applyFont="1" applyBorder="1"/>
    <xf numFmtId="164" fontId="0" fillId="0" borderId="6" xfId="0" applyNumberFormat="1" applyFont="1" applyBorder="1"/>
    <xf numFmtId="164" fontId="0" fillId="0" borderId="0" xfId="0" applyNumberFormat="1" applyFont="1" applyBorder="1"/>
    <xf numFmtId="10" fontId="0" fillId="0" borderId="0" xfId="0" applyNumberFormat="1" applyFont="1" applyBorder="1"/>
    <xf numFmtId="10" fontId="0" fillId="0" borderId="13" xfId="0" applyNumberFormat="1" applyFont="1" applyBorder="1"/>
    <xf numFmtId="14" fontId="0" fillId="4" borderId="3" xfId="0" applyNumberFormat="1" applyFont="1" applyFill="1" applyBorder="1"/>
    <xf numFmtId="14" fontId="0" fillId="4" borderId="13" xfId="0" applyNumberFormat="1" applyFont="1" applyFill="1" applyBorder="1"/>
    <xf numFmtId="164" fontId="0" fillId="4" borderId="2" xfId="0" applyNumberFormat="1" applyFont="1" applyFill="1" applyBorder="1"/>
    <xf numFmtId="164" fontId="0" fillId="4" borderId="0" xfId="0" applyNumberFormat="1" applyFont="1" applyFill="1" applyBorder="1"/>
    <xf numFmtId="10" fontId="0" fillId="4" borderId="0" xfId="0" applyNumberFormat="1" applyFont="1" applyFill="1" applyBorder="1"/>
    <xf numFmtId="10" fontId="0" fillId="4" borderId="13" xfId="0" applyNumberFormat="1" applyFont="1" applyFill="1" applyBorder="1"/>
    <xf numFmtId="14" fontId="0" fillId="4" borderId="4" xfId="0" applyNumberFormat="1" applyFont="1" applyFill="1" applyBorder="1"/>
    <xf numFmtId="14" fontId="0" fillId="4" borderId="15" xfId="0" applyNumberFormat="1" applyFont="1" applyFill="1" applyBorder="1"/>
    <xf numFmtId="164" fontId="0" fillId="4" borderId="5" xfId="0" applyNumberFormat="1" applyFont="1" applyFill="1" applyBorder="1"/>
    <xf numFmtId="164" fontId="0" fillId="4" borderId="16" xfId="0" applyNumberFormat="1" applyFont="1" applyFill="1" applyBorder="1"/>
    <xf numFmtId="10" fontId="0" fillId="4" borderId="16" xfId="0" applyNumberFormat="1" applyFont="1" applyFill="1" applyBorder="1"/>
    <xf numFmtId="10" fontId="0" fillId="4" borderId="15" xfId="0" applyNumberFormat="1" applyFont="1" applyFill="1" applyBorder="1"/>
    <xf numFmtId="0" fontId="6" fillId="6" borderId="7" xfId="0" applyFont="1" applyFill="1" applyBorder="1"/>
    <xf numFmtId="164" fontId="0" fillId="0" borderId="1" xfId="0" applyNumberFormat="1" applyFont="1" applyBorder="1"/>
    <xf numFmtId="10" fontId="0" fillId="0" borderId="11" xfId="0" applyNumberFormat="1" applyFont="1" applyBorder="1"/>
    <xf numFmtId="164" fontId="0" fillId="0" borderId="11" xfId="0" applyNumberFormat="1" applyFont="1" applyBorder="1"/>
    <xf numFmtId="14" fontId="0" fillId="0" borderId="3" xfId="0" applyNumberFormat="1" applyFont="1" applyBorder="1"/>
    <xf numFmtId="14" fontId="0" fillId="0" borderId="13" xfId="0" applyNumberFormat="1" applyFont="1" applyBorder="1"/>
    <xf numFmtId="164" fontId="0" fillId="0" borderId="2" xfId="0" applyNumberFormat="1" applyFont="1" applyBorder="1"/>
    <xf numFmtId="164" fontId="0" fillId="0" borderId="3" xfId="0" applyNumberFormat="1" applyFont="1" applyBorder="1"/>
    <xf numFmtId="14" fontId="0" fillId="0" borderId="4" xfId="0" applyNumberFormat="1" applyFont="1" applyBorder="1"/>
    <xf numFmtId="14" fontId="0" fillId="0" borderId="15" xfId="0" applyNumberFormat="1" applyFont="1" applyBorder="1"/>
    <xf numFmtId="164" fontId="0" fillId="0" borderId="5" xfId="0" applyNumberFormat="1" applyFont="1" applyBorder="1"/>
    <xf numFmtId="164" fontId="0" fillId="0" borderId="4" xfId="0" applyNumberFormat="1" applyFont="1" applyBorder="1"/>
    <xf numFmtId="10" fontId="0" fillId="0" borderId="16" xfId="0" applyNumberFormat="1" applyFont="1" applyBorder="1"/>
    <xf numFmtId="164" fontId="0" fillId="0" borderId="16" xfId="0" applyNumberFormat="1" applyFont="1" applyBorder="1"/>
    <xf numFmtId="10" fontId="0" fillId="0" borderId="15" xfId="0" applyNumberFormat="1" applyFont="1" applyBorder="1"/>
    <xf numFmtId="14" fontId="0" fillId="4" borderId="1" xfId="0" applyNumberFormat="1" applyFont="1" applyFill="1" applyBorder="1"/>
    <xf numFmtId="14" fontId="0" fillId="4" borderId="12" xfId="0" applyNumberFormat="1" applyFont="1" applyFill="1" applyBorder="1"/>
    <xf numFmtId="164" fontId="0" fillId="4" borderId="6" xfId="0" applyNumberFormat="1" applyFont="1" applyFill="1" applyBorder="1"/>
    <xf numFmtId="164" fontId="0" fillId="4" borderId="1" xfId="0" applyNumberFormat="1" applyFont="1" applyFill="1" applyBorder="1"/>
    <xf numFmtId="10" fontId="0" fillId="4" borderId="11" xfId="0" applyNumberFormat="1" applyFont="1" applyFill="1" applyBorder="1"/>
    <xf numFmtId="164" fontId="0" fillId="4" borderId="11" xfId="0" applyNumberFormat="1" applyFont="1" applyFill="1" applyBorder="1"/>
    <xf numFmtId="164" fontId="0" fillId="4" borderId="3" xfId="0" applyNumberFormat="1" applyFont="1" applyFill="1" applyBorder="1"/>
    <xf numFmtId="164" fontId="0" fillId="4" borderId="4" xfId="0" applyNumberFormat="1" applyFont="1" applyFill="1" applyBorder="1"/>
    <xf numFmtId="14" fontId="0" fillId="0" borderId="1" xfId="0" applyNumberFormat="1" applyBorder="1"/>
    <xf numFmtId="14" fontId="0" fillId="0" borderId="12" xfId="0" applyNumberFormat="1" applyBorder="1"/>
    <xf numFmtId="14" fontId="0" fillId="0" borderId="3" xfId="0" applyNumberFormat="1" applyBorder="1"/>
    <xf numFmtId="14" fontId="0" fillId="0" borderId="13" xfId="0" applyNumberFormat="1" applyBorder="1"/>
    <xf numFmtId="14" fontId="0" fillId="4" borderId="3" xfId="0" applyNumberFormat="1" applyFill="1" applyBorder="1"/>
    <xf numFmtId="14" fontId="0" fillId="4" borderId="13" xfId="0" applyNumberFormat="1" applyFill="1" applyBorder="1"/>
    <xf numFmtId="14" fontId="0" fillId="4" borderId="4" xfId="0" applyNumberFormat="1" applyFill="1" applyBorder="1"/>
    <xf numFmtId="14" fontId="0" fillId="4" borderId="15" xfId="0" applyNumberFormat="1" applyFill="1" applyBorder="1"/>
    <xf numFmtId="14" fontId="0" fillId="4" borderId="1" xfId="0" applyNumberFormat="1" applyFill="1" applyBorder="1"/>
    <xf numFmtId="14" fontId="0" fillId="4" borderId="12" xfId="0" applyNumberFormat="1" applyFill="1" applyBorder="1"/>
    <xf numFmtId="164" fontId="0" fillId="4" borderId="11" xfId="0" applyNumberFormat="1" applyFill="1" applyBorder="1"/>
    <xf numFmtId="164" fontId="0" fillId="4" borderId="12" xfId="0" applyNumberFormat="1" applyFill="1" applyBorder="1"/>
    <xf numFmtId="0" fontId="2" fillId="8" borderId="7" xfId="0" applyFont="1" applyFill="1" applyBorder="1" applyAlignment="1">
      <alignment horizontal="center"/>
    </xf>
    <xf numFmtId="14" fontId="0" fillId="0" borderId="0" xfId="0" applyNumberFormat="1" applyFont="1" applyBorder="1"/>
    <xf numFmtId="14" fontId="0" fillId="4" borderId="0" xfId="0" applyNumberFormat="1" applyFont="1" applyFill="1" applyBorder="1"/>
    <xf numFmtId="164" fontId="0" fillId="0" borderId="12" xfId="0" applyNumberFormat="1" applyFont="1" applyBorder="1"/>
    <xf numFmtId="164" fontId="0" fillId="0" borderId="15" xfId="0" applyNumberFormat="1" applyFont="1" applyBorder="1"/>
    <xf numFmtId="164" fontId="0" fillId="4" borderId="15" xfId="0" applyNumberFormat="1" applyFont="1" applyFill="1" applyBorder="1"/>
    <xf numFmtId="164" fontId="0" fillId="4" borderId="12" xfId="0" applyNumberFormat="1" applyFont="1" applyFill="1" applyBorder="1"/>
    <xf numFmtId="14" fontId="0" fillId="0" borderId="4" xfId="0" applyNumberFormat="1" applyBorder="1"/>
    <xf numFmtId="14" fontId="0" fillId="0" borderId="15" xfId="0" applyNumberFormat="1" applyBorder="1"/>
    <xf numFmtId="164" fontId="0" fillId="7" borderId="8" xfId="0" applyNumberFormat="1" applyFill="1" applyBorder="1" applyAlignment="1">
      <alignment horizontal="center" vertical="center" wrapText="1"/>
    </xf>
    <xf numFmtId="164" fontId="0" fillId="7" borderId="9" xfId="0" applyNumberFormat="1" applyFill="1" applyBorder="1" applyAlignment="1">
      <alignment horizontal="center" vertical="center" wrapText="1"/>
    </xf>
    <xf numFmtId="164" fontId="6" fillId="6" borderId="7" xfId="0" applyNumberFormat="1" applyFont="1" applyFill="1" applyBorder="1" applyAlignment="1">
      <alignment horizontal="center" vertical="center"/>
    </xf>
    <xf numFmtId="164" fontId="6" fillId="6" borderId="10" xfId="0" applyNumberFormat="1" applyFont="1" applyFill="1" applyBorder="1" applyAlignment="1">
      <alignment horizontal="center" vertical="center"/>
    </xf>
    <xf numFmtId="10" fontId="6" fillId="6" borderId="9" xfId="0" applyNumberFormat="1" applyFont="1" applyFill="1" applyBorder="1" applyAlignment="1">
      <alignment horizontal="center" vertical="center"/>
    </xf>
    <xf numFmtId="10" fontId="0" fillId="0" borderId="5" xfId="0" applyNumberFormat="1" applyBorder="1"/>
    <xf numFmtId="164" fontId="0" fillId="4" borderId="1" xfId="0" applyNumberFormat="1" applyFill="1" applyBorder="1"/>
    <xf numFmtId="164" fontId="0" fillId="4" borderId="6" xfId="0" applyNumberFormat="1" applyFill="1" applyBorder="1"/>
    <xf numFmtId="10" fontId="0" fillId="4" borderId="12" xfId="0" applyNumberFormat="1" applyFill="1" applyBorder="1"/>
    <xf numFmtId="10" fontId="0" fillId="4" borderId="6" xfId="0" applyNumberFormat="1" applyFill="1" applyBorder="1"/>
    <xf numFmtId="0" fontId="0" fillId="4" borderId="6" xfId="0" applyFill="1" applyBorder="1"/>
    <xf numFmtId="14" fontId="0" fillId="0" borderId="0" xfId="0" applyNumberFormat="1" applyBorder="1"/>
    <xf numFmtId="0" fontId="0" fillId="7" borderId="4" xfId="0" applyFill="1" applyBorder="1" applyAlignment="1">
      <alignment horizontal="center" vertical="center" wrapText="1"/>
    </xf>
    <xf numFmtId="0" fontId="0" fillId="7" borderId="15" xfId="0" applyFill="1" applyBorder="1" applyAlignment="1">
      <alignment horizontal="center" vertical="center" wrapText="1"/>
    </xf>
    <xf numFmtId="0" fontId="0" fillId="4" borderId="1" xfId="0" applyFill="1" applyBorder="1"/>
    <xf numFmtId="0" fontId="0" fillId="4" borderId="12" xfId="0" applyFill="1" applyBorder="1"/>
    <xf numFmtId="10" fontId="0" fillId="4" borderId="1" xfId="0" applyNumberFormat="1" applyFill="1" applyBorder="1"/>
    <xf numFmtId="0" fontId="0" fillId="6" borderId="8" xfId="0" applyFill="1" applyBorder="1" applyAlignment="1">
      <alignment horizontal="center" vertical="center"/>
    </xf>
    <xf numFmtId="0" fontId="0" fillId="6" borderId="10" xfId="0" applyFill="1" applyBorder="1" applyAlignment="1">
      <alignment horizontal="center" vertical="center"/>
    </xf>
    <xf numFmtId="0" fontId="0" fillId="6" borderId="9" xfId="0" applyFill="1" applyBorder="1" applyAlignment="1">
      <alignment horizontal="center" vertical="center"/>
    </xf>
    <xf numFmtId="0" fontId="0" fillId="7" borderId="1" xfId="0" applyFill="1" applyBorder="1" applyAlignment="1">
      <alignment horizontal="center" vertical="center" wrapText="1"/>
    </xf>
    <xf numFmtId="0" fontId="0" fillId="7" borderId="12" xfId="0" applyFill="1" applyBorder="1" applyAlignment="1">
      <alignment horizontal="center" vertical="center" wrapText="1"/>
    </xf>
    <xf numFmtId="0" fontId="6" fillId="6" borderId="11" xfId="0" applyFont="1" applyFill="1" applyBorder="1" applyAlignment="1">
      <alignment horizontal="center" vertical="center"/>
    </xf>
    <xf numFmtId="0" fontId="6" fillId="6" borderId="12" xfId="0" applyFont="1" applyFill="1" applyBorder="1" applyAlignment="1">
      <alignment horizontal="center" vertical="center"/>
    </xf>
    <xf numFmtId="10" fontId="0" fillId="7" borderId="8" xfId="0" applyNumberFormat="1" applyFill="1" applyBorder="1" applyAlignment="1">
      <alignment horizontal="center" vertical="center" wrapText="1"/>
    </xf>
    <xf numFmtId="10" fontId="0" fillId="7" borderId="9" xfId="0" applyNumberFormat="1" applyFill="1" applyBorder="1" applyAlignment="1">
      <alignment horizontal="center" vertical="center" wrapText="1"/>
    </xf>
    <xf numFmtId="10" fontId="6" fillId="6" borderId="8" xfId="0" applyNumberFormat="1" applyFont="1" applyFill="1" applyBorder="1" applyAlignment="1">
      <alignment horizontal="center" vertical="center"/>
    </xf>
    <xf numFmtId="14" fontId="0" fillId="0" borderId="0" xfId="0" applyNumberFormat="1"/>
    <xf numFmtId="0" fontId="0" fillId="7" borderId="0" xfId="0" applyFill="1" applyAlignment="1">
      <alignment horizontal="center" vertical="center" wrapText="1"/>
    </xf>
    <xf numFmtId="0" fontId="6" fillId="6" borderId="1" xfId="0" applyFont="1" applyFill="1" applyBorder="1" applyAlignment="1">
      <alignment horizontal="center" vertical="center"/>
    </xf>
    <xf numFmtId="10" fontId="0" fillId="7" borderId="10" xfId="0" applyNumberFormat="1" applyFill="1" applyBorder="1" applyAlignment="1">
      <alignment horizontal="center" vertical="center" wrapText="1"/>
    </xf>
    <xf numFmtId="164" fontId="0" fillId="7" borderId="10" xfId="0" applyNumberFormat="1" applyFill="1" applyBorder="1" applyAlignment="1">
      <alignment horizontal="center" vertical="center" wrapText="1"/>
    </xf>
    <xf numFmtId="0" fontId="0" fillId="7" borderId="3" xfId="0" applyFill="1" applyBorder="1" applyAlignment="1">
      <alignment horizontal="center" vertical="center" wrapText="1"/>
    </xf>
    <xf numFmtId="0" fontId="0" fillId="7" borderId="13" xfId="0" applyFill="1" applyBorder="1" applyAlignment="1">
      <alignment horizontal="center" vertical="center" wrapText="1"/>
    </xf>
    <xf numFmtId="4" fontId="0" fillId="6" borderId="7" xfId="0" applyNumberFormat="1" applyFill="1" applyBorder="1" applyAlignment="1">
      <alignment horizontal="center" vertical="center"/>
    </xf>
    <xf numFmtId="4" fontId="0" fillId="6" borderId="8" xfId="0" applyNumberFormat="1" applyFill="1" applyBorder="1" applyAlignment="1">
      <alignment horizontal="center" vertical="center"/>
    </xf>
    <xf numFmtId="4" fontId="0" fillId="6" borderId="10" xfId="0" applyNumberFormat="1" applyFill="1" applyBorder="1" applyAlignment="1">
      <alignment horizontal="center" vertical="center"/>
    </xf>
    <xf numFmtId="4" fontId="0" fillId="6" borderId="9" xfId="0" applyNumberFormat="1" applyFill="1" applyBorder="1" applyAlignment="1">
      <alignment horizontal="center" vertical="center"/>
    </xf>
    <xf numFmtId="4" fontId="6" fillId="6" borderId="8" xfId="0" applyNumberFormat="1" applyFont="1" applyFill="1" applyBorder="1" applyAlignment="1">
      <alignment horizontal="center" vertical="center"/>
    </xf>
    <xf numFmtId="4" fontId="6" fillId="6" borderId="9" xfId="0" applyNumberFormat="1" applyFont="1" applyFill="1" applyBorder="1" applyAlignment="1">
      <alignment horizontal="center" vertical="center"/>
    </xf>
    <xf numFmtId="165" fontId="0" fillId="0" borderId="6" xfId="0" applyNumberFormat="1" applyBorder="1"/>
    <xf numFmtId="165" fontId="0" fillId="0" borderId="2" xfId="0" applyNumberFormat="1" applyBorder="1"/>
    <xf numFmtId="165" fontId="0" fillId="4" borderId="2" xfId="0" applyNumberFormat="1" applyFill="1" applyBorder="1"/>
    <xf numFmtId="4" fontId="0" fillId="0" borderId="0" xfId="0" applyNumberFormat="1"/>
    <xf numFmtId="4" fontId="0" fillId="0" borderId="0" xfId="0" applyNumberFormat="1" applyAlignment="1">
      <alignment vertical="center"/>
    </xf>
    <xf numFmtId="164" fontId="0" fillId="6" borderId="7" xfId="0" applyNumberFormat="1" applyFill="1" applyBorder="1" applyAlignment="1">
      <alignment horizontal="center" vertical="center"/>
    </xf>
    <xf numFmtId="164" fontId="0" fillId="6" borderId="8" xfId="0" applyNumberFormat="1" applyFill="1" applyBorder="1" applyAlignment="1">
      <alignment horizontal="center" vertical="center"/>
    </xf>
    <xf numFmtId="164" fontId="0" fillId="6" borderId="10" xfId="0" applyNumberFormat="1" applyFill="1" applyBorder="1" applyAlignment="1">
      <alignment horizontal="center" vertical="center"/>
    </xf>
    <xf numFmtId="164" fontId="0" fillId="6" borderId="9" xfId="0" applyNumberFormat="1" applyFill="1" applyBorder="1" applyAlignment="1">
      <alignment horizontal="center" vertical="center"/>
    </xf>
    <xf numFmtId="164" fontId="5" fillId="0" borderId="3" xfId="3" applyNumberFormat="1" applyFont="1" applyFill="1" applyBorder="1" applyAlignment="1">
      <alignment horizontal="center"/>
    </xf>
    <xf numFmtId="164" fontId="5" fillId="0" borderId="0" xfId="3" applyNumberFormat="1" applyFont="1" applyFill="1" applyBorder="1" applyAlignment="1">
      <alignment horizontal="center"/>
    </xf>
    <xf numFmtId="164" fontId="5" fillId="0" borderId="13" xfId="3" applyNumberFormat="1" applyFont="1" applyFill="1" applyBorder="1" applyAlignment="1">
      <alignment horizontal="center"/>
    </xf>
    <xf numFmtId="164" fontId="5" fillId="0" borderId="6" xfId="3" applyNumberFormat="1" applyFont="1" applyFill="1" applyBorder="1" applyAlignment="1">
      <alignment horizontal="center"/>
    </xf>
    <xf numFmtId="164" fontId="5" fillId="0" borderId="3" xfId="3" applyNumberFormat="1" applyFont="1" applyFill="1" applyBorder="1" applyAlignment="1">
      <alignment horizontal="center" vertical="center"/>
    </xf>
    <xf numFmtId="164" fontId="5" fillId="0" borderId="2" xfId="3" applyNumberFormat="1" applyFont="1" applyFill="1" applyBorder="1" applyAlignment="1">
      <alignment horizontal="center"/>
    </xf>
    <xf numFmtId="164" fontId="5" fillId="3" borderId="3" xfId="3" applyNumberFormat="1" applyFont="1" applyFill="1" applyBorder="1" applyAlignment="1">
      <alignment horizontal="center"/>
    </xf>
    <xf numFmtId="164" fontId="5" fillId="3" borderId="0" xfId="3" applyNumberFormat="1" applyFont="1" applyFill="1" applyBorder="1" applyAlignment="1">
      <alignment horizontal="center"/>
    </xf>
    <xf numFmtId="164" fontId="5" fillId="3" borderId="13" xfId="3" applyNumberFormat="1" applyFont="1" applyFill="1" applyBorder="1" applyAlignment="1">
      <alignment horizontal="center"/>
    </xf>
    <xf numFmtId="164" fontId="5" fillId="3" borderId="2" xfId="3" applyNumberFormat="1" applyFont="1" applyFill="1" applyBorder="1" applyAlignment="1">
      <alignment horizontal="center"/>
    </xf>
    <xf numFmtId="9" fontId="5" fillId="3" borderId="13" xfId="5" applyNumberFormat="1" applyFont="1" applyFill="1" applyBorder="1" applyAlignment="1">
      <alignment horizontal="center"/>
    </xf>
    <xf numFmtId="164" fontId="0" fillId="0" borderId="0" xfId="0" applyNumberFormat="1" applyFill="1" applyBorder="1"/>
    <xf numFmtId="0" fontId="0" fillId="0" borderId="0" xfId="0" applyFill="1" applyAlignment="1">
      <alignment vertical="center"/>
    </xf>
    <xf numFmtId="0" fontId="6" fillId="6" borderId="10" xfId="0" applyFont="1" applyFill="1" applyBorder="1" applyAlignment="1">
      <alignment horizontal="center"/>
    </xf>
    <xf numFmtId="0" fontId="6" fillId="6" borderId="12" xfId="0" applyFont="1" applyFill="1" applyBorder="1" applyAlignment="1">
      <alignment horizontal="center"/>
    </xf>
    <xf numFmtId="9" fontId="0" fillId="0" borderId="15" xfId="0" applyNumberFormat="1" applyBorder="1"/>
    <xf numFmtId="14" fontId="0" fillId="3" borderId="3" xfId="0" applyNumberFormat="1" applyFill="1" applyBorder="1"/>
    <xf numFmtId="14" fontId="0" fillId="3" borderId="13" xfId="0" applyNumberFormat="1" applyFill="1" applyBorder="1"/>
    <xf numFmtId="164" fontId="0" fillId="3" borderId="3" xfId="0" applyNumberFormat="1" applyFill="1" applyBorder="1"/>
    <xf numFmtId="164" fontId="0" fillId="3" borderId="0" xfId="0" applyNumberFormat="1" applyFill="1" applyBorder="1"/>
    <xf numFmtId="164" fontId="0" fillId="3" borderId="13" xfId="0" applyNumberFormat="1" applyFill="1" applyBorder="1"/>
    <xf numFmtId="164" fontId="0" fillId="3" borderId="2" xfId="0" applyNumberFormat="1" applyFill="1" applyBorder="1"/>
    <xf numFmtId="9" fontId="0" fillId="3" borderId="13" xfId="0" applyNumberFormat="1" applyFill="1" applyBorder="1"/>
    <xf numFmtId="14" fontId="0" fillId="3" borderId="1" xfId="0" applyNumberFormat="1" applyFill="1" applyBorder="1"/>
    <xf numFmtId="14" fontId="0" fillId="3" borderId="12" xfId="0" applyNumberFormat="1" applyFill="1" applyBorder="1"/>
    <xf numFmtId="164" fontId="0" fillId="3" borderId="1" xfId="0" applyNumberFormat="1" applyFill="1" applyBorder="1"/>
    <xf numFmtId="164" fontId="0" fillId="3" borderId="11" xfId="0" applyNumberFormat="1" applyFill="1" applyBorder="1"/>
    <xf numFmtId="164" fontId="0" fillId="3" borderId="12" xfId="0" applyNumberFormat="1" applyFill="1" applyBorder="1"/>
    <xf numFmtId="164" fontId="0" fillId="3" borderId="6" xfId="0" applyNumberFormat="1" applyFill="1" applyBorder="1"/>
    <xf numFmtId="9" fontId="0" fillId="3" borderId="12" xfId="0" applyNumberFormat="1" applyFill="1" applyBorder="1"/>
    <xf numFmtId="14" fontId="0" fillId="3" borderId="4" xfId="0" applyNumberFormat="1" applyFill="1" applyBorder="1"/>
    <xf numFmtId="14" fontId="0" fillId="3" borderId="15" xfId="0" applyNumberFormat="1" applyFill="1" applyBorder="1"/>
    <xf numFmtId="164" fontId="0" fillId="3" borderId="4" xfId="0" applyNumberFormat="1" applyFill="1" applyBorder="1"/>
    <xf numFmtId="164" fontId="0" fillId="3" borderId="16" xfId="0" applyNumberFormat="1" applyFill="1" applyBorder="1"/>
    <xf numFmtId="164" fontId="0" fillId="3" borderId="15" xfId="0" applyNumberFormat="1" applyFill="1" applyBorder="1"/>
    <xf numFmtId="164" fontId="0" fillId="3" borderId="5" xfId="0" applyNumberFormat="1" applyFill="1" applyBorder="1"/>
    <xf numFmtId="9" fontId="0" fillId="3" borderId="15" xfId="0" applyNumberFormat="1" applyFill="1" applyBorder="1"/>
    <xf numFmtId="0" fontId="0" fillId="0" borderId="0" xfId="0" applyFont="1" applyFill="1" applyAlignment="1">
      <alignment vertical="center"/>
    </xf>
    <xf numFmtId="2" fontId="0" fillId="0" borderId="3" xfId="0" applyNumberFormat="1" applyBorder="1"/>
    <xf numFmtId="2" fontId="0" fillId="0" borderId="0" xfId="0" applyNumberFormat="1"/>
    <xf numFmtId="2" fontId="6" fillId="6" borderId="8" xfId="0" applyNumberFormat="1" applyFont="1" applyFill="1" applyBorder="1" applyAlignment="1">
      <alignment horizontal="center"/>
    </xf>
    <xf numFmtId="2" fontId="6" fillId="6" borderId="9" xfId="0" applyNumberFormat="1" applyFont="1" applyFill="1" applyBorder="1" applyAlignment="1">
      <alignment horizontal="center"/>
    </xf>
    <xf numFmtId="2" fontId="0" fillId="0" borderId="0" xfId="0" applyNumberFormat="1" applyBorder="1"/>
    <xf numFmtId="166" fontId="0" fillId="11" borderId="13" xfId="0" applyNumberFormat="1" applyFill="1" applyBorder="1"/>
    <xf numFmtId="2" fontId="6" fillId="6" borderId="4" xfId="0" applyNumberFormat="1" applyFont="1" applyFill="1" applyBorder="1" applyAlignment="1">
      <alignment horizontal="center"/>
    </xf>
    <xf numFmtId="2" fontId="6" fillId="6" borderId="15" xfId="0" applyNumberFormat="1" applyFont="1" applyFill="1" applyBorder="1" applyAlignment="1">
      <alignment horizontal="center"/>
    </xf>
    <xf numFmtId="166" fontId="0" fillId="0" borderId="12" xfId="0" applyNumberFormat="1" applyFont="1" applyBorder="1"/>
    <xf numFmtId="166" fontId="0" fillId="0" borderId="13" xfId="0" applyNumberFormat="1" applyFont="1" applyBorder="1"/>
    <xf numFmtId="166" fontId="0" fillId="0" borderId="0" xfId="0" applyNumberFormat="1"/>
    <xf numFmtId="166" fontId="0" fillId="0" borderId="15" xfId="0" applyNumberFormat="1" applyFont="1" applyBorder="1"/>
    <xf numFmtId="0" fontId="0" fillId="7" borderId="10" xfId="0" applyFill="1" applyBorder="1" applyAlignment="1">
      <alignment horizontal="center" vertical="distributed"/>
    </xf>
    <xf numFmtId="0" fontId="0" fillId="7" borderId="11" xfId="0" applyFill="1" applyBorder="1" applyAlignment="1">
      <alignment horizontal="center" vertical="distributed"/>
    </xf>
    <xf numFmtId="0" fontId="0" fillId="6" borderId="10" xfId="0" applyFill="1" applyBorder="1" applyAlignment="1">
      <alignment horizontal="center" vertical="distributed"/>
    </xf>
    <xf numFmtId="0" fontId="6" fillId="6" borderId="16" xfId="0" applyFont="1" applyFill="1" applyBorder="1" applyAlignment="1">
      <alignment horizontal="center"/>
    </xf>
    <xf numFmtId="2" fontId="0" fillId="0" borderId="4" xfId="0" applyNumberFormat="1" applyBorder="1"/>
    <xf numFmtId="2" fontId="0" fillId="0" borderId="1" xfId="0" applyNumberFormat="1" applyBorder="1"/>
    <xf numFmtId="166" fontId="0" fillId="11" borderId="12" xfId="0" applyNumberFormat="1" applyFill="1" applyBorder="1"/>
    <xf numFmtId="166" fontId="0" fillId="11" borderId="15" xfId="0" applyNumberFormat="1" applyFill="1" applyBorder="1"/>
    <xf numFmtId="0" fontId="0" fillId="0" borderId="0" xfId="0" applyAlignment="1">
      <alignment horizontal="center" vertical="center"/>
    </xf>
    <xf numFmtId="0" fontId="0" fillId="7" borderId="8" xfId="0" applyFill="1" applyBorder="1" applyAlignment="1">
      <alignment horizontal="center" vertical="center"/>
    </xf>
    <xf numFmtId="0" fontId="0" fillId="7" borderId="9" xfId="0" applyFill="1" applyBorder="1" applyAlignment="1">
      <alignment horizontal="center" vertical="center"/>
    </xf>
    <xf numFmtId="0" fontId="0" fillId="7" borderId="0" xfId="0" applyFill="1" applyAlignment="1">
      <alignment horizontal="center" vertical="center"/>
    </xf>
    <xf numFmtId="0" fontId="0" fillId="7" borderId="10" xfId="0" applyFill="1" applyBorder="1" applyAlignment="1">
      <alignment horizontal="center" vertical="center"/>
    </xf>
    <xf numFmtId="0" fontId="0" fillId="9" borderId="10" xfId="0" applyFill="1" applyBorder="1" applyAlignment="1">
      <alignment horizontal="center" vertical="center" wrapText="1"/>
    </xf>
    <xf numFmtId="0" fontId="0" fillId="9" borderId="9" xfId="0" applyFill="1" applyBorder="1" applyAlignment="1">
      <alignment horizontal="center" vertical="center" wrapText="1"/>
    </xf>
    <xf numFmtId="0" fontId="0" fillId="9" borderId="8" xfId="0" applyFill="1" applyBorder="1" applyAlignment="1">
      <alignment horizontal="center" vertical="center" wrapText="1"/>
    </xf>
    <xf numFmtId="0" fontId="0" fillId="7" borderId="16" xfId="0" applyFill="1" applyBorder="1" applyAlignment="1">
      <alignment horizontal="center" vertical="center" wrapText="1"/>
    </xf>
    <xf numFmtId="0" fontId="6" fillId="6" borderId="8" xfId="0" applyFont="1" applyFill="1" applyBorder="1" applyAlignment="1">
      <alignment horizontal="right"/>
    </xf>
    <xf numFmtId="0" fontId="6" fillId="6" borderId="9" xfId="0" applyFont="1" applyFill="1" applyBorder="1" applyAlignment="1">
      <alignment horizontal="right"/>
    </xf>
    <xf numFmtId="0" fontId="6" fillId="6" borderId="7" xfId="0" applyFont="1" applyFill="1" applyBorder="1" applyAlignment="1">
      <alignment horizontal="right"/>
    </xf>
    <xf numFmtId="0" fontId="6" fillId="6" borderId="1" xfId="0" applyFont="1" applyFill="1" applyBorder="1" applyAlignment="1">
      <alignment horizontal="right" vertical="center"/>
    </xf>
    <xf numFmtId="0" fontId="6" fillId="6" borderId="10" xfId="0" applyFont="1" applyFill="1" applyBorder="1" applyAlignment="1">
      <alignment horizontal="right"/>
    </xf>
    <xf numFmtId="0" fontId="6" fillId="6" borderId="8" xfId="0" applyFont="1" applyFill="1" applyBorder="1" applyAlignment="1">
      <alignment horizontal="right" vertical="center"/>
    </xf>
    <xf numFmtId="0" fontId="6" fillId="6" borderId="9" xfId="0" applyFont="1" applyFill="1" applyBorder="1" applyAlignment="1">
      <alignment horizontal="right" vertical="center"/>
    </xf>
    <xf numFmtId="0" fontId="6" fillId="6" borderId="7" xfId="0" applyFont="1" applyFill="1" applyBorder="1" applyAlignment="1">
      <alignment horizontal="right" vertical="center"/>
    </xf>
    <xf numFmtId="0" fontId="6" fillId="6" borderId="10" xfId="0" applyFont="1" applyFill="1" applyBorder="1" applyAlignment="1">
      <alignment horizontal="right" vertical="center"/>
    </xf>
    <xf numFmtId="164" fontId="6" fillId="6" borderId="7" xfId="0" applyNumberFormat="1" applyFont="1" applyFill="1" applyBorder="1" applyAlignment="1">
      <alignment horizontal="right" vertical="center"/>
    </xf>
    <xf numFmtId="164" fontId="6" fillId="6" borderId="8" xfId="0" applyNumberFormat="1" applyFont="1" applyFill="1" applyBorder="1" applyAlignment="1">
      <alignment horizontal="right" vertical="center"/>
    </xf>
    <xf numFmtId="164" fontId="6" fillId="6" borderId="9" xfId="0" applyNumberFormat="1" applyFont="1" applyFill="1" applyBorder="1" applyAlignment="1">
      <alignment horizontal="right" vertical="center"/>
    </xf>
    <xf numFmtId="10" fontId="6" fillId="6" borderId="8" xfId="0" applyNumberFormat="1" applyFont="1" applyFill="1" applyBorder="1" applyAlignment="1">
      <alignment horizontal="right" vertical="center"/>
    </xf>
    <xf numFmtId="10" fontId="6" fillId="6" borderId="9" xfId="0" applyNumberFormat="1" applyFont="1" applyFill="1" applyBorder="1" applyAlignment="1">
      <alignment horizontal="right" vertical="center"/>
    </xf>
    <xf numFmtId="164" fontId="6" fillId="6" borderId="10" xfId="0" applyNumberFormat="1" applyFont="1" applyFill="1" applyBorder="1" applyAlignment="1">
      <alignment horizontal="right" vertical="center"/>
    </xf>
    <xf numFmtId="0" fontId="6" fillId="6" borderId="4" xfId="0" applyFont="1" applyFill="1" applyBorder="1" applyAlignment="1">
      <alignment horizontal="right" vertical="center"/>
    </xf>
    <xf numFmtId="0" fontId="6" fillId="6" borderId="15" xfId="0" applyFont="1" applyFill="1" applyBorder="1" applyAlignment="1">
      <alignment horizontal="right" vertical="center"/>
    </xf>
    <xf numFmtId="10" fontId="6" fillId="6" borderId="7" xfId="0" applyNumberFormat="1" applyFont="1" applyFill="1" applyBorder="1" applyAlignment="1">
      <alignment horizontal="right" vertical="center"/>
    </xf>
    <xf numFmtId="164" fontId="6" fillId="6" borderId="8" xfId="0" applyNumberFormat="1" applyFont="1" applyFill="1" applyBorder="1" applyAlignment="1">
      <alignment horizontal="right" vertical="center" wrapText="1"/>
    </xf>
    <xf numFmtId="164" fontId="6" fillId="6" borderId="9" xfId="0" applyNumberFormat="1" applyFont="1" applyFill="1" applyBorder="1" applyAlignment="1">
      <alignment horizontal="right" vertical="center" wrapText="1"/>
    </xf>
    <xf numFmtId="164" fontId="6" fillId="6" borderId="10" xfId="0" applyNumberFormat="1" applyFont="1" applyFill="1" applyBorder="1" applyAlignment="1">
      <alignment horizontal="right" vertical="center" wrapText="1"/>
    </xf>
    <xf numFmtId="164" fontId="6" fillId="6" borderId="7" xfId="0" applyNumberFormat="1" applyFont="1" applyFill="1" applyBorder="1" applyAlignment="1">
      <alignment horizontal="right" vertical="center" wrapText="1"/>
    </xf>
    <xf numFmtId="164" fontId="6" fillId="6" borderId="11" xfId="0" applyNumberFormat="1" applyFont="1" applyFill="1" applyBorder="1" applyAlignment="1">
      <alignment horizontal="right" vertical="center" wrapText="1"/>
    </xf>
    <xf numFmtId="10" fontId="6" fillId="6" borderId="12" xfId="0" applyNumberFormat="1" applyFont="1" applyFill="1" applyBorder="1" applyAlignment="1">
      <alignment horizontal="right" vertical="center" wrapText="1"/>
    </xf>
    <xf numFmtId="10" fontId="6" fillId="6" borderId="9" xfId="0" applyNumberFormat="1" applyFont="1" applyFill="1" applyBorder="1" applyAlignment="1">
      <alignment horizontal="right" vertical="center" wrapText="1"/>
    </xf>
    <xf numFmtId="10" fontId="0" fillId="3" borderId="13" xfId="0" applyNumberFormat="1" applyFill="1" applyBorder="1"/>
    <xf numFmtId="10" fontId="0" fillId="3" borderId="15" xfId="0" applyNumberFormat="1" applyFill="1" applyBorder="1"/>
    <xf numFmtId="10" fontId="0" fillId="3" borderId="12" xfId="0" applyNumberFormat="1" applyFill="1" applyBorder="1"/>
    <xf numFmtId="0" fontId="0" fillId="6" borderId="7" xfId="0" applyFont="1" applyFill="1" applyBorder="1" applyAlignment="1">
      <alignment horizontal="right" vertical="center"/>
    </xf>
    <xf numFmtId="0" fontId="6" fillId="6" borderId="8" xfId="0" applyFont="1" applyFill="1" applyBorder="1" applyAlignment="1">
      <alignment horizontal="right" vertical="center" wrapText="1"/>
    </xf>
    <xf numFmtId="0" fontId="6" fillId="6" borderId="9" xfId="0" applyFont="1" applyFill="1" applyBorder="1" applyAlignment="1">
      <alignment horizontal="right" vertical="center" wrapText="1"/>
    </xf>
    <xf numFmtId="0" fontId="6" fillId="6" borderId="10" xfId="0" applyFont="1" applyFill="1" applyBorder="1" applyAlignment="1">
      <alignment horizontal="right" vertical="center" wrapText="1"/>
    </xf>
    <xf numFmtId="0" fontId="6" fillId="6" borderId="7" xfId="0" applyFont="1" applyFill="1" applyBorder="1" applyAlignment="1">
      <alignment horizontal="right" vertical="center" wrapText="1"/>
    </xf>
    <xf numFmtId="0" fontId="6" fillId="6" borderId="15" xfId="0" applyFont="1" applyFill="1" applyBorder="1" applyAlignment="1">
      <alignment horizontal="right" vertical="center" wrapText="1"/>
    </xf>
    <xf numFmtId="0" fontId="6" fillId="6" borderId="16" xfId="0" applyFont="1" applyFill="1" applyBorder="1" applyAlignment="1">
      <alignment horizontal="right" vertical="center" wrapText="1"/>
    </xf>
    <xf numFmtId="0" fontId="6" fillId="6" borderId="6" xfId="0" applyFont="1" applyFill="1" applyBorder="1" applyAlignment="1">
      <alignment horizontal="right" vertical="center"/>
    </xf>
    <xf numFmtId="0" fontId="6" fillId="6" borderId="11" xfId="0" applyFont="1" applyFill="1" applyBorder="1" applyAlignment="1">
      <alignment horizontal="right" vertical="center"/>
    </xf>
    <xf numFmtId="0" fontId="6" fillId="6" borderId="12" xfId="0" applyFont="1" applyFill="1" applyBorder="1" applyAlignment="1">
      <alignment horizontal="right" vertical="center"/>
    </xf>
    <xf numFmtId="0" fontId="6" fillId="6" borderId="4" xfId="0" applyFont="1" applyFill="1" applyBorder="1"/>
    <xf numFmtId="0" fontId="6" fillId="6" borderId="15" xfId="0" applyFont="1" applyFill="1" applyBorder="1"/>
    <xf numFmtId="0" fontId="0" fillId="0" borderId="1" xfId="0" applyNumberFormat="1" applyBorder="1"/>
    <xf numFmtId="0" fontId="0" fillId="0" borderId="3" xfId="0" applyNumberFormat="1" applyBorder="1"/>
    <xf numFmtId="0" fontId="0" fillId="0" borderId="0" xfId="0" applyNumberFormat="1"/>
    <xf numFmtId="14" fontId="0" fillId="0" borderId="1" xfId="0" applyNumberFormat="1" applyBorder="1" applyAlignment="1">
      <alignment horizontal="center"/>
    </xf>
    <xf numFmtId="14" fontId="0" fillId="0" borderId="3" xfId="0" applyNumberFormat="1" applyBorder="1" applyAlignment="1">
      <alignment horizontal="center"/>
    </xf>
    <xf numFmtId="14" fontId="0" fillId="0" borderId="4" xfId="0" applyNumberFormat="1" applyBorder="1" applyAlignment="1">
      <alignment horizontal="center"/>
    </xf>
    <xf numFmtId="14" fontId="0" fillId="0" borderId="6" xfId="0" applyNumberFormat="1" applyBorder="1" applyAlignment="1">
      <alignment horizontal="center"/>
    </xf>
    <xf numFmtId="14" fontId="0" fillId="0" borderId="2" xfId="0" applyNumberFormat="1" applyBorder="1" applyAlignment="1">
      <alignment horizontal="center"/>
    </xf>
    <xf numFmtId="14" fontId="0" fillId="0" borderId="5" xfId="0" applyNumberFormat="1" applyBorder="1" applyAlignment="1">
      <alignment horizontal="center"/>
    </xf>
    <xf numFmtId="14" fontId="0" fillId="8" borderId="4" xfId="0" applyNumberFormat="1" applyFill="1" applyBorder="1" applyAlignment="1">
      <alignment horizontal="center"/>
    </xf>
    <xf numFmtId="14" fontId="0" fillId="8" borderId="1" xfId="0" applyNumberFormat="1" applyFill="1" applyBorder="1" applyAlignment="1">
      <alignment horizontal="center"/>
    </xf>
    <xf numFmtId="14" fontId="0" fillId="8" borderId="3" xfId="0" applyNumberFormat="1" applyFill="1" applyBorder="1" applyAlignment="1">
      <alignment horizontal="center"/>
    </xf>
    <xf numFmtId="14" fontId="0" fillId="0" borderId="3" xfId="0" applyNumberFormat="1" applyFill="1" applyBorder="1" applyAlignment="1">
      <alignment horizontal="center" vertical="center"/>
    </xf>
    <xf numFmtId="14" fontId="0" fillId="11" borderId="6" xfId="0" applyNumberFormat="1" applyFill="1" applyBorder="1" applyAlignment="1">
      <alignment horizontal="center"/>
    </xf>
    <xf numFmtId="14" fontId="0" fillId="11" borderId="2" xfId="0" applyNumberFormat="1" applyFill="1" applyBorder="1" applyAlignment="1">
      <alignment horizontal="center"/>
    </xf>
    <xf numFmtId="14" fontId="0" fillId="11" borderId="5" xfId="0" applyNumberFormat="1" applyFill="1" applyBorder="1" applyAlignment="1">
      <alignment horizontal="center"/>
    </xf>
    <xf numFmtId="0" fontId="0" fillId="7" borderId="3" xfId="0" applyFill="1" applyBorder="1" applyAlignment="1">
      <alignment horizontal="center" vertical="distributed"/>
    </xf>
    <xf numFmtId="166" fontId="0" fillId="0" borderId="0" xfId="0" applyNumberFormat="1" applyBorder="1"/>
    <xf numFmtId="166" fontId="0" fillId="0" borderId="16" xfId="0" applyNumberFormat="1" applyBorder="1"/>
    <xf numFmtId="0" fontId="6" fillId="6" borderId="1" xfId="0" applyFont="1" applyFill="1" applyBorder="1" applyAlignment="1">
      <alignment horizontal="center"/>
    </xf>
    <xf numFmtId="10" fontId="0" fillId="0" borderId="16" xfId="0" applyNumberFormat="1" applyBorder="1"/>
    <xf numFmtId="10" fontId="0" fillId="4" borderId="11" xfId="0" applyNumberFormat="1" applyFill="1" applyBorder="1"/>
    <xf numFmtId="14" fontId="0" fillId="0" borderId="4" xfId="0" applyNumberFormat="1" applyFill="1" applyBorder="1" applyAlignment="1">
      <alignment horizontal="center"/>
    </xf>
    <xf numFmtId="166" fontId="0" fillId="0" borderId="15" xfId="0" applyNumberFormat="1" applyFill="1" applyBorder="1"/>
    <xf numFmtId="2" fontId="0" fillId="0" borderId="3" xfId="0" applyNumberFormat="1" applyFill="1" applyBorder="1"/>
    <xf numFmtId="166" fontId="0" fillId="0" borderId="13" xfId="0" applyNumberFormat="1" applyFill="1" applyBorder="1"/>
    <xf numFmtId="14" fontId="0" fillId="0" borderId="1" xfId="0" applyNumberFormat="1" applyFill="1" applyBorder="1" applyAlignment="1">
      <alignment horizontal="center"/>
    </xf>
    <xf numFmtId="166" fontId="0" fillId="0" borderId="12" xfId="0" applyNumberFormat="1" applyFill="1" applyBorder="1"/>
    <xf numFmtId="14" fontId="0" fillId="0" borderId="3" xfId="0" applyNumberFormat="1" applyFill="1" applyBorder="1" applyAlignment="1">
      <alignment horizontal="center"/>
    </xf>
    <xf numFmtId="2" fontId="0" fillId="0" borderId="3" xfId="0" applyNumberFormat="1" applyFill="1" applyBorder="1" applyAlignment="1">
      <alignment horizontal="right" vertical="center"/>
    </xf>
    <xf numFmtId="166" fontId="0" fillId="0" borderId="13" xfId="0" applyNumberFormat="1" applyBorder="1" applyAlignment="1">
      <alignment horizontal="right"/>
    </xf>
    <xf numFmtId="2" fontId="0" fillId="0" borderId="2" xfId="0" applyNumberFormat="1" applyBorder="1" applyAlignment="1">
      <alignment horizontal="right"/>
    </xf>
    <xf numFmtId="0" fontId="0" fillId="7" borderId="4" xfId="0" applyFill="1" applyBorder="1" applyAlignment="1">
      <alignment horizontal="center" vertical="center" wrapText="1"/>
    </xf>
    <xf numFmtId="0" fontId="0" fillId="10" borderId="8" xfId="0" applyFill="1" applyBorder="1" applyAlignment="1">
      <alignment vertical="center" wrapText="1"/>
    </xf>
    <xf numFmtId="0" fontId="0" fillId="10" borderId="10" xfId="0" applyFill="1" applyBorder="1" applyAlignment="1">
      <alignment vertical="center" wrapText="1"/>
    </xf>
    <xf numFmtId="164" fontId="0" fillId="0" borderId="2" xfId="0" applyNumberFormat="1" applyFill="1" applyBorder="1"/>
    <xf numFmtId="164" fontId="0" fillId="0" borderId="13" xfId="0" applyNumberFormat="1" applyFill="1" applyBorder="1"/>
    <xf numFmtId="164" fontId="0" fillId="0" borderId="3" xfId="0" applyNumberFormat="1" applyFill="1" applyBorder="1"/>
    <xf numFmtId="10" fontId="0" fillId="0" borderId="2" xfId="0" applyNumberFormat="1" applyFill="1" applyBorder="1"/>
    <xf numFmtId="10" fontId="0" fillId="0" borderId="13" xfId="0" applyNumberFormat="1" applyFill="1" applyBorder="1"/>
    <xf numFmtId="0" fontId="0" fillId="7" borderId="3" xfId="0" applyFill="1" applyBorder="1" applyAlignment="1">
      <alignment horizontal="center" vertical="center" wrapText="1"/>
    </xf>
    <xf numFmtId="0" fontId="0" fillId="7" borderId="13" xfId="0" applyFill="1" applyBorder="1" applyAlignment="1">
      <alignment horizontal="center" vertical="center" wrapText="1"/>
    </xf>
    <xf numFmtId="0" fontId="0" fillId="7" borderId="12" xfId="0" applyFill="1" applyBorder="1" applyAlignment="1">
      <alignment horizontal="center" vertical="center" wrapText="1"/>
    </xf>
    <xf numFmtId="0" fontId="0" fillId="7" borderId="1" xfId="0" applyFill="1" applyBorder="1" applyAlignment="1">
      <alignment horizontal="center" vertical="center" wrapText="1"/>
    </xf>
    <xf numFmtId="168" fontId="0" fillId="0" borderId="0" xfId="0" applyNumberFormat="1" applyBorder="1"/>
    <xf numFmtId="168" fontId="0" fillId="4" borderId="0" xfId="0" applyNumberFormat="1" applyFill="1" applyBorder="1"/>
    <xf numFmtId="169" fontId="0" fillId="0" borderId="13" xfId="1" applyNumberFormat="1" applyFont="1" applyBorder="1"/>
    <xf numFmtId="169" fontId="0" fillId="4" borderId="13" xfId="1" applyNumberFormat="1" applyFont="1" applyFill="1" applyBorder="1"/>
    <xf numFmtId="5" fontId="0" fillId="0" borderId="11" xfId="0" applyNumberFormat="1" applyBorder="1"/>
    <xf numFmtId="5" fontId="0" fillId="0" borderId="0" xfId="0" applyNumberFormat="1" applyBorder="1"/>
    <xf numFmtId="5" fontId="0" fillId="4" borderId="0" xfId="0" applyNumberFormat="1" applyFill="1" applyBorder="1"/>
    <xf numFmtId="5" fontId="0" fillId="0" borderId="1" xfId="0" applyNumberFormat="1" applyBorder="1"/>
    <xf numFmtId="5" fontId="0" fillId="0" borderId="3" xfId="0" applyNumberFormat="1" applyBorder="1"/>
    <xf numFmtId="5" fontId="0" fillId="4" borderId="3" xfId="0" applyNumberFormat="1" applyFill="1" applyBorder="1"/>
    <xf numFmtId="170" fontId="0" fillId="0" borderId="1" xfId="0" applyNumberFormat="1" applyBorder="1"/>
    <xf numFmtId="170" fontId="0" fillId="0" borderId="3" xfId="0" applyNumberFormat="1" applyBorder="1"/>
    <xf numFmtId="14" fontId="0" fillId="0" borderId="2" xfId="0" applyNumberFormat="1" applyFill="1" applyBorder="1"/>
    <xf numFmtId="169" fontId="0" fillId="0" borderId="13" xfId="1" applyNumberFormat="1" applyFont="1" applyFill="1" applyBorder="1"/>
    <xf numFmtId="0" fontId="0" fillId="0" borderId="3" xfId="0" applyFill="1" applyBorder="1"/>
    <xf numFmtId="0" fontId="0" fillId="0" borderId="13" xfId="0" applyFill="1" applyBorder="1"/>
    <xf numFmtId="5" fontId="0" fillId="0" borderId="0" xfId="0" applyNumberFormat="1" applyFill="1" applyBorder="1"/>
    <xf numFmtId="5" fontId="0" fillId="0" borderId="3" xfId="0" applyNumberFormat="1" applyFill="1" applyBorder="1"/>
    <xf numFmtId="168" fontId="0" fillId="0" borderId="0" xfId="0" applyNumberFormat="1" applyFill="1" applyBorder="1"/>
    <xf numFmtId="170" fontId="0" fillId="0" borderId="3" xfId="0" applyNumberFormat="1" applyFill="1" applyBorder="1"/>
    <xf numFmtId="9" fontId="0" fillId="0" borderId="0" xfId="1" applyFont="1" applyFill="1" applyBorder="1"/>
    <xf numFmtId="10" fontId="0" fillId="0" borderId="3" xfId="0" applyNumberFormat="1" applyFill="1" applyBorder="1"/>
    <xf numFmtId="10" fontId="0" fillId="0" borderId="0" xfId="0" applyNumberFormat="1" applyFill="1" applyBorder="1"/>
    <xf numFmtId="14" fontId="0" fillId="0" borderId="2" xfId="0" applyNumberFormat="1" applyFill="1" applyBorder="1" applyAlignment="1">
      <alignment horizontal="center" vertical="center"/>
    </xf>
    <xf numFmtId="0" fontId="0" fillId="0" borderId="2" xfId="0" applyFill="1" applyBorder="1"/>
    <xf numFmtId="0" fontId="5" fillId="0" borderId="0" xfId="0" applyFont="1" applyAlignment="1">
      <alignment horizontal="center" vertical="center" wrapText="1"/>
    </xf>
    <xf numFmtId="0" fontId="5" fillId="0" borderId="0" xfId="0" applyFont="1"/>
    <xf numFmtId="164" fontId="8" fillId="6" borderId="8" xfId="0" applyNumberFormat="1" applyFont="1" applyFill="1" applyBorder="1" applyAlignment="1">
      <alignment horizontal="right" vertical="center" wrapText="1"/>
    </xf>
    <xf numFmtId="164" fontId="8" fillId="6" borderId="9" xfId="0" applyNumberFormat="1" applyFont="1" applyFill="1" applyBorder="1" applyAlignment="1">
      <alignment horizontal="right" vertical="center" wrapText="1"/>
    </xf>
    <xf numFmtId="164" fontId="8" fillId="6" borderId="9" xfId="0" applyNumberFormat="1" applyFont="1" applyFill="1" applyBorder="1" applyAlignment="1">
      <alignment horizontal="right" vertical="center"/>
    </xf>
    <xf numFmtId="164" fontId="8" fillId="6" borderId="8" xfId="0" applyNumberFormat="1" applyFont="1" applyFill="1" applyBorder="1" applyAlignment="1">
      <alignment horizontal="right" vertical="center"/>
    </xf>
    <xf numFmtId="164" fontId="8" fillId="6" borderId="7" xfId="0" applyNumberFormat="1" applyFont="1" applyFill="1" applyBorder="1" applyAlignment="1">
      <alignment horizontal="right" vertical="center"/>
    </xf>
    <xf numFmtId="164" fontId="8" fillId="6" borderId="10" xfId="0" applyNumberFormat="1" applyFont="1" applyFill="1" applyBorder="1" applyAlignment="1">
      <alignment horizontal="right" vertical="center"/>
    </xf>
    <xf numFmtId="10" fontId="8" fillId="6" borderId="9" xfId="0" applyNumberFormat="1" applyFont="1" applyFill="1" applyBorder="1" applyAlignment="1">
      <alignment horizontal="right" vertical="center"/>
    </xf>
    <xf numFmtId="10" fontId="8" fillId="6" borderId="7" xfId="0" applyNumberFormat="1" applyFont="1" applyFill="1" applyBorder="1" applyAlignment="1">
      <alignment horizontal="right" vertical="center"/>
    </xf>
    <xf numFmtId="0" fontId="8" fillId="6" borderId="9" xfId="0" applyFont="1" applyFill="1" applyBorder="1" applyAlignment="1">
      <alignment horizontal="right" vertical="center"/>
    </xf>
    <xf numFmtId="14" fontId="5" fillId="0" borderId="1" xfId="0" applyNumberFormat="1" applyFont="1" applyBorder="1"/>
    <xf numFmtId="14" fontId="5" fillId="0" borderId="12" xfId="0" applyNumberFormat="1" applyFont="1" applyBorder="1"/>
    <xf numFmtId="164" fontId="5" fillId="0" borderId="1" xfId="0" applyNumberFormat="1" applyFont="1" applyBorder="1"/>
    <xf numFmtId="164" fontId="5" fillId="0" borderId="12" xfId="0" applyNumberFormat="1" applyFont="1" applyBorder="1"/>
    <xf numFmtId="164" fontId="5" fillId="0" borderId="6" xfId="0" applyNumberFormat="1" applyFont="1" applyBorder="1"/>
    <xf numFmtId="164" fontId="5" fillId="0" borderId="11" xfId="0" applyNumberFormat="1" applyFont="1" applyBorder="1"/>
    <xf numFmtId="10" fontId="5" fillId="0" borderId="12" xfId="0" applyNumberFormat="1" applyFont="1" applyBorder="1"/>
    <xf numFmtId="10" fontId="5" fillId="0" borderId="6" xfId="0" applyNumberFormat="1" applyFont="1" applyBorder="1"/>
    <xf numFmtId="0" fontId="5" fillId="0" borderId="6" xfId="0" applyFont="1" applyBorder="1"/>
    <xf numFmtId="14" fontId="5" fillId="0" borderId="3" xfId="0" applyNumberFormat="1" applyFont="1" applyBorder="1"/>
    <xf numFmtId="14" fontId="5" fillId="0" borderId="13" xfId="0" applyNumberFormat="1" applyFont="1" applyBorder="1"/>
    <xf numFmtId="164" fontId="5" fillId="0" borderId="3" xfId="0" applyNumberFormat="1" applyFont="1" applyBorder="1"/>
    <xf numFmtId="164" fontId="5" fillId="0" borderId="13" xfId="0" applyNumberFormat="1" applyFont="1" applyBorder="1"/>
    <xf numFmtId="164" fontId="5" fillId="0" borderId="2" xfId="0" applyNumberFormat="1" applyFont="1" applyBorder="1"/>
    <xf numFmtId="164" fontId="5" fillId="0" borderId="0" xfId="0" applyNumberFormat="1" applyFont="1" applyBorder="1"/>
    <xf numFmtId="10" fontId="5" fillId="0" borderId="13" xfId="0" applyNumberFormat="1" applyFont="1" applyBorder="1"/>
    <xf numFmtId="10" fontId="5" fillId="0" borderId="2" xfId="0" applyNumberFormat="1" applyFont="1" applyBorder="1"/>
    <xf numFmtId="0" fontId="5" fillId="0" borderId="2" xfId="0" applyFont="1" applyBorder="1"/>
    <xf numFmtId="14" fontId="5" fillId="0" borderId="4" xfId="0" applyNumberFormat="1" applyFont="1" applyBorder="1"/>
    <xf numFmtId="14" fontId="5" fillId="0" borderId="15" xfId="0" applyNumberFormat="1" applyFont="1" applyBorder="1"/>
    <xf numFmtId="164" fontId="5" fillId="0" borderId="4" xfId="0" applyNumberFormat="1" applyFont="1" applyBorder="1"/>
    <xf numFmtId="164" fontId="5" fillId="0" borderId="15" xfId="0" applyNumberFormat="1" applyFont="1" applyBorder="1"/>
    <xf numFmtId="164" fontId="5" fillId="0" borderId="5" xfId="0" applyNumberFormat="1" applyFont="1" applyBorder="1"/>
    <xf numFmtId="164" fontId="5" fillId="0" borderId="16" xfId="0" applyNumberFormat="1" applyFont="1" applyBorder="1"/>
    <xf numFmtId="10" fontId="5" fillId="0" borderId="15" xfId="0" applyNumberFormat="1" applyFont="1" applyBorder="1"/>
    <xf numFmtId="10" fontId="5" fillId="0" borderId="5" xfId="0" applyNumberFormat="1" applyFont="1" applyBorder="1"/>
    <xf numFmtId="0" fontId="5" fillId="0" borderId="5" xfId="0" applyFont="1" applyBorder="1"/>
    <xf numFmtId="14" fontId="5" fillId="4" borderId="3" xfId="0" applyNumberFormat="1" applyFont="1" applyFill="1" applyBorder="1"/>
    <xf numFmtId="14" fontId="5" fillId="4" borderId="13" xfId="0" applyNumberFormat="1" applyFont="1" applyFill="1" applyBorder="1"/>
    <xf numFmtId="164" fontId="5" fillId="4" borderId="3" xfId="0" applyNumberFormat="1" applyFont="1" applyFill="1" applyBorder="1"/>
    <xf numFmtId="164" fontId="5" fillId="4" borderId="13" xfId="0" applyNumberFormat="1" applyFont="1" applyFill="1" applyBorder="1"/>
    <xf numFmtId="164" fontId="5" fillId="4" borderId="2" xfId="0" applyNumberFormat="1" applyFont="1" applyFill="1" applyBorder="1"/>
    <xf numFmtId="164" fontId="5" fillId="4" borderId="0" xfId="0" applyNumberFormat="1" applyFont="1" applyFill="1" applyBorder="1"/>
    <xf numFmtId="10" fontId="5" fillId="4" borderId="13" xfId="0" applyNumberFormat="1" applyFont="1" applyFill="1" applyBorder="1"/>
    <xf numFmtId="10" fontId="5" fillId="4" borderId="2" xfId="0" applyNumberFormat="1" applyFont="1" applyFill="1" applyBorder="1"/>
    <xf numFmtId="0" fontId="5" fillId="4" borderId="2" xfId="0" applyFont="1" applyFill="1" applyBorder="1"/>
    <xf numFmtId="14" fontId="5" fillId="4" borderId="4" xfId="0" applyNumberFormat="1" applyFont="1" applyFill="1" applyBorder="1"/>
    <xf numFmtId="14" fontId="5" fillId="4" borderId="15" xfId="0" applyNumberFormat="1" applyFont="1" applyFill="1" applyBorder="1"/>
    <xf numFmtId="164" fontId="5" fillId="4" borderId="4" xfId="0" applyNumberFormat="1" applyFont="1" applyFill="1" applyBorder="1"/>
    <xf numFmtId="164" fontId="5" fillId="4" borderId="15" xfId="0" applyNumberFormat="1" applyFont="1" applyFill="1" applyBorder="1"/>
    <xf numFmtId="164" fontId="5" fillId="4" borderId="5" xfId="0" applyNumberFormat="1" applyFont="1" applyFill="1" applyBorder="1"/>
    <xf numFmtId="164" fontId="5" fillId="4" borderId="16" xfId="0" applyNumberFormat="1" applyFont="1" applyFill="1" applyBorder="1"/>
    <xf numFmtId="10" fontId="5" fillId="4" borderId="15" xfId="0" applyNumberFormat="1" applyFont="1" applyFill="1" applyBorder="1"/>
    <xf numFmtId="10" fontId="5" fillId="4" borderId="5" xfId="0" applyNumberFormat="1" applyFont="1" applyFill="1" applyBorder="1"/>
    <xf numFmtId="0" fontId="5" fillId="4" borderId="5" xfId="0" applyFont="1" applyFill="1" applyBorder="1"/>
    <xf numFmtId="14" fontId="5" fillId="4" borderId="1" xfId="0" applyNumberFormat="1" applyFont="1" applyFill="1" applyBorder="1"/>
    <xf numFmtId="14" fontId="5" fillId="4" borderId="12" xfId="0" applyNumberFormat="1" applyFont="1" applyFill="1" applyBorder="1"/>
    <xf numFmtId="164" fontId="5" fillId="4" borderId="1" xfId="0" applyNumberFormat="1" applyFont="1" applyFill="1" applyBorder="1"/>
    <xf numFmtId="164" fontId="5" fillId="4" borderId="12" xfId="0" applyNumberFormat="1" applyFont="1" applyFill="1" applyBorder="1"/>
    <xf numFmtId="164" fontId="5" fillId="4" borderId="6" xfId="0" applyNumberFormat="1" applyFont="1" applyFill="1" applyBorder="1"/>
    <xf numFmtId="164" fontId="5" fillId="4" borderId="11" xfId="0" applyNumberFormat="1" applyFont="1" applyFill="1" applyBorder="1"/>
    <xf numFmtId="10" fontId="5" fillId="4" borderId="12" xfId="0" applyNumberFormat="1" applyFont="1" applyFill="1" applyBorder="1"/>
    <xf numFmtId="10" fontId="5" fillId="4" borderId="6" xfId="0" applyNumberFormat="1" applyFont="1" applyFill="1" applyBorder="1"/>
    <xf numFmtId="0" fontId="5" fillId="4" borderId="6" xfId="0" applyFont="1" applyFill="1" applyBorder="1"/>
    <xf numFmtId="164" fontId="5" fillId="0" borderId="0" xfId="0" applyNumberFormat="1" applyFont="1"/>
    <xf numFmtId="164" fontId="5" fillId="0" borderId="0" xfId="0" applyNumberFormat="1" applyFont="1" applyAlignment="1">
      <alignment vertical="center"/>
    </xf>
    <xf numFmtId="10" fontId="5" fillId="0" borderId="0" xfId="0" applyNumberFormat="1" applyFont="1"/>
    <xf numFmtId="0" fontId="0" fillId="0" borderId="0" xfId="0"/>
    <xf numFmtId="0" fontId="0" fillId="5" borderId="6" xfId="0" applyFill="1" applyBorder="1" applyAlignment="1">
      <alignment vertical="center" wrapText="1"/>
    </xf>
    <xf numFmtId="0" fontId="0" fillId="6" borderId="8" xfId="0" applyFill="1" applyBorder="1" applyAlignment="1">
      <alignment horizontal="center"/>
    </xf>
    <xf numFmtId="0" fontId="0" fillId="6" borderId="9" xfId="0" applyFill="1" applyBorder="1" applyAlignment="1">
      <alignment horizontal="center"/>
    </xf>
    <xf numFmtId="2" fontId="0" fillId="0" borderId="4" xfId="0" applyNumberFormat="1" applyFill="1" applyBorder="1"/>
    <xf numFmtId="0" fontId="0" fillId="7" borderId="0" xfId="0" applyFill="1" applyBorder="1" applyAlignment="1">
      <alignment horizontal="center" vertical="distributed"/>
    </xf>
    <xf numFmtId="14" fontId="0" fillId="0" borderId="5" xfId="0" applyNumberFormat="1" applyFill="1" applyBorder="1" applyAlignment="1">
      <alignment horizontal="center"/>
    </xf>
    <xf numFmtId="14" fontId="0" fillId="0" borderId="6" xfId="0" applyNumberFormat="1" applyFill="1" applyBorder="1" applyAlignment="1">
      <alignment horizontal="center"/>
    </xf>
    <xf numFmtId="2" fontId="0" fillId="0" borderId="0" xfId="0" applyNumberFormat="1" applyFill="1"/>
    <xf numFmtId="166" fontId="0" fillId="0" borderId="0" xfId="0" applyNumberFormat="1" applyFill="1"/>
    <xf numFmtId="14" fontId="0" fillId="0" borderId="2" xfId="0" applyNumberFormat="1" applyFill="1" applyBorder="1" applyAlignment="1">
      <alignment horizontal="center"/>
    </xf>
    <xf numFmtId="2" fontId="4" fillId="0" borderId="0" xfId="28" applyNumberFormat="1" applyFill="1"/>
    <xf numFmtId="167" fontId="4" fillId="0" borderId="0" xfId="28" applyNumberFormat="1" applyFill="1"/>
    <xf numFmtId="171" fontId="4" fillId="0" borderId="16" xfId="28" applyNumberFormat="1" applyBorder="1"/>
    <xf numFmtId="171" fontId="4" fillId="0" borderId="0" xfId="28" applyNumberFormat="1"/>
    <xf numFmtId="171" fontId="4" fillId="0" borderId="0" xfId="28" applyNumberFormat="1" applyFill="1"/>
    <xf numFmtId="171" fontId="4" fillId="0" borderId="16" xfId="28" applyNumberFormat="1" applyFill="1" applyBorder="1"/>
    <xf numFmtId="171" fontId="4" fillId="0" borderId="0" xfId="28" applyNumberFormat="1" applyFill="1" applyBorder="1"/>
    <xf numFmtId="2" fontId="4" fillId="0" borderId="14" xfId="28" applyNumberFormat="1" applyFill="1" applyBorder="1"/>
    <xf numFmtId="0" fontId="0" fillId="0" borderId="3" xfId="0" applyNumberFormat="1" applyFill="1" applyBorder="1"/>
    <xf numFmtId="0" fontId="0" fillId="0" borderId="0" xfId="0" applyFill="1" applyBorder="1"/>
    <xf numFmtId="14" fontId="0" fillId="0" borderId="3" xfId="0" applyNumberFormat="1" applyFill="1" applyBorder="1"/>
    <xf numFmtId="14" fontId="0" fillId="0" borderId="13" xfId="0" applyNumberFormat="1" applyFill="1" applyBorder="1"/>
    <xf numFmtId="9" fontId="0" fillId="0" borderId="13" xfId="0" applyNumberFormat="1" applyFill="1" applyBorder="1"/>
    <xf numFmtId="167" fontId="0" fillId="0" borderId="1" xfId="0" applyNumberFormat="1" applyFill="1" applyBorder="1"/>
    <xf numFmtId="167" fontId="0" fillId="0" borderId="3" xfId="0" applyNumberFormat="1" applyFill="1" applyBorder="1"/>
    <xf numFmtId="167" fontId="0" fillId="0" borderId="4" xfId="0" applyNumberFormat="1" applyFill="1" applyBorder="1"/>
    <xf numFmtId="0" fontId="0" fillId="0" borderId="0" xfId="0"/>
    <xf numFmtId="166" fontId="0" fillId="0" borderId="13" xfId="0" applyNumberFormat="1" applyFill="1" applyBorder="1" applyAlignment="1">
      <alignment horizontal="right"/>
    </xf>
    <xf numFmtId="2" fontId="0" fillId="0" borderId="2" xfId="0" applyNumberFormat="1" applyFill="1" applyBorder="1" applyAlignment="1">
      <alignment horizontal="right"/>
    </xf>
    <xf numFmtId="14" fontId="0" fillId="12" borderId="3" xfId="0" applyNumberFormat="1" applyFill="1" applyBorder="1" applyAlignment="1">
      <alignment horizontal="center" vertical="center"/>
    </xf>
    <xf numFmtId="166" fontId="0" fillId="12" borderId="13" xfId="0" applyNumberFormat="1" applyFill="1" applyBorder="1" applyAlignment="1">
      <alignment horizontal="right"/>
    </xf>
    <xf numFmtId="2" fontId="0" fillId="12" borderId="2" xfId="0" applyNumberFormat="1" applyFill="1" applyBorder="1" applyAlignment="1">
      <alignment horizontal="right"/>
    </xf>
    <xf numFmtId="2" fontId="0" fillId="0" borderId="1" xfId="0" applyNumberFormat="1" applyFont="1" applyBorder="1"/>
    <xf numFmtId="2" fontId="0" fillId="0" borderId="3" xfId="0" applyNumberFormat="1" applyFont="1" applyBorder="1"/>
    <xf numFmtId="166" fontId="0" fillId="0" borderId="15" xfId="0" applyNumberFormat="1" applyFont="1" applyFill="1" applyBorder="1"/>
    <xf numFmtId="2" fontId="0" fillId="0" borderId="3" xfId="0" applyNumberFormat="1" applyFont="1" applyFill="1" applyBorder="1"/>
    <xf numFmtId="166" fontId="0" fillId="0" borderId="13" xfId="0" applyNumberFormat="1" applyFont="1" applyFill="1" applyBorder="1"/>
    <xf numFmtId="166" fontId="0" fillId="0" borderId="12" xfId="0" applyNumberFormat="1" applyFont="1" applyFill="1" applyBorder="1"/>
    <xf numFmtId="166" fontId="0" fillId="0" borderId="11" xfId="0" applyNumberFormat="1" applyFont="1" applyFill="1" applyBorder="1"/>
    <xf numFmtId="2" fontId="0" fillId="0" borderId="1" xfId="0" applyNumberFormat="1" applyFont="1" applyFill="1" applyBorder="1"/>
    <xf numFmtId="166" fontId="0" fillId="0" borderId="0" xfId="0" applyNumberFormat="1" applyFont="1" applyFill="1" applyBorder="1"/>
    <xf numFmtId="166" fontId="0" fillId="0" borderId="16" xfId="0" applyNumberFormat="1" applyFont="1" applyFill="1" applyBorder="1"/>
    <xf numFmtId="2" fontId="0" fillId="0" borderId="4" xfId="0" applyNumberFormat="1" applyFont="1" applyFill="1" applyBorder="1"/>
    <xf numFmtId="166" fontId="0" fillId="8" borderId="12" xfId="0" applyNumberFormat="1" applyFont="1" applyFill="1" applyBorder="1"/>
    <xf numFmtId="2" fontId="0" fillId="8" borderId="1" xfId="0" applyNumberFormat="1" applyFont="1" applyFill="1" applyBorder="1"/>
    <xf numFmtId="166" fontId="0" fillId="8" borderId="13" xfId="0" applyNumberFormat="1" applyFont="1" applyFill="1" applyBorder="1"/>
    <xf numFmtId="2" fontId="0" fillId="8" borderId="3" xfId="0" applyNumberFormat="1" applyFont="1" applyFill="1" applyBorder="1"/>
    <xf numFmtId="166" fontId="0" fillId="8" borderId="15" xfId="0" applyNumberFormat="1" applyFont="1" applyFill="1" applyBorder="1"/>
    <xf numFmtId="2" fontId="0" fillId="8" borderId="4" xfId="0" applyNumberFormat="1" applyFont="1" applyFill="1" applyBorder="1"/>
    <xf numFmtId="167" fontId="0" fillId="0" borderId="3" xfId="0" applyNumberFormat="1" applyFont="1" applyFill="1" applyBorder="1"/>
    <xf numFmtId="167" fontId="0" fillId="0" borderId="4" xfId="0" applyNumberFormat="1" applyFont="1" applyFill="1" applyBorder="1"/>
    <xf numFmtId="2" fontId="0" fillId="0" borderId="4" xfId="0" applyNumberFormat="1" applyFont="1" applyBorder="1"/>
    <xf numFmtId="167" fontId="5" fillId="0" borderId="3" xfId="0" applyNumberFormat="1" applyFont="1" applyFill="1" applyBorder="1"/>
    <xf numFmtId="167" fontId="5" fillId="0" borderId="4" xfId="0" applyNumberFormat="1" applyFont="1" applyFill="1" applyBorder="1"/>
    <xf numFmtId="165" fontId="0" fillId="0" borderId="2" xfId="0" applyNumberFormat="1" applyFill="1" applyBorder="1"/>
    <xf numFmtId="14" fontId="0" fillId="0" borderId="1" xfId="0" applyNumberFormat="1" applyFill="1" applyBorder="1"/>
    <xf numFmtId="14" fontId="0" fillId="0" borderId="12" xfId="0" applyNumberFormat="1" applyFill="1" applyBorder="1"/>
    <xf numFmtId="164" fontId="0" fillId="0" borderId="6" xfId="0" applyNumberFormat="1" applyFill="1" applyBorder="1"/>
    <xf numFmtId="164" fontId="0" fillId="0" borderId="1" xfId="0" applyNumberFormat="1" applyFill="1" applyBorder="1"/>
    <xf numFmtId="164" fontId="0" fillId="0" borderId="12" xfId="0" applyNumberFormat="1" applyFill="1" applyBorder="1"/>
    <xf numFmtId="164" fontId="0" fillId="0" borderId="11" xfId="0" applyNumberFormat="1" applyFill="1" applyBorder="1"/>
    <xf numFmtId="0" fontId="0" fillId="0" borderId="12" xfId="0" applyFill="1" applyBorder="1"/>
    <xf numFmtId="14" fontId="0" fillId="0" borderId="4" xfId="0" applyNumberFormat="1" applyFill="1" applyBorder="1"/>
    <xf numFmtId="14" fontId="0" fillId="0" borderId="15" xfId="0" applyNumberFormat="1" applyFill="1" applyBorder="1"/>
    <xf numFmtId="164" fontId="0" fillId="0" borderId="4" xfId="0" applyNumberFormat="1" applyFill="1" applyBorder="1"/>
    <xf numFmtId="164" fontId="0" fillId="0" borderId="15" xfId="0" applyNumberFormat="1" applyFill="1" applyBorder="1"/>
    <xf numFmtId="164" fontId="0" fillId="0" borderId="5" xfId="0" applyNumberFormat="1" applyFill="1" applyBorder="1"/>
    <xf numFmtId="164" fontId="0" fillId="0" borderId="16" xfId="0" applyNumberFormat="1" applyFill="1" applyBorder="1"/>
    <xf numFmtId="10" fontId="0" fillId="0" borderId="4" xfId="0" applyNumberFormat="1" applyFill="1" applyBorder="1"/>
    <xf numFmtId="10" fontId="0" fillId="0" borderId="15" xfId="0" applyNumberFormat="1" applyFill="1" applyBorder="1"/>
    <xf numFmtId="10" fontId="0" fillId="0" borderId="1" xfId="0" applyNumberFormat="1" applyFill="1" applyBorder="1"/>
    <xf numFmtId="10" fontId="0" fillId="0" borderId="12" xfId="0" applyNumberFormat="1" applyFill="1" applyBorder="1"/>
    <xf numFmtId="0" fontId="0" fillId="0" borderId="4" xfId="0" applyFill="1" applyBorder="1"/>
    <xf numFmtId="0" fontId="0" fillId="0" borderId="15" xfId="0" applyFill="1" applyBorder="1"/>
    <xf numFmtId="10" fontId="0" fillId="0" borderId="5" xfId="0" applyNumberFormat="1" applyFill="1" applyBorder="1"/>
    <xf numFmtId="10" fontId="0" fillId="0" borderId="16" xfId="0" applyNumberFormat="1" applyFill="1" applyBorder="1"/>
    <xf numFmtId="0" fontId="0" fillId="0" borderId="5" xfId="0" applyFill="1" applyBorder="1"/>
    <xf numFmtId="10" fontId="0" fillId="0" borderId="6" xfId="0" applyNumberFormat="1" applyFill="1" applyBorder="1"/>
    <xf numFmtId="10" fontId="0" fillId="0" borderId="11" xfId="0" applyNumberFormat="1" applyFill="1" applyBorder="1"/>
    <xf numFmtId="0" fontId="0" fillId="0" borderId="1" xfId="0" applyFill="1" applyBorder="1"/>
    <xf numFmtId="0" fontId="0" fillId="0" borderId="6" xfId="0" applyFill="1" applyBorder="1"/>
    <xf numFmtId="14" fontId="5" fillId="0" borderId="3" xfId="0" applyNumberFormat="1" applyFont="1" applyFill="1" applyBorder="1"/>
    <xf numFmtId="14" fontId="5" fillId="0" borderId="13" xfId="0" applyNumberFormat="1" applyFont="1" applyFill="1" applyBorder="1"/>
    <xf numFmtId="164" fontId="5" fillId="0" borderId="3" xfId="0" applyNumberFormat="1" applyFont="1" applyFill="1" applyBorder="1"/>
    <xf numFmtId="164" fontId="5" fillId="0" borderId="13" xfId="0" applyNumberFormat="1" applyFont="1" applyFill="1" applyBorder="1"/>
    <xf numFmtId="164" fontId="5" fillId="0" borderId="2" xfId="0" applyNumberFormat="1" applyFont="1" applyFill="1" applyBorder="1"/>
    <xf numFmtId="164" fontId="5" fillId="0" borderId="0" xfId="0" applyNumberFormat="1" applyFont="1" applyFill="1" applyBorder="1"/>
    <xf numFmtId="10" fontId="5" fillId="0" borderId="13" xfId="0" applyNumberFormat="1" applyFont="1" applyFill="1" applyBorder="1"/>
    <xf numFmtId="10" fontId="5" fillId="0" borderId="2" xfId="0" applyNumberFormat="1" applyFont="1" applyFill="1" applyBorder="1"/>
    <xf numFmtId="0" fontId="5" fillId="0" borderId="2" xfId="0" applyFont="1" applyFill="1" applyBorder="1"/>
    <xf numFmtId="0" fontId="5" fillId="0" borderId="0" xfId="0" applyFont="1" applyFill="1"/>
    <xf numFmtId="14" fontId="5" fillId="0" borderId="4" xfId="0" applyNumberFormat="1" applyFont="1" applyFill="1" applyBorder="1"/>
    <xf numFmtId="14" fontId="5" fillId="0" borderId="15" xfId="0" applyNumberFormat="1" applyFont="1" applyFill="1" applyBorder="1"/>
    <xf numFmtId="164" fontId="5" fillId="0" borderId="4" xfId="0" applyNumberFormat="1" applyFont="1" applyFill="1" applyBorder="1"/>
    <xf numFmtId="164" fontId="5" fillId="0" borderId="15" xfId="0" applyNumberFormat="1" applyFont="1" applyFill="1" applyBorder="1"/>
    <xf numFmtId="164" fontId="5" fillId="0" borderId="5" xfId="0" applyNumberFormat="1" applyFont="1" applyFill="1" applyBorder="1"/>
    <xf numFmtId="164" fontId="5" fillId="0" borderId="16" xfId="0" applyNumberFormat="1" applyFont="1" applyFill="1" applyBorder="1"/>
    <xf numFmtId="10" fontId="5" fillId="0" borderId="15" xfId="0" applyNumberFormat="1" applyFont="1" applyFill="1" applyBorder="1"/>
    <xf numFmtId="10" fontId="5" fillId="0" borderId="5" xfId="0" applyNumberFormat="1" applyFont="1" applyFill="1" applyBorder="1"/>
    <xf numFmtId="0" fontId="5" fillId="0" borderId="5" xfId="0" applyFont="1" applyFill="1" applyBorder="1"/>
    <xf numFmtId="14" fontId="0" fillId="0" borderId="3" xfId="0" applyNumberFormat="1" applyFont="1" applyFill="1" applyBorder="1"/>
    <xf numFmtId="14" fontId="0" fillId="0" borderId="13" xfId="0" applyNumberFormat="1" applyFont="1" applyFill="1" applyBorder="1"/>
    <xf numFmtId="164" fontId="0" fillId="0" borderId="3" xfId="0" applyNumberFormat="1" applyFont="1" applyFill="1" applyBorder="1"/>
    <xf numFmtId="164" fontId="0" fillId="0" borderId="13" xfId="0" applyNumberFormat="1" applyFont="1" applyFill="1" applyBorder="1"/>
    <xf numFmtId="14" fontId="0" fillId="0" borderId="4" xfId="0" applyNumberFormat="1" applyFont="1" applyFill="1" applyBorder="1"/>
    <xf numFmtId="14" fontId="0" fillId="0" borderId="15" xfId="0" applyNumberFormat="1" applyFont="1" applyFill="1" applyBorder="1"/>
    <xf numFmtId="164" fontId="0" fillId="0" borderId="4" xfId="0" applyNumberFormat="1" applyFont="1" applyFill="1" applyBorder="1"/>
    <xf numFmtId="164" fontId="0" fillId="0" borderId="15" xfId="0" applyNumberFormat="1" applyFont="1" applyFill="1" applyBorder="1"/>
    <xf numFmtId="14" fontId="0" fillId="0" borderId="0" xfId="0" applyNumberFormat="1" applyFont="1" applyFill="1" applyBorder="1"/>
    <xf numFmtId="164" fontId="0" fillId="0" borderId="0" xfId="0" applyNumberFormat="1" applyFont="1" applyFill="1" applyBorder="1"/>
    <xf numFmtId="164" fontId="0" fillId="0" borderId="2" xfId="0" applyNumberFormat="1" applyFont="1" applyFill="1" applyBorder="1"/>
    <xf numFmtId="14" fontId="0" fillId="0" borderId="1" xfId="0" applyNumberFormat="1" applyFont="1" applyFill="1" applyBorder="1"/>
    <xf numFmtId="14" fontId="0" fillId="0" borderId="12" xfId="0" applyNumberFormat="1" applyFont="1" applyFill="1" applyBorder="1"/>
    <xf numFmtId="164" fontId="0" fillId="0" borderId="6" xfId="0" applyNumberFormat="1" applyFont="1" applyFill="1" applyBorder="1"/>
    <xf numFmtId="164" fontId="0" fillId="0" borderId="1" xfId="0" applyNumberFormat="1" applyFont="1" applyFill="1" applyBorder="1"/>
    <xf numFmtId="10" fontId="0" fillId="0" borderId="11" xfId="0" applyNumberFormat="1" applyFont="1" applyFill="1" applyBorder="1"/>
    <xf numFmtId="164" fontId="0" fillId="0" borderId="11" xfId="0" applyNumberFormat="1" applyFont="1" applyFill="1" applyBorder="1"/>
    <xf numFmtId="10" fontId="0" fillId="0" borderId="0" xfId="0" applyNumberFormat="1" applyFont="1" applyFill="1" applyBorder="1"/>
    <xf numFmtId="164" fontId="0" fillId="0" borderId="5" xfId="0" applyNumberFormat="1" applyFont="1" applyFill="1" applyBorder="1"/>
    <xf numFmtId="10" fontId="0" fillId="0" borderId="16" xfId="0" applyNumberFormat="1" applyFont="1" applyFill="1" applyBorder="1"/>
    <xf numFmtId="164" fontId="0" fillId="0" borderId="16" xfId="0" applyNumberFormat="1" applyFont="1" applyFill="1" applyBorder="1"/>
    <xf numFmtId="164" fontId="5" fillId="0" borderId="6" xfId="0" applyNumberFormat="1" applyFont="1" applyFill="1" applyBorder="1"/>
    <xf numFmtId="0" fontId="0" fillId="0" borderId="0" xfId="0" applyNumberFormat="1" applyFill="1" applyBorder="1"/>
    <xf numFmtId="0" fontId="0" fillId="0" borderId="13" xfId="0" applyNumberFormat="1" applyFill="1" applyBorder="1"/>
    <xf numFmtId="0" fontId="0" fillId="5" borderId="8" xfId="0" applyFill="1" applyBorder="1" applyAlignment="1">
      <alignment horizontal="center" vertical="center" wrapText="1"/>
    </xf>
    <xf numFmtId="173" fontId="0" fillId="0" borderId="0" xfId="0" applyNumberFormat="1" applyBorder="1"/>
    <xf numFmtId="0" fontId="0" fillId="5" borderId="16" xfId="0" applyFill="1" applyBorder="1" applyAlignment="1">
      <alignment horizontal="center" vertical="distributed"/>
    </xf>
    <xf numFmtId="0" fontId="0" fillId="7" borderId="4" xfId="0" applyFill="1" applyBorder="1" applyAlignment="1">
      <alignment horizontal="center" vertical="distributed"/>
    </xf>
    <xf numFmtId="10" fontId="0" fillId="7" borderId="15" xfId="0" applyNumberFormat="1" applyFill="1" applyBorder="1" applyAlignment="1">
      <alignment horizontal="center" vertical="distributed"/>
    </xf>
    <xf numFmtId="9" fontId="0" fillId="7" borderId="15" xfId="0" applyNumberFormat="1" applyFill="1" applyBorder="1" applyAlignment="1">
      <alignment horizontal="center" vertical="distributed"/>
    </xf>
    <xf numFmtId="0" fontId="0" fillId="7" borderId="6" xfId="0" applyFill="1" applyBorder="1" applyAlignment="1">
      <alignment horizontal="center" vertical="center" wrapText="1"/>
    </xf>
    <xf numFmtId="0" fontId="0" fillId="7" borderId="2" xfId="0" applyFill="1" applyBorder="1" applyAlignment="1">
      <alignment horizontal="center" vertical="center" wrapText="1"/>
    </xf>
    <xf numFmtId="0" fontId="0" fillId="7" borderId="5" xfId="0" applyFill="1" applyBorder="1" applyAlignment="1">
      <alignment horizontal="center" vertical="center" wrapText="1"/>
    </xf>
    <xf numFmtId="0" fontId="0" fillId="9" borderId="10" xfId="0" applyFill="1" applyBorder="1" applyAlignment="1">
      <alignment horizontal="center" vertical="center" wrapText="1"/>
    </xf>
    <xf numFmtId="0" fontId="0" fillId="9" borderId="11" xfId="0" applyFill="1" applyBorder="1" applyAlignment="1">
      <alignment horizontal="center" vertical="center" wrapText="1"/>
    </xf>
    <xf numFmtId="0" fontId="0" fillId="6" borderId="8" xfId="0" applyFill="1" applyBorder="1" applyAlignment="1">
      <alignment horizontal="center"/>
    </xf>
    <xf numFmtId="0" fontId="0" fillId="6" borderId="9" xfId="0" applyFill="1" applyBorder="1" applyAlignment="1">
      <alignment horizontal="center"/>
    </xf>
    <xf numFmtId="174" fontId="0" fillId="4" borderId="3" xfId="0" applyNumberFormat="1" applyFill="1" applyBorder="1"/>
    <xf numFmtId="0" fontId="2" fillId="0" borderId="0" xfId="0" applyFont="1"/>
    <xf numFmtId="0" fontId="0" fillId="7" borderId="13" xfId="0" applyFill="1" applyBorder="1" applyAlignment="1">
      <alignment horizontal="center" vertical="center" wrapText="1"/>
    </xf>
    <xf numFmtId="0" fontId="0" fillId="7" borderId="3" xfId="0" applyFill="1" applyBorder="1" applyAlignment="1">
      <alignment horizontal="center" vertical="center" wrapText="1"/>
    </xf>
    <xf numFmtId="0" fontId="0" fillId="8" borderId="0" xfId="0" applyFill="1" applyBorder="1" applyAlignment="1">
      <alignment horizontal="center" vertical="center" wrapText="1"/>
    </xf>
    <xf numFmtId="0" fontId="5" fillId="8" borderId="0" xfId="0" applyFont="1" applyFill="1" applyBorder="1" applyAlignment="1">
      <alignment horizontal="center" vertical="center" wrapText="1"/>
    </xf>
    <xf numFmtId="164" fontId="0" fillId="0" borderId="12" xfId="0" applyNumberFormat="1" applyFont="1" applyFill="1" applyBorder="1"/>
    <xf numFmtId="164" fontId="5" fillId="0" borderId="11" xfId="3" applyNumberFormat="1" applyFont="1" applyFill="1" applyBorder="1" applyAlignment="1">
      <alignment horizontal="center"/>
    </xf>
    <xf numFmtId="164" fontId="5" fillId="3" borderId="3" xfId="3" applyNumberFormat="1" applyFont="1" applyFill="1" applyBorder="1" applyAlignment="1">
      <alignment horizontal="center" vertical="center"/>
    </xf>
    <xf numFmtId="164" fontId="5" fillId="0" borderId="1" xfId="3" applyNumberFormat="1" applyFont="1" applyFill="1" applyBorder="1" applyAlignment="1">
      <alignment horizontal="center"/>
    </xf>
    <xf numFmtId="164" fontId="5" fillId="0" borderId="12" xfId="3" applyNumberFormat="1" applyFont="1" applyFill="1" applyBorder="1" applyAlignment="1">
      <alignment horizontal="center"/>
    </xf>
    <xf numFmtId="10" fontId="0" fillId="0" borderId="1" xfId="1" applyNumberFormat="1" applyFont="1" applyBorder="1"/>
    <xf numFmtId="10" fontId="0" fillId="0" borderId="12" xfId="1" applyNumberFormat="1" applyFont="1" applyBorder="1"/>
    <xf numFmtId="10" fontId="0" fillId="0" borderId="3" xfId="1" applyNumberFormat="1" applyFont="1" applyBorder="1"/>
    <xf numFmtId="10" fontId="0" fillId="0" borderId="13" xfId="1" applyNumberFormat="1" applyFont="1" applyBorder="1"/>
    <xf numFmtId="10" fontId="0" fillId="0" borderId="4" xfId="1" applyNumberFormat="1" applyFont="1" applyBorder="1"/>
    <xf numFmtId="10" fontId="0" fillId="0" borderId="15" xfId="1" applyNumberFormat="1" applyFont="1" applyBorder="1"/>
    <xf numFmtId="10" fontId="0" fillId="0" borderId="3" xfId="1" applyNumberFormat="1" applyFont="1" applyFill="1" applyBorder="1"/>
    <xf numFmtId="10" fontId="0" fillId="0" borderId="13" xfId="1" applyNumberFormat="1" applyFont="1" applyFill="1" applyBorder="1"/>
    <xf numFmtId="10" fontId="0" fillId="0" borderId="4" xfId="1" applyNumberFormat="1" applyFont="1" applyFill="1" applyBorder="1"/>
    <xf numFmtId="10" fontId="0" fillId="0" borderId="15" xfId="1" applyNumberFormat="1" applyFont="1" applyFill="1" applyBorder="1"/>
    <xf numFmtId="10" fontId="0" fillId="0" borderId="1" xfId="1" applyNumberFormat="1" applyFont="1" applyFill="1" applyBorder="1"/>
    <xf numFmtId="10" fontId="0" fillId="0" borderId="12" xfId="1" applyNumberFormat="1" applyFont="1" applyFill="1" applyBorder="1"/>
    <xf numFmtId="10" fontId="0" fillId="4" borderId="1" xfId="1" applyNumberFormat="1" applyFont="1" applyFill="1" applyBorder="1"/>
    <xf numFmtId="10" fontId="0" fillId="4" borderId="12" xfId="1" applyNumberFormat="1" applyFont="1" applyFill="1" applyBorder="1"/>
    <xf numFmtId="10" fontId="0" fillId="4" borderId="3" xfId="1" applyNumberFormat="1" applyFont="1" applyFill="1" applyBorder="1"/>
    <xf numFmtId="10" fontId="0" fillId="4" borderId="13" xfId="1" applyNumberFormat="1" applyFont="1" applyFill="1" applyBorder="1"/>
    <xf numFmtId="10" fontId="0" fillId="4" borderId="4" xfId="1" applyNumberFormat="1" applyFont="1" applyFill="1" applyBorder="1"/>
    <xf numFmtId="10" fontId="0" fillId="4" borderId="15" xfId="1" applyNumberFormat="1" applyFont="1" applyFill="1" applyBorder="1"/>
    <xf numFmtId="10" fontId="5" fillId="0" borderId="6" xfId="0" applyNumberFormat="1" applyFont="1" applyFill="1" applyBorder="1"/>
    <xf numFmtId="164" fontId="5" fillId="0" borderId="1" xfId="0" applyNumberFormat="1" applyFont="1" applyFill="1" applyBorder="1"/>
    <xf numFmtId="164" fontId="5" fillId="0" borderId="11" xfId="0" applyNumberFormat="1" applyFont="1" applyFill="1" applyBorder="1"/>
    <xf numFmtId="164" fontId="5" fillId="0" borderId="12" xfId="0" applyNumberFormat="1" applyFont="1" applyFill="1" applyBorder="1"/>
    <xf numFmtId="10" fontId="5" fillId="0" borderId="12" xfId="0" applyNumberFormat="1" applyFont="1" applyFill="1" applyBorder="1"/>
    <xf numFmtId="14" fontId="5" fillId="0" borderId="1" xfId="0" applyNumberFormat="1" applyFont="1" applyFill="1" applyBorder="1"/>
    <xf numFmtId="14" fontId="5" fillId="0" borderId="12" xfId="0" applyNumberFormat="1" applyFont="1" applyFill="1" applyBorder="1"/>
    <xf numFmtId="164" fontId="5" fillId="5" borderId="16" xfId="0" applyNumberFormat="1" applyFont="1" applyFill="1" applyBorder="1" applyAlignment="1">
      <alignment vertical="center" wrapText="1"/>
    </xf>
    <xf numFmtId="164" fontId="5" fillId="5" borderId="15" xfId="0" applyNumberFormat="1" applyFont="1" applyFill="1" applyBorder="1" applyAlignment="1">
      <alignment vertical="center" wrapText="1"/>
    </xf>
    <xf numFmtId="1" fontId="5" fillId="4" borderId="13" xfId="0" applyNumberFormat="1" applyFont="1" applyFill="1" applyBorder="1"/>
    <xf numFmtId="1" fontId="5" fillId="4" borderId="15" xfId="0" applyNumberFormat="1" applyFont="1" applyFill="1" applyBorder="1"/>
    <xf numFmtId="1" fontId="5" fillId="4" borderId="12" xfId="0" applyNumberFormat="1" applyFont="1" applyFill="1" applyBorder="1"/>
    <xf numFmtId="0" fontId="5" fillId="0" borderId="6" xfId="0" applyFont="1" applyFill="1" applyBorder="1"/>
    <xf numFmtId="0" fontId="0" fillId="5" borderId="8" xfId="0" applyFill="1" applyBorder="1" applyAlignment="1">
      <alignment horizontal="center" vertical="center" wrapText="1"/>
    </xf>
    <xf numFmtId="0" fontId="0" fillId="5" borderId="9" xfId="0" applyFill="1" applyBorder="1" applyAlignment="1">
      <alignment horizontal="center" vertical="center" wrapText="1"/>
    </xf>
    <xf numFmtId="10" fontId="21" fillId="4" borderId="3" xfId="0" applyNumberFormat="1" applyFont="1" applyFill="1" applyBorder="1"/>
    <xf numFmtId="10" fontId="21" fillId="4" borderId="13" xfId="0" applyNumberFormat="1" applyFont="1" applyFill="1" applyBorder="1"/>
    <xf numFmtId="0" fontId="0" fillId="0" borderId="6" xfId="0" applyNumberFormat="1" applyBorder="1"/>
    <xf numFmtId="0" fontId="0" fillId="0" borderId="2" xfId="0" applyNumberFormat="1" applyBorder="1"/>
    <xf numFmtId="0" fontId="6" fillId="6" borderId="2" xfId="0" applyNumberFormat="1" applyFont="1" applyFill="1" applyBorder="1" applyAlignment="1">
      <alignment horizontal="center" vertical="center"/>
    </xf>
    <xf numFmtId="0" fontId="0" fillId="0" borderId="12" xfId="0" applyNumberFormat="1" applyBorder="1"/>
    <xf numFmtId="0" fontId="0" fillId="0" borderId="13" xfId="0" applyNumberFormat="1" applyBorder="1"/>
    <xf numFmtId="0" fontId="0" fillId="0" borderId="15" xfId="0" applyNumberFormat="1" applyBorder="1"/>
    <xf numFmtId="0" fontId="0" fillId="0" borderId="15" xfId="0" applyNumberFormat="1" applyFill="1" applyBorder="1"/>
    <xf numFmtId="0" fontId="0" fillId="0" borderId="12" xfId="0" applyNumberFormat="1" applyFill="1" applyBorder="1"/>
    <xf numFmtId="0" fontId="0" fillId="4" borderId="13" xfId="0" applyNumberFormat="1" applyFill="1" applyBorder="1"/>
    <xf numFmtId="0" fontId="0" fillId="4" borderId="15" xfId="0" applyNumberFormat="1" applyFill="1" applyBorder="1"/>
    <xf numFmtId="0" fontId="0" fillId="4" borderId="12" xfId="0" applyNumberFormat="1" applyFill="1" applyBorder="1"/>
    <xf numFmtId="0" fontId="0" fillId="0" borderId="0" xfId="0" applyNumberFormat="1" applyAlignment="1">
      <alignment vertical="center"/>
    </xf>
    <xf numFmtId="0" fontId="6" fillId="6" borderId="8" xfId="0" applyFont="1" applyFill="1" applyBorder="1" applyAlignment="1">
      <alignment horizontal="left"/>
    </xf>
    <xf numFmtId="0" fontId="6" fillId="6" borderId="7" xfId="0" applyFont="1" applyFill="1" applyBorder="1" applyAlignment="1">
      <alignment horizontal="left"/>
    </xf>
    <xf numFmtId="10" fontId="6" fillId="6" borderId="8" xfId="0" applyNumberFormat="1" applyFont="1" applyFill="1" applyBorder="1" applyAlignment="1">
      <alignment horizontal="left"/>
    </xf>
    <xf numFmtId="9" fontId="0" fillId="0" borderId="12" xfId="1" applyFont="1" applyFill="1" applyBorder="1"/>
    <xf numFmtId="9" fontId="0" fillId="0" borderId="13" xfId="1" applyFont="1" applyFill="1" applyBorder="1"/>
    <xf numFmtId="9" fontId="0" fillId="0" borderId="15" xfId="1" applyFont="1" applyFill="1" applyBorder="1"/>
    <xf numFmtId="9" fontId="4" fillId="13" borderId="13" xfId="1" applyFont="1" applyFill="1" applyBorder="1"/>
    <xf numFmtId="9" fontId="4" fillId="13" borderId="15" xfId="1" applyFont="1" applyFill="1" applyBorder="1"/>
    <xf numFmtId="9" fontId="0" fillId="14" borderId="15" xfId="1" applyFont="1" applyFill="1" applyBorder="1"/>
    <xf numFmtId="9" fontId="0" fillId="14" borderId="13" xfId="1" applyFont="1" applyFill="1" applyBorder="1"/>
    <xf numFmtId="0" fontId="0" fillId="6" borderId="9" xfId="0" applyFill="1" applyBorder="1" applyAlignment="1">
      <alignment vertical="center"/>
    </xf>
    <xf numFmtId="0" fontId="0" fillId="5" borderId="8" xfId="0" applyFill="1" applyBorder="1" applyAlignment="1">
      <alignment horizontal="center" vertical="center" wrapText="1"/>
    </xf>
    <xf numFmtId="0" fontId="0" fillId="4" borderId="3" xfId="0" applyNumberFormat="1" applyFill="1" applyBorder="1"/>
    <xf numFmtId="164" fontId="0" fillId="0" borderId="0" xfId="0" applyNumberFormat="1" applyFont="1"/>
    <xf numFmtId="0" fontId="0" fillId="5" borderId="8" xfId="0" applyFill="1" applyBorder="1" applyAlignment="1">
      <alignment horizontal="center" vertical="center" wrapText="1"/>
    </xf>
    <xf numFmtId="2" fontId="5" fillId="0" borderId="0" xfId="0" applyNumberFormat="1" applyFont="1" applyFill="1" applyBorder="1"/>
    <xf numFmtId="2" fontId="5" fillId="0" borderId="11" xfId="0" applyNumberFormat="1" applyFont="1" applyFill="1" applyBorder="1"/>
    <xf numFmtId="1" fontId="0" fillId="0" borderId="13" xfId="0" applyNumberFormat="1" applyBorder="1"/>
    <xf numFmtId="1" fontId="0" fillId="0" borderId="13" xfId="0" applyNumberFormat="1" applyFill="1" applyBorder="1"/>
    <xf numFmtId="1" fontId="0" fillId="4" borderId="13" xfId="0" applyNumberFormat="1" applyFill="1" applyBorder="1"/>
    <xf numFmtId="1" fontId="0" fillId="0" borderId="12" xfId="0" applyNumberFormat="1" applyBorder="1"/>
    <xf numFmtId="164" fontId="0" fillId="5" borderId="16" xfId="0" applyNumberFormat="1" applyFont="1" applyFill="1" applyBorder="1" applyAlignment="1">
      <alignment horizontal="center"/>
    </xf>
    <xf numFmtId="1" fontId="5" fillId="0" borderId="15" xfId="0" applyNumberFormat="1" applyFont="1" applyFill="1" applyBorder="1"/>
    <xf numFmtId="1" fontId="5" fillId="0" borderId="13" xfId="0" applyNumberFormat="1" applyFont="1" applyFill="1" applyBorder="1"/>
    <xf numFmtId="164" fontId="8" fillId="6" borderId="10" xfId="0" applyNumberFormat="1" applyFont="1" applyFill="1" applyBorder="1" applyAlignment="1">
      <alignment horizontal="right" vertical="center"/>
    </xf>
    <xf numFmtId="164" fontId="8" fillId="6" borderId="10" xfId="0" applyNumberFormat="1" applyFont="1" applyFill="1" applyBorder="1" applyAlignment="1">
      <alignment vertical="center"/>
    </xf>
    <xf numFmtId="0" fontId="0" fillId="0" borderId="0" xfId="0"/>
    <xf numFmtId="164" fontId="8" fillId="6" borderId="10" xfId="0" applyNumberFormat="1" applyFont="1" applyFill="1" applyBorder="1" applyAlignment="1">
      <alignment horizontal="right" vertical="center"/>
    </xf>
    <xf numFmtId="0" fontId="0" fillId="6" borderId="8" xfId="0" applyFont="1" applyFill="1" applyBorder="1"/>
    <xf numFmtId="10" fontId="0" fillId="0" borderId="13" xfId="0" applyNumberFormat="1" applyFont="1" applyFill="1" applyBorder="1"/>
    <xf numFmtId="10" fontId="0" fillId="0" borderId="12" xfId="0" applyNumberFormat="1" applyFont="1" applyBorder="1"/>
    <xf numFmtId="10" fontId="0" fillId="0" borderId="12" xfId="0" applyNumberFormat="1" applyFont="1" applyFill="1" applyBorder="1"/>
    <xf numFmtId="10" fontId="0" fillId="0" borderId="15" xfId="0" applyNumberFormat="1" applyFont="1" applyFill="1" applyBorder="1"/>
    <xf numFmtId="10" fontId="0" fillId="4" borderId="12" xfId="0" applyNumberFormat="1" applyFont="1" applyFill="1" applyBorder="1"/>
    <xf numFmtId="0" fontId="0" fillId="5" borderId="8" xfId="0" applyFill="1" applyBorder="1" applyAlignment="1">
      <alignment horizontal="center" vertical="center" wrapText="1"/>
    </xf>
    <xf numFmtId="167" fontId="6" fillId="6" borderId="9" xfId="0" applyNumberFormat="1" applyFont="1" applyFill="1" applyBorder="1" applyAlignment="1">
      <alignment horizontal="right" vertical="center"/>
    </xf>
    <xf numFmtId="167" fontId="5" fillId="0" borderId="2" xfId="0" applyNumberFormat="1" applyFont="1" applyBorder="1"/>
    <xf numFmtId="167" fontId="5" fillId="0" borderId="2" xfId="0" applyNumberFormat="1" applyFont="1" applyFill="1" applyBorder="1"/>
    <xf numFmtId="1" fontId="5" fillId="0" borderId="2" xfId="0" applyNumberFormat="1" applyFont="1" applyBorder="1"/>
    <xf numFmtId="1" fontId="5" fillId="0" borderId="6" xfId="0" applyNumberFormat="1" applyFont="1" applyBorder="1"/>
    <xf numFmtId="1" fontId="5" fillId="0" borderId="2" xfId="0" applyNumberFormat="1" applyFont="1" applyFill="1" applyBorder="1"/>
    <xf numFmtId="1" fontId="5" fillId="4" borderId="2" xfId="0" applyNumberFormat="1" applyFont="1" applyFill="1" applyBorder="1"/>
    <xf numFmtId="0" fontId="0" fillId="6" borderId="8" xfId="0" applyFill="1" applyBorder="1" applyAlignment="1"/>
    <xf numFmtId="0" fontId="0" fillId="6" borderId="9" xfId="0" applyFill="1" applyBorder="1" applyAlignment="1"/>
    <xf numFmtId="0" fontId="5" fillId="0" borderId="13" xfId="5" applyNumberFormat="1" applyFont="1" applyFill="1" applyBorder="1" applyAlignment="1">
      <alignment horizontal="center"/>
    </xf>
    <xf numFmtId="0" fontId="5" fillId="3" borderId="13" xfId="5" applyNumberFormat="1" applyFont="1" applyFill="1" applyBorder="1" applyAlignment="1">
      <alignment horizontal="center"/>
    </xf>
    <xf numFmtId="0" fontId="0" fillId="0" borderId="2" xfId="0" applyNumberFormat="1" applyFill="1" applyBorder="1"/>
    <xf numFmtId="0" fontId="0" fillId="0" borderId="5" xfId="0" applyNumberFormat="1" applyFill="1" applyBorder="1"/>
    <xf numFmtId="0" fontId="0" fillId="3" borderId="12" xfId="0" applyNumberFormat="1" applyFill="1" applyBorder="1"/>
    <xf numFmtId="0" fontId="0" fillId="3" borderId="13" xfId="0" applyNumberFormat="1" applyFill="1" applyBorder="1"/>
    <xf numFmtId="0" fontId="0" fillId="3" borderId="15" xfId="0" applyNumberFormat="1" applyFill="1" applyBorder="1"/>
    <xf numFmtId="0" fontId="6" fillId="6" borderId="7" xfId="0" applyFont="1" applyFill="1" applyBorder="1" applyAlignment="1">
      <alignment horizontal="center"/>
    </xf>
    <xf numFmtId="167" fontId="0" fillId="0" borderId="11" xfId="0" applyNumberFormat="1" applyBorder="1"/>
    <xf numFmtId="167" fontId="0" fillId="0" borderId="0" xfId="0" applyNumberFormat="1" applyBorder="1"/>
    <xf numFmtId="167" fontId="0" fillId="4" borderId="0" xfId="0" applyNumberFormat="1" applyFill="1" applyBorder="1"/>
    <xf numFmtId="164" fontId="6" fillId="6" borderId="13" xfId="0" applyNumberFormat="1" applyFont="1" applyFill="1" applyBorder="1" applyAlignment="1">
      <alignment horizontal="center" vertical="center"/>
    </xf>
    <xf numFmtId="170" fontId="0" fillId="0" borderId="6" xfId="0" applyNumberFormat="1" applyFont="1" applyFill="1" applyBorder="1"/>
    <xf numFmtId="170" fontId="0" fillId="0" borderId="2" xfId="0" applyNumberFormat="1" applyFont="1" applyFill="1" applyBorder="1"/>
    <xf numFmtId="170" fontId="0" fillId="0" borderId="5" xfId="0" applyNumberFormat="1" applyFont="1" applyFill="1" applyBorder="1"/>
    <xf numFmtId="170" fontId="0" fillId="13" borderId="5" xfId="0" applyNumberFormat="1" applyFont="1" applyFill="1" applyBorder="1"/>
    <xf numFmtId="170" fontId="0" fillId="13" borderId="2" xfId="0" applyNumberFormat="1" applyFont="1" applyFill="1" applyBorder="1"/>
    <xf numFmtId="170" fontId="0" fillId="13" borderId="13" xfId="0" applyNumberFormat="1" applyFont="1" applyFill="1" applyBorder="1"/>
    <xf numFmtId="170" fontId="0" fillId="0" borderId="13" xfId="0" applyNumberFormat="1" applyFont="1" applyFill="1" applyBorder="1"/>
    <xf numFmtId="170" fontId="0" fillId="14" borderId="5" xfId="0" applyNumberFormat="1" applyFont="1" applyFill="1" applyBorder="1"/>
    <xf numFmtId="170" fontId="0" fillId="14" borderId="13" xfId="0" applyNumberFormat="1" applyFont="1" applyFill="1" applyBorder="1"/>
    <xf numFmtId="170" fontId="0" fillId="14" borderId="2" xfId="0" applyNumberFormat="1" applyFont="1" applyFill="1" applyBorder="1"/>
    <xf numFmtId="0" fontId="0" fillId="0" borderId="6" xfId="0" applyNumberFormat="1" applyFont="1" applyFill="1" applyBorder="1"/>
    <xf numFmtId="0" fontId="0" fillId="0" borderId="2" xfId="0" applyNumberFormat="1" applyFont="1" applyFill="1" applyBorder="1"/>
    <xf numFmtId="0" fontId="0" fillId="0" borderId="5" xfId="0" applyNumberFormat="1" applyFont="1" applyFill="1" applyBorder="1"/>
    <xf numFmtId="0" fontId="0" fillId="13" borderId="5" xfId="0" applyNumberFormat="1" applyFont="1" applyFill="1" applyBorder="1"/>
    <xf numFmtId="0" fontId="0" fillId="13" borderId="2" xfId="0" applyNumberFormat="1" applyFont="1" applyFill="1" applyBorder="1"/>
    <xf numFmtId="0" fontId="0" fillId="13" borderId="13" xfId="0" applyNumberFormat="1" applyFont="1" applyFill="1" applyBorder="1"/>
    <xf numFmtId="0" fontId="0" fillId="0" borderId="13" xfId="0" applyNumberFormat="1" applyFont="1" applyFill="1" applyBorder="1"/>
    <xf numFmtId="0" fontId="0" fillId="14" borderId="5" xfId="0" applyNumberFormat="1" applyFont="1" applyFill="1" applyBorder="1"/>
    <xf numFmtId="0" fontId="0" fillId="14" borderId="13" xfId="0" applyNumberFormat="1" applyFont="1" applyFill="1" applyBorder="1"/>
    <xf numFmtId="0" fontId="0" fillId="14" borderId="2" xfId="0" applyNumberFormat="1" applyFont="1" applyFill="1" applyBorder="1"/>
    <xf numFmtId="164" fontId="6" fillId="6" borderId="2" xfId="0" applyNumberFormat="1" applyFont="1" applyFill="1" applyBorder="1" applyAlignment="1">
      <alignment horizontal="center" vertical="center"/>
    </xf>
    <xf numFmtId="0" fontId="2" fillId="8" borderId="7" xfId="0" applyFont="1" applyFill="1" applyBorder="1" applyAlignment="1">
      <alignment horizontal="center" vertical="center" wrapText="1"/>
    </xf>
    <xf numFmtId="0" fontId="0" fillId="4" borderId="2" xfId="0" applyNumberFormat="1" applyFill="1" applyBorder="1"/>
    <xf numFmtId="0" fontId="0" fillId="4" borderId="5" xfId="0" applyNumberFormat="1" applyFill="1" applyBorder="1"/>
    <xf numFmtId="0" fontId="0" fillId="0" borderId="5" xfId="0" applyNumberFormat="1" applyBorder="1"/>
    <xf numFmtId="0" fontId="0" fillId="0" borderId="6" xfId="0" applyNumberFormat="1" applyFill="1" applyBorder="1"/>
    <xf numFmtId="0" fontId="0" fillId="4" borderId="6" xfId="0" applyNumberFormat="1" applyFill="1" applyBorder="1"/>
    <xf numFmtId="0" fontId="0" fillId="9" borderId="7" xfId="0" applyFill="1" applyBorder="1" applyAlignment="1">
      <alignment horizontal="center" vertical="center" wrapText="1"/>
    </xf>
    <xf numFmtId="0" fontId="0" fillId="7" borderId="7" xfId="0" applyFill="1" applyBorder="1" applyAlignment="1">
      <alignment horizontal="center" vertical="center" wrapText="1"/>
    </xf>
    <xf numFmtId="0" fontId="0" fillId="6" borderId="7" xfId="0" applyFill="1" applyBorder="1" applyAlignment="1">
      <alignment horizontal="center" vertical="center"/>
    </xf>
    <xf numFmtId="0" fontId="0" fillId="9" borderId="10" xfId="0" applyFill="1" applyBorder="1" applyAlignment="1">
      <alignment horizontal="center" vertical="center" wrapText="1"/>
    </xf>
    <xf numFmtId="0" fontId="0" fillId="7" borderId="16" xfId="0" applyFill="1" applyBorder="1" applyAlignment="1">
      <alignment horizontal="center" vertical="center" wrapText="1"/>
    </xf>
    <xf numFmtId="0" fontId="5" fillId="0" borderId="0" xfId="0" applyNumberFormat="1" applyFont="1"/>
    <xf numFmtId="0" fontId="5" fillId="8" borderId="16" xfId="0" applyNumberFormat="1" applyFont="1" applyFill="1" applyBorder="1" applyAlignment="1">
      <alignment horizontal="center" vertical="center" wrapText="1"/>
    </xf>
    <xf numFmtId="0" fontId="5" fillId="8" borderId="16" xfId="0" applyFont="1" applyFill="1" applyBorder="1" applyAlignment="1">
      <alignment horizontal="center" vertical="center" wrapText="1"/>
    </xf>
    <xf numFmtId="0" fontId="0" fillId="8" borderId="16" xfId="0" applyNumberFormat="1" applyFill="1" applyBorder="1" applyAlignment="1">
      <alignment horizontal="center" vertical="center" wrapText="1"/>
    </xf>
    <xf numFmtId="167" fontId="0" fillId="0" borderId="0" xfId="0" applyNumberFormat="1" applyFill="1" applyBorder="1"/>
    <xf numFmtId="1" fontId="8" fillId="6" borderId="8" xfId="0" applyNumberFormat="1" applyFont="1" applyFill="1" applyBorder="1" applyAlignment="1">
      <alignment horizontal="right" vertical="center"/>
    </xf>
    <xf numFmtId="1" fontId="5" fillId="0" borderId="3" xfId="0" applyNumberFormat="1" applyFont="1" applyBorder="1"/>
    <xf numFmtId="1" fontId="5" fillId="0" borderId="4" xfId="0" applyNumberFormat="1" applyFont="1" applyBorder="1"/>
    <xf numFmtId="1" fontId="5" fillId="0" borderId="1" xfId="0" applyNumberFormat="1" applyFont="1" applyBorder="1"/>
    <xf numFmtId="1" fontId="5" fillId="0" borderId="3" xfId="0" applyNumberFormat="1" applyFont="1" applyFill="1" applyBorder="1"/>
    <xf numFmtId="1" fontId="5" fillId="0" borderId="4" xfId="0" applyNumberFormat="1" applyFont="1" applyFill="1" applyBorder="1"/>
    <xf numFmtId="1" fontId="5" fillId="0" borderId="1" xfId="0" applyNumberFormat="1" applyFont="1" applyFill="1" applyBorder="1"/>
    <xf numFmtId="1" fontId="5" fillId="4" borderId="1" xfId="0" applyNumberFormat="1" applyFont="1" applyFill="1" applyBorder="1"/>
    <xf numFmtId="1" fontId="5" fillId="4" borderId="3" xfId="0" applyNumberFormat="1" applyFont="1" applyFill="1" applyBorder="1"/>
    <xf numFmtId="1" fontId="5" fillId="4" borderId="4" xfId="0" applyNumberFormat="1" applyFont="1" applyFill="1" applyBorder="1"/>
    <xf numFmtId="1" fontId="0" fillId="0" borderId="6" xfId="0" applyNumberFormat="1" applyBorder="1"/>
    <xf numFmtId="1" fontId="0" fillId="0" borderId="3" xfId="0" applyNumberFormat="1" applyBorder="1"/>
    <xf numFmtId="1" fontId="0" fillId="0" borderId="3" xfId="0" applyNumberFormat="1" applyFill="1" applyBorder="1"/>
    <xf numFmtId="1" fontId="0" fillId="4" borderId="3" xfId="0" applyNumberFormat="1" applyFill="1" applyBorder="1"/>
    <xf numFmtId="1" fontId="6" fillId="6" borderId="10" xfId="0" applyNumberFormat="1" applyFont="1" applyFill="1" applyBorder="1" applyAlignment="1">
      <alignment horizontal="center" vertical="center"/>
    </xf>
    <xf numFmtId="1" fontId="0" fillId="0" borderId="11" xfId="0" applyNumberFormat="1" applyBorder="1"/>
    <xf numFmtId="1" fontId="0" fillId="0" borderId="0" xfId="0" applyNumberFormat="1" applyBorder="1"/>
    <xf numFmtId="1" fontId="0" fillId="0" borderId="0" xfId="0" applyNumberFormat="1" applyFill="1" applyBorder="1"/>
    <xf numFmtId="1" fontId="0" fillId="4" borderId="0" xfId="0" applyNumberFormat="1" applyFill="1" applyBorder="1"/>
    <xf numFmtId="1" fontId="6" fillId="6" borderId="7" xfId="0" applyNumberFormat="1" applyFont="1" applyFill="1" applyBorder="1" applyAlignment="1">
      <alignment horizontal="center" vertical="center"/>
    </xf>
    <xf numFmtId="4" fontId="6" fillId="6" borderId="8" xfId="0" applyNumberFormat="1" applyFont="1" applyFill="1" applyBorder="1" applyAlignment="1">
      <alignment horizontal="right"/>
    </xf>
    <xf numFmtId="4" fontId="6" fillId="6" borderId="9" xfId="0" applyNumberFormat="1" applyFont="1" applyFill="1" applyBorder="1" applyAlignment="1">
      <alignment horizontal="right"/>
    </xf>
    <xf numFmtId="4" fontId="0" fillId="0" borderId="3" xfId="0" applyNumberFormat="1" applyBorder="1"/>
    <xf numFmtId="4" fontId="0" fillId="0" borderId="13" xfId="0" applyNumberFormat="1" applyBorder="1"/>
    <xf numFmtId="4" fontId="0" fillId="0" borderId="4" xfId="0" applyNumberFormat="1" applyBorder="1"/>
    <xf numFmtId="4" fontId="0" fillId="0" borderId="15" xfId="0" applyNumberFormat="1" applyBorder="1"/>
    <xf numFmtId="4" fontId="0" fillId="0" borderId="1" xfId="0" applyNumberFormat="1" applyBorder="1"/>
    <xf numFmtId="4" fontId="0" fillId="0" borderId="12" xfId="0" applyNumberFormat="1" applyBorder="1"/>
    <xf numFmtId="4" fontId="0" fillId="0" borderId="13" xfId="0" applyNumberFormat="1" applyFill="1" applyBorder="1"/>
    <xf numFmtId="4" fontId="0" fillId="0" borderId="15" xfId="0" applyNumberFormat="1" applyFill="1" applyBorder="1"/>
    <xf numFmtId="4" fontId="0" fillId="0" borderId="12" xfId="0" applyNumberFormat="1" applyFill="1" applyBorder="1"/>
    <xf numFmtId="4" fontId="0" fillId="4" borderId="12" xfId="0" applyNumberFormat="1" applyFill="1" applyBorder="1"/>
    <xf numFmtId="4" fontId="0" fillId="4" borderId="13" xfId="0" applyNumberFormat="1" applyFill="1" applyBorder="1"/>
    <xf numFmtId="4" fontId="0" fillId="4" borderId="15" xfId="0" applyNumberFormat="1" applyFill="1" applyBorder="1"/>
    <xf numFmtId="164" fontId="6" fillId="6" borderId="8" xfId="0" applyNumberFormat="1" applyFont="1" applyFill="1" applyBorder="1" applyAlignment="1">
      <alignment horizontal="right"/>
    </xf>
    <xf numFmtId="164" fontId="6" fillId="6" borderId="9" xfId="0" applyNumberFormat="1" applyFont="1" applyFill="1" applyBorder="1" applyAlignment="1">
      <alignment horizontal="right"/>
    </xf>
    <xf numFmtId="1" fontId="8" fillId="6" borderId="9" xfId="0" applyNumberFormat="1" applyFont="1" applyFill="1" applyBorder="1" applyAlignment="1">
      <alignment horizontal="right" vertical="center"/>
    </xf>
    <xf numFmtId="1" fontId="5" fillId="0" borderId="5" xfId="0" applyNumberFormat="1" applyFont="1" applyBorder="1"/>
    <xf numFmtId="1" fontId="5" fillId="0" borderId="5" xfId="0" applyNumberFormat="1" applyFont="1" applyFill="1" applyBorder="1"/>
    <xf numFmtId="1" fontId="5" fillId="0" borderId="6" xfId="0" applyNumberFormat="1" applyFont="1" applyFill="1" applyBorder="1"/>
    <xf numFmtId="1" fontId="5" fillId="4" borderId="6" xfId="0" applyNumberFormat="1" applyFont="1" applyFill="1" applyBorder="1"/>
    <xf numFmtId="1" fontId="5" fillId="4" borderId="5" xfId="0" applyNumberFormat="1" applyFont="1" applyFill="1" applyBorder="1"/>
    <xf numFmtId="0" fontId="0" fillId="4" borderId="0" xfId="0" applyFill="1"/>
    <xf numFmtId="0" fontId="6" fillId="6" borderId="16" xfId="0" applyFont="1" applyFill="1" applyBorder="1" applyAlignment="1">
      <alignment horizontal="right" vertical="center"/>
    </xf>
    <xf numFmtId="9" fontId="0" fillId="0" borderId="12" xfId="0" applyNumberFormat="1" applyFill="1" applyBorder="1"/>
    <xf numFmtId="0" fontId="0" fillId="6" borderId="10" xfId="0" applyFill="1" applyBorder="1" applyAlignment="1"/>
    <xf numFmtId="170" fontId="0" fillId="4" borderId="0" xfId="0" applyNumberFormat="1" applyFill="1" applyBorder="1"/>
    <xf numFmtId="4" fontId="0" fillId="0" borderId="3" xfId="0" applyNumberFormat="1" applyFill="1" applyBorder="1"/>
    <xf numFmtId="4" fontId="0" fillId="0" borderId="4" xfId="0" applyNumberFormat="1" applyFill="1" applyBorder="1"/>
    <xf numFmtId="4" fontId="0" fillId="0" borderId="1" xfId="0" applyNumberFormat="1" applyFill="1" applyBorder="1"/>
    <xf numFmtId="4" fontId="0" fillId="4" borderId="1" xfId="0" applyNumberFormat="1" applyFill="1" applyBorder="1"/>
    <xf numFmtId="4" fontId="0" fillId="4" borderId="3" xfId="0" applyNumberFormat="1" applyFill="1" applyBorder="1"/>
    <xf numFmtId="4" fontId="0" fillId="4" borderId="4" xfId="0" applyNumberFormat="1" applyFill="1" applyBorder="1"/>
    <xf numFmtId="170" fontId="0" fillId="0" borderId="11" xfId="0" applyNumberFormat="1" applyBorder="1"/>
    <xf numFmtId="170" fontId="0" fillId="0" borderId="0" xfId="0" applyNumberFormat="1" applyBorder="1"/>
    <xf numFmtId="170" fontId="0" fillId="0" borderId="16" xfId="0" applyNumberFormat="1" applyBorder="1"/>
    <xf numFmtId="170" fontId="0" fillId="0" borderId="0" xfId="0" applyNumberFormat="1" applyFill="1" applyBorder="1"/>
    <xf numFmtId="170" fontId="0" fillId="0" borderId="16" xfId="0" applyNumberFormat="1" applyFill="1" applyBorder="1"/>
    <xf numFmtId="170" fontId="0" fillId="0" borderId="11" xfId="0" applyNumberFormat="1" applyFill="1" applyBorder="1"/>
    <xf numFmtId="170" fontId="0" fillId="4" borderId="11" xfId="0" applyNumberFormat="1" applyFill="1" applyBorder="1"/>
    <xf numFmtId="170" fontId="0" fillId="4" borderId="16" xfId="0" applyNumberFormat="1" applyFill="1" applyBorder="1"/>
    <xf numFmtId="170" fontId="0" fillId="0" borderId="0" xfId="0" applyNumberFormat="1"/>
    <xf numFmtId="164" fontId="0" fillId="6" borderId="8" xfId="0" applyNumberFormat="1" applyFill="1" applyBorder="1" applyAlignment="1"/>
    <xf numFmtId="164" fontId="6" fillId="6" borderId="1" xfId="0" applyNumberFormat="1" applyFont="1" applyFill="1" applyBorder="1" applyAlignment="1">
      <alignment horizontal="right" vertical="center" wrapText="1"/>
    </xf>
    <xf numFmtId="2" fontId="0" fillId="0" borderId="1" xfId="0" applyNumberFormat="1" applyFill="1" applyBorder="1"/>
    <xf numFmtId="2" fontId="0" fillId="0" borderId="11" xfId="0" applyNumberFormat="1" applyFont="1" applyFill="1" applyBorder="1"/>
    <xf numFmtId="2" fontId="0" fillId="0" borderId="0" xfId="0" applyNumberFormat="1" applyFont="1" applyFill="1" applyBorder="1"/>
    <xf numFmtId="2" fontId="0" fillId="0" borderId="16" xfId="0" applyNumberFormat="1" applyFont="1" applyFill="1" applyBorder="1"/>
    <xf numFmtId="0" fontId="0" fillId="5" borderId="8" xfId="0" applyFill="1" applyBorder="1" applyAlignment="1">
      <alignment horizontal="center" vertical="center" wrapText="1"/>
    </xf>
    <xf numFmtId="0" fontId="2" fillId="11" borderId="10" xfId="0" applyFont="1" applyFill="1" applyBorder="1" applyAlignment="1">
      <alignment horizontal="center" vertical="center" wrapText="1"/>
    </xf>
    <xf numFmtId="174" fontId="0" fillId="0" borderId="0" xfId="0" applyNumberFormat="1"/>
    <xf numFmtId="10" fontId="6" fillId="6" borderId="2" xfId="0" applyNumberFormat="1" applyFont="1" applyFill="1" applyBorder="1" applyAlignment="1">
      <alignment horizontal="center" vertical="center"/>
    </xf>
    <xf numFmtId="164" fontId="5" fillId="7" borderId="9" xfId="0" applyNumberFormat="1" applyFont="1" applyFill="1" applyBorder="1" applyAlignment="1">
      <alignment horizontal="center" vertical="center"/>
    </xf>
    <xf numFmtId="164" fontId="0" fillId="7" borderId="8" xfId="0" applyNumberFormat="1" applyFill="1" applyBorder="1" applyAlignment="1">
      <alignment horizontal="center" vertical="center"/>
    </xf>
    <xf numFmtId="164" fontId="0" fillId="7" borderId="9" xfId="0" applyNumberFormat="1" applyFill="1" applyBorder="1" applyAlignment="1">
      <alignment horizontal="center" vertical="center"/>
    </xf>
    <xf numFmtId="164" fontId="5" fillId="7" borderId="8" xfId="0" applyNumberFormat="1" applyFont="1" applyFill="1" applyBorder="1" applyAlignment="1">
      <alignment horizontal="center" vertical="center"/>
    </xf>
    <xf numFmtId="0" fontId="2" fillId="8" borderId="7" xfId="0" applyFont="1" applyFill="1" applyBorder="1" applyAlignment="1">
      <alignment horizontal="center"/>
    </xf>
    <xf numFmtId="14" fontId="0" fillId="0" borderId="0" xfId="0" applyNumberFormat="1" applyFill="1" applyBorder="1"/>
    <xf numFmtId="174" fontId="0" fillId="0" borderId="1" xfId="0" applyNumberFormat="1" applyBorder="1"/>
    <xf numFmtId="174" fontId="0" fillId="0" borderId="3" xfId="0" applyNumberFormat="1" applyBorder="1"/>
    <xf numFmtId="174" fontId="0" fillId="0" borderId="4" xfId="0" applyNumberFormat="1" applyBorder="1"/>
    <xf numFmtId="174" fontId="0" fillId="0" borderId="3" xfId="0" applyNumberFormat="1" applyFill="1" applyBorder="1"/>
    <xf numFmtId="174" fontId="0" fillId="0" borderId="4" xfId="0" applyNumberFormat="1" applyFill="1" applyBorder="1"/>
    <xf numFmtId="174" fontId="0" fillId="0" borderId="1" xfId="0" applyNumberFormat="1" applyFill="1" applyBorder="1"/>
    <xf numFmtId="174" fontId="0" fillId="4" borderId="5" xfId="0" applyNumberFormat="1" applyFill="1" applyBorder="1"/>
    <xf numFmtId="174" fontId="0" fillId="4" borderId="6" xfId="0" applyNumberFormat="1" applyFill="1" applyBorder="1"/>
    <xf numFmtId="174" fontId="0" fillId="4" borderId="2" xfId="0" applyNumberFormat="1" applyFill="1" applyBorder="1"/>
    <xf numFmtId="174" fontId="0" fillId="0" borderId="6" xfId="0" applyNumberFormat="1" applyBorder="1"/>
    <xf numFmtId="174" fontId="0" fillId="0" borderId="2" xfId="0" applyNumberFormat="1" applyBorder="1"/>
    <xf numFmtId="174" fontId="0" fillId="0" borderId="2" xfId="0" applyNumberFormat="1" applyFill="1" applyBorder="1"/>
    <xf numFmtId="0" fontId="6" fillId="6" borderId="18" xfId="0" applyNumberFormat="1" applyFont="1" applyFill="1" applyBorder="1" applyAlignment="1">
      <alignment horizontal="center" vertical="center"/>
    </xf>
    <xf numFmtId="9" fontId="0" fillId="0" borderId="15" xfId="0" applyNumberFormat="1" applyFill="1" applyBorder="1"/>
    <xf numFmtId="14" fontId="0" fillId="2" borderId="4" xfId="0" applyNumberFormat="1" applyFill="1" applyBorder="1"/>
    <xf numFmtId="14" fontId="0" fillId="2" borderId="15" xfId="0" applyNumberFormat="1" applyFill="1" applyBorder="1"/>
    <xf numFmtId="174" fontId="0" fillId="0" borderId="5" xfId="0" applyNumberFormat="1" applyFill="1" applyBorder="1"/>
    <xf numFmtId="167" fontId="0" fillId="0" borderId="0" xfId="0" applyNumberFormat="1"/>
    <xf numFmtId="164" fontId="0" fillId="4" borderId="1" xfId="0" applyNumberFormat="1" applyFill="1" applyBorder="1"/>
    <xf numFmtId="164" fontId="0" fillId="17" borderId="3" xfId="0" applyNumberFormat="1" applyFill="1" applyBorder="1"/>
    <xf numFmtId="164" fontId="0" fillId="17" borderId="13" xfId="0" applyNumberFormat="1" applyFill="1" applyBorder="1"/>
    <xf numFmtId="0" fontId="0" fillId="4" borderId="1" xfId="0" applyNumberFormat="1" applyFill="1" applyBorder="1"/>
    <xf numFmtId="0" fontId="0" fillId="4" borderId="11" xfId="0" applyNumberFormat="1" applyFill="1" applyBorder="1"/>
    <xf numFmtId="0" fontId="0" fillId="4" borderId="0" xfId="0" applyNumberFormat="1" applyFill="1" applyBorder="1"/>
    <xf numFmtId="0" fontId="0" fillId="4" borderId="4" xfId="0" applyNumberFormat="1" applyFill="1" applyBorder="1"/>
    <xf numFmtId="0" fontId="0" fillId="4" borderId="16" xfId="0" applyNumberFormat="1" applyFill="1" applyBorder="1"/>
    <xf numFmtId="9" fontId="0" fillId="4" borderId="0" xfId="64" applyNumberFormat="1" applyFont="1" applyFill="1" applyBorder="1"/>
    <xf numFmtId="9" fontId="0" fillId="4" borderId="11" xfId="64" applyNumberFormat="1" applyFont="1" applyFill="1" applyBorder="1"/>
    <xf numFmtId="9" fontId="0" fillId="4" borderId="3" xfId="64" applyNumberFormat="1" applyFont="1" applyFill="1" applyBorder="1"/>
    <xf numFmtId="9" fontId="0" fillId="4" borderId="1" xfId="64" applyNumberFormat="1" applyFont="1" applyFill="1" applyBorder="1"/>
    <xf numFmtId="9" fontId="0" fillId="4" borderId="15" xfId="64" applyNumberFormat="1" applyFont="1" applyFill="1" applyBorder="1"/>
    <xf numFmtId="0" fontId="0" fillId="0" borderId="11" xfId="0" applyNumberFormat="1" applyBorder="1"/>
    <xf numFmtId="2" fontId="0" fillId="0" borderId="12" xfId="0" applyNumberFormat="1" applyBorder="1"/>
    <xf numFmtId="0" fontId="0" fillId="0" borderId="0" xfId="0" applyNumberFormat="1" applyBorder="1"/>
    <xf numFmtId="2" fontId="0" fillId="0" borderId="13" xfId="0" applyNumberFormat="1" applyBorder="1"/>
    <xf numFmtId="0" fontId="0" fillId="0" borderId="4" xfId="0" applyNumberFormat="1" applyBorder="1"/>
    <xf numFmtId="0" fontId="0" fillId="0" borderId="16" xfId="0" applyNumberFormat="1" applyBorder="1"/>
    <xf numFmtId="2" fontId="0" fillId="0" borderId="15" xfId="0" applyNumberFormat="1" applyBorder="1"/>
    <xf numFmtId="2" fontId="0" fillId="4" borderId="1" xfId="0" applyNumberFormat="1" applyFill="1" applyBorder="1"/>
    <xf numFmtId="2" fontId="0" fillId="4" borderId="12" xfId="0" applyNumberFormat="1" applyFill="1" applyBorder="1"/>
    <xf numFmtId="2" fontId="0" fillId="4" borderId="3" xfId="0" applyNumberFormat="1" applyFill="1" applyBorder="1"/>
    <xf numFmtId="2" fontId="0" fillId="4" borderId="13" xfId="0" applyNumberFormat="1" applyFill="1" applyBorder="1"/>
    <xf numFmtId="2" fontId="0" fillId="4" borderId="4" xfId="0" applyNumberFormat="1" applyFill="1" applyBorder="1"/>
    <xf numFmtId="2" fontId="0" fillId="4" borderId="15" xfId="0" applyNumberFormat="1" applyFill="1" applyBorder="1"/>
    <xf numFmtId="9" fontId="0" fillId="0" borderId="11" xfId="0" applyNumberFormat="1" applyBorder="1"/>
    <xf numFmtId="170" fontId="0" fillId="0" borderId="12" xfId="0" applyNumberFormat="1" applyBorder="1"/>
    <xf numFmtId="9" fontId="0" fillId="0" borderId="0" xfId="0" applyNumberFormat="1" applyBorder="1"/>
    <xf numFmtId="170" fontId="0" fillId="0" borderId="13" xfId="0" applyNumberFormat="1" applyBorder="1"/>
    <xf numFmtId="9" fontId="0" fillId="0" borderId="16" xfId="0" applyNumberFormat="1" applyBorder="1"/>
    <xf numFmtId="170" fontId="0" fillId="0" borderId="4" xfId="0" applyNumberFormat="1" applyBorder="1"/>
    <xf numFmtId="170" fontId="0" fillId="0" borderId="15" xfId="0" applyNumberFormat="1" applyBorder="1"/>
    <xf numFmtId="9" fontId="0" fillId="0" borderId="0" xfId="0" applyNumberFormat="1" applyFill="1" applyBorder="1"/>
    <xf numFmtId="170" fontId="0" fillId="0" borderId="13" xfId="0" applyNumberFormat="1" applyFill="1" applyBorder="1"/>
    <xf numFmtId="9" fontId="0" fillId="0" borderId="16" xfId="0" applyNumberFormat="1" applyFill="1" applyBorder="1"/>
    <xf numFmtId="170" fontId="0" fillId="0" borderId="4" xfId="0" applyNumberFormat="1" applyFill="1" applyBorder="1"/>
    <xf numFmtId="170" fontId="0" fillId="0" borderId="15" xfId="0" applyNumberFormat="1" applyFill="1" applyBorder="1"/>
    <xf numFmtId="9" fontId="0" fillId="0" borderId="11" xfId="0" applyNumberFormat="1" applyFill="1" applyBorder="1"/>
    <xf numFmtId="170" fontId="0" fillId="0" borderId="1" xfId="0" applyNumberFormat="1" applyFill="1" applyBorder="1"/>
    <xf numFmtId="170" fontId="0" fillId="0" borderId="12" xfId="0" applyNumberFormat="1" applyFill="1" applyBorder="1"/>
    <xf numFmtId="0" fontId="0" fillId="0" borderId="11" xfId="0" applyNumberFormat="1" applyFill="1" applyBorder="1"/>
    <xf numFmtId="164" fontId="0" fillId="4" borderId="3" xfId="64" applyNumberFormat="1" applyFont="1" applyFill="1" applyBorder="1"/>
    <xf numFmtId="164" fontId="0" fillId="4" borderId="0" xfId="64" applyNumberFormat="1" applyFont="1" applyFill="1" applyBorder="1"/>
    <xf numFmtId="170" fontId="0" fillId="4" borderId="3" xfId="64" applyNumberFormat="1" applyFont="1" applyFill="1" applyBorder="1"/>
    <xf numFmtId="170" fontId="0" fillId="4" borderId="0" xfId="64" applyNumberFormat="1" applyFont="1" applyFill="1" applyBorder="1"/>
    <xf numFmtId="170" fontId="0" fillId="4" borderId="13" xfId="64" applyNumberFormat="1" applyFont="1" applyFill="1" applyBorder="1"/>
    <xf numFmtId="170" fontId="0" fillId="4" borderId="15" xfId="64" applyNumberFormat="1" applyFont="1" applyFill="1" applyBorder="1"/>
    <xf numFmtId="164" fontId="0" fillId="4" borderId="1" xfId="64" applyNumberFormat="1" applyFont="1" applyFill="1" applyBorder="1"/>
    <xf numFmtId="164" fontId="0" fillId="4" borderId="11" xfId="64" applyNumberFormat="1" applyFont="1" applyFill="1" applyBorder="1"/>
    <xf numFmtId="170" fontId="0" fillId="4" borderId="1" xfId="64" applyNumberFormat="1" applyFont="1" applyFill="1" applyBorder="1"/>
    <xf numFmtId="170" fontId="0" fillId="4" borderId="11" xfId="64" applyNumberFormat="1" applyFont="1" applyFill="1" applyBorder="1"/>
    <xf numFmtId="170" fontId="0" fillId="4" borderId="12" xfId="64" applyNumberFormat="1" applyFont="1" applyFill="1" applyBorder="1"/>
    <xf numFmtId="170" fontId="0" fillId="4" borderId="4" xfId="64" applyNumberFormat="1" applyFont="1" applyFill="1" applyBorder="1"/>
    <xf numFmtId="170" fontId="0" fillId="4" borderId="16" xfId="64" applyNumberFormat="1" applyFont="1" applyFill="1" applyBorder="1"/>
    <xf numFmtId="164" fontId="0" fillId="4" borderId="13" xfId="64" applyNumberFormat="1" applyFont="1" applyFill="1" applyBorder="1"/>
    <xf numFmtId="9" fontId="0" fillId="4" borderId="3" xfId="1" applyNumberFormat="1" applyFont="1" applyFill="1" applyBorder="1"/>
    <xf numFmtId="1" fontId="5" fillId="0" borderId="12" xfId="0" applyNumberFormat="1" applyFont="1" applyFill="1" applyBorder="1"/>
    <xf numFmtId="174" fontId="0" fillId="0" borderId="6" xfId="0" applyNumberFormat="1" applyFill="1" applyBorder="1"/>
    <xf numFmtId="0" fontId="0" fillId="0" borderId="11" xfId="0" applyFill="1" applyBorder="1"/>
    <xf numFmtId="0" fontId="0" fillId="0" borderId="1" xfId="0" applyNumberFormat="1" applyFill="1" applyBorder="1"/>
    <xf numFmtId="2" fontId="0" fillId="0" borderId="12" xfId="0" applyNumberFormat="1" applyFill="1" applyBorder="1"/>
    <xf numFmtId="14" fontId="0" fillId="4" borderId="6" xfId="0" applyNumberFormat="1" applyFill="1" applyBorder="1" applyAlignment="1">
      <alignment horizontal="center"/>
    </xf>
    <xf numFmtId="166" fontId="0" fillId="4" borderId="12" xfId="0" applyNumberFormat="1" applyFill="1" applyBorder="1"/>
    <xf numFmtId="14" fontId="0" fillId="4" borderId="2" xfId="0" applyNumberFormat="1" applyFill="1" applyBorder="1" applyAlignment="1">
      <alignment horizontal="center"/>
    </xf>
    <xf numFmtId="166" fontId="0" fillId="4" borderId="13" xfId="0" applyNumberFormat="1" applyFill="1" applyBorder="1"/>
    <xf numFmtId="14" fontId="0" fillId="4" borderId="5" xfId="0" applyNumberFormat="1" applyFill="1" applyBorder="1" applyAlignment="1">
      <alignment horizontal="center"/>
    </xf>
    <xf numFmtId="166" fontId="0" fillId="4" borderId="15" xfId="0" applyNumberFormat="1" applyFill="1" applyBorder="1"/>
    <xf numFmtId="2" fontId="0" fillId="4" borderId="0" xfId="0" applyNumberFormat="1" applyFill="1" applyBorder="1"/>
    <xf numFmtId="2" fontId="0" fillId="4" borderId="16" xfId="0" applyNumberFormat="1" applyFont="1" applyFill="1" applyBorder="1"/>
    <xf numFmtId="166" fontId="0" fillId="4" borderId="15" xfId="0" applyNumberFormat="1" applyFont="1" applyFill="1" applyBorder="1"/>
    <xf numFmtId="2" fontId="0" fillId="4" borderId="11" xfId="0" applyNumberFormat="1" applyFont="1" applyFill="1" applyBorder="1"/>
    <xf numFmtId="166" fontId="0" fillId="4" borderId="12" xfId="0" applyNumberFormat="1" applyFont="1" applyFill="1" applyBorder="1"/>
    <xf numFmtId="2" fontId="0" fillId="4" borderId="0" xfId="0" applyNumberFormat="1" applyFont="1" applyFill="1" applyBorder="1"/>
    <xf numFmtId="166" fontId="0" fillId="4" borderId="13" xfId="0" applyNumberFormat="1" applyFont="1" applyFill="1" applyBorder="1"/>
    <xf numFmtId="10" fontId="21" fillId="0" borderId="3" xfId="0" applyNumberFormat="1" applyFont="1" applyFill="1" applyBorder="1"/>
    <xf numFmtId="10" fontId="21" fillId="0" borderId="13" xfId="0" applyNumberFormat="1" applyFont="1" applyFill="1" applyBorder="1"/>
    <xf numFmtId="9" fontId="0" fillId="0" borderId="13" xfId="64" applyNumberFormat="1" applyFont="1" applyFill="1" applyBorder="1"/>
    <xf numFmtId="164" fontId="0" fillId="17" borderId="2" xfId="0" applyNumberFormat="1" applyFill="1" applyBorder="1"/>
    <xf numFmtId="2" fontId="0" fillId="0" borderId="0" xfId="0" applyNumberFormat="1" applyFill="1" applyBorder="1"/>
    <xf numFmtId="2" fontId="0" fillId="0" borderId="4" xfId="0" applyNumberFormat="1" applyFill="1" applyBorder="1"/>
    <xf numFmtId="2" fontId="0" fillId="0" borderId="4" xfId="0" applyNumberFormat="1" applyFill="1" applyBorder="1"/>
    <xf numFmtId="2" fontId="0" fillId="0" borderId="3" xfId="0" applyNumberFormat="1" applyFill="1" applyBorder="1"/>
    <xf numFmtId="166" fontId="0" fillId="0" borderId="13" xfId="0" applyNumberFormat="1" applyFill="1" applyBorder="1"/>
    <xf numFmtId="0" fontId="0" fillId="0" borderId="3" xfId="0" applyFill="1" applyBorder="1"/>
    <xf numFmtId="2" fontId="0" fillId="0" borderId="4" xfId="0" applyNumberFormat="1" applyFill="1" applyBorder="1"/>
    <xf numFmtId="14" fontId="0" fillId="0" borderId="2" xfId="0" applyNumberFormat="1" applyFill="1" applyBorder="1" applyAlignment="1">
      <alignment horizontal="center"/>
    </xf>
    <xf numFmtId="2" fontId="0" fillId="0" borderId="0" xfId="0" applyNumberFormat="1" applyFill="1" applyBorder="1"/>
    <xf numFmtId="2" fontId="0" fillId="0" borderId="13" xfId="0" applyNumberFormat="1" applyFill="1" applyBorder="1"/>
    <xf numFmtId="1" fontId="0" fillId="0" borderId="16" xfId="0" applyNumberFormat="1" applyBorder="1"/>
    <xf numFmtId="1" fontId="0" fillId="0" borderId="15" xfId="0" applyNumberFormat="1" applyBorder="1"/>
    <xf numFmtId="1" fontId="0" fillId="0" borderId="16" xfId="0" applyNumberFormat="1" applyFill="1" applyBorder="1"/>
    <xf numFmtId="1" fontId="0" fillId="0" borderId="15" xfId="0" applyNumberFormat="1" applyFill="1" applyBorder="1"/>
    <xf numFmtId="1" fontId="0" fillId="0" borderId="11" xfId="0" applyNumberFormat="1" applyFill="1" applyBorder="1"/>
    <xf numFmtId="1" fontId="0" fillId="0" borderId="12" xfId="0" applyNumberFormat="1" applyFill="1" applyBorder="1"/>
    <xf numFmtId="1" fontId="0" fillId="4" borderId="1" xfId="0" applyNumberFormat="1" applyFill="1" applyBorder="1"/>
    <xf numFmtId="1" fontId="0" fillId="4" borderId="11" xfId="0" applyNumberFormat="1" applyFill="1" applyBorder="1"/>
    <xf numFmtId="1" fontId="0" fillId="4" borderId="12" xfId="0" applyNumberFormat="1" applyFill="1" applyBorder="1"/>
    <xf numFmtId="167" fontId="0" fillId="0" borderId="12" xfId="0" applyNumberFormat="1" applyBorder="1"/>
    <xf numFmtId="167" fontId="0" fillId="0" borderId="13" xfId="0" applyNumberFormat="1" applyBorder="1"/>
    <xf numFmtId="167" fontId="0" fillId="0" borderId="16" xfId="0" applyNumberFormat="1" applyBorder="1"/>
    <xf numFmtId="167" fontId="0" fillId="0" borderId="15" xfId="0" applyNumberFormat="1" applyBorder="1"/>
    <xf numFmtId="167" fontId="0" fillId="0" borderId="13" xfId="0" applyNumberFormat="1" applyFill="1" applyBorder="1"/>
    <xf numFmtId="167" fontId="0" fillId="0" borderId="16" xfId="0" applyNumberFormat="1" applyFill="1" applyBorder="1"/>
    <xf numFmtId="167" fontId="0" fillId="0" borderId="15" xfId="0" applyNumberFormat="1" applyFill="1" applyBorder="1"/>
    <xf numFmtId="167" fontId="0" fillId="0" borderId="11" xfId="0" applyNumberFormat="1" applyFill="1" applyBorder="1"/>
    <xf numFmtId="167" fontId="0" fillId="0" borderId="12" xfId="0" applyNumberFormat="1" applyFill="1" applyBorder="1"/>
    <xf numFmtId="167" fontId="0" fillId="4" borderId="13" xfId="0" applyNumberFormat="1" applyFill="1" applyBorder="1"/>
    <xf numFmtId="164" fontId="0" fillId="7" borderId="6" xfId="0" applyNumberFormat="1" applyFill="1" applyBorder="1" applyAlignment="1">
      <alignment horizontal="center" vertical="center" wrapText="1"/>
    </xf>
    <xf numFmtId="164" fontId="0" fillId="7" borderId="5" xfId="0" applyNumberFormat="1" applyFill="1" applyBorder="1" applyAlignment="1">
      <alignment horizontal="center" vertical="center" wrapText="1"/>
    </xf>
    <xf numFmtId="0" fontId="0" fillId="5" borderId="11" xfId="0" applyFill="1" applyBorder="1" applyAlignment="1">
      <alignment horizontal="center" vertical="center" wrapText="1"/>
    </xf>
    <xf numFmtId="0" fontId="0" fillId="9" borderId="13" xfId="0" applyFill="1" applyBorder="1" applyAlignment="1">
      <alignment horizontal="center" vertical="top" wrapText="1"/>
    </xf>
    <xf numFmtId="164" fontId="6" fillId="6" borderId="9" xfId="0" applyNumberFormat="1" applyFont="1" applyFill="1" applyBorder="1" applyAlignment="1">
      <alignment horizontal="right" vertical="top" wrapText="1"/>
    </xf>
    <xf numFmtId="164" fontId="24" fillId="0" borderId="12" xfId="0" applyNumberFormat="1" applyFont="1" applyFill="1" applyBorder="1" applyAlignment="1"/>
    <xf numFmtId="164" fontId="24" fillId="0" borderId="13" xfId="0" applyNumberFormat="1" applyFont="1" applyFill="1" applyBorder="1" applyAlignment="1"/>
    <xf numFmtId="164" fontId="24" fillId="0" borderId="15" xfId="0" applyNumberFormat="1" applyFont="1" applyFill="1" applyBorder="1" applyAlignment="1"/>
    <xf numFmtId="0" fontId="0" fillId="9" borderId="12" xfId="0" applyFill="1" applyBorder="1" applyAlignment="1">
      <alignment horizontal="center"/>
    </xf>
    <xf numFmtId="0" fontId="0" fillId="9" borderId="6" xfId="0" applyFill="1" applyBorder="1" applyAlignment="1">
      <alignment horizontal="center" vertical="top"/>
    </xf>
    <xf numFmtId="164" fontId="23" fillId="6" borderId="9" xfId="0" applyNumberFormat="1" applyFont="1" applyFill="1" applyBorder="1" applyAlignment="1">
      <alignment horizontal="right" vertical="top" wrapText="1"/>
    </xf>
    <xf numFmtId="167" fontId="0" fillId="0" borderId="0" xfId="0" applyNumberFormat="1" applyFill="1" applyBorder="1" applyAlignment="1">
      <alignment horizontal="right"/>
    </xf>
    <xf numFmtId="165" fontId="0" fillId="0" borderId="0" xfId="0" applyNumberFormat="1"/>
    <xf numFmtId="176" fontId="0" fillId="4" borderId="5" xfId="0" applyNumberFormat="1" applyFill="1" applyBorder="1"/>
    <xf numFmtId="176" fontId="0" fillId="4" borderId="6" xfId="0" applyNumberFormat="1" applyFill="1" applyBorder="1"/>
    <xf numFmtId="176" fontId="0" fillId="4" borderId="2" xfId="0" applyNumberFormat="1" applyFill="1" applyBorder="1"/>
    <xf numFmtId="9" fontId="0" fillId="4" borderId="0" xfId="1" applyNumberFormat="1" applyFont="1" applyFill="1" applyBorder="1"/>
    <xf numFmtId="14" fontId="0" fillId="8" borderId="6" xfId="0" applyNumberFormat="1" applyFill="1" applyBorder="1" applyAlignment="1">
      <alignment horizontal="center"/>
    </xf>
    <xf numFmtId="166" fontId="0" fillId="8" borderId="12" xfId="0" applyNumberFormat="1" applyFill="1" applyBorder="1"/>
    <xf numFmtId="2" fontId="0" fillId="8" borderId="1" xfId="0" applyNumberFormat="1" applyFill="1" applyBorder="1"/>
    <xf numFmtId="14" fontId="0" fillId="8" borderId="2" xfId="0" applyNumberFormat="1" applyFill="1" applyBorder="1" applyAlignment="1">
      <alignment horizontal="center"/>
    </xf>
    <xf numFmtId="166" fontId="0" fillId="8" borderId="13" xfId="0" applyNumberFormat="1" applyFill="1" applyBorder="1"/>
    <xf numFmtId="2" fontId="0" fillId="8" borderId="3" xfId="0" applyNumberFormat="1" applyFill="1" applyBorder="1"/>
    <xf numFmtId="14" fontId="0" fillId="8" borderId="5" xfId="0" applyNumberFormat="1" applyFill="1" applyBorder="1" applyAlignment="1">
      <alignment horizontal="center"/>
    </xf>
    <xf numFmtId="166" fontId="0" fillId="8" borderId="15" xfId="0" applyNumberFormat="1" applyFill="1" applyBorder="1"/>
    <xf numFmtId="2" fontId="0" fillId="8" borderId="4" xfId="0" applyNumberFormat="1" applyFill="1" applyBorder="1"/>
    <xf numFmtId="2" fontId="0" fillId="0" borderId="0" xfId="0" applyNumberFormat="1" applyFill="1" applyAlignment="1">
      <alignment horizontal="right"/>
    </xf>
    <xf numFmtId="0" fontId="0" fillId="0" borderId="0" xfId="0" applyFill="1" applyAlignment="1">
      <alignment horizontal="right"/>
    </xf>
    <xf numFmtId="10" fontId="0" fillId="0" borderId="0" xfId="0" applyNumberFormat="1" applyFill="1" applyAlignment="1">
      <alignment horizontal="right"/>
    </xf>
    <xf numFmtId="0" fontId="6" fillId="6" borderId="8" xfId="0" applyFont="1" applyFill="1" applyBorder="1" applyAlignment="1">
      <alignment horizontal="center" vertical="distributed"/>
    </xf>
    <xf numFmtId="0" fontId="6" fillId="6" borderId="10" xfId="0" applyFont="1" applyFill="1" applyBorder="1" applyAlignment="1">
      <alignment horizontal="center" vertical="distributed"/>
    </xf>
    <xf numFmtId="0" fontId="0" fillId="0" borderId="0" xfId="0"/>
    <xf numFmtId="177" fontId="0" fillId="0" borderId="0" xfId="0" applyNumberFormat="1"/>
    <xf numFmtId="14" fontId="0" fillId="2" borderId="3" xfId="0" applyNumberFormat="1" applyFill="1" applyBorder="1"/>
    <xf numFmtId="14" fontId="0" fillId="2" borderId="13" xfId="0" applyNumberFormat="1" applyFill="1" applyBorder="1"/>
    <xf numFmtId="164" fontId="0" fillId="2" borderId="3" xfId="0" applyNumberFormat="1" applyFill="1" applyBorder="1"/>
    <xf numFmtId="164" fontId="0" fillId="2" borderId="13" xfId="0" applyNumberFormat="1" applyFill="1" applyBorder="1"/>
    <xf numFmtId="17" fontId="0" fillId="0" borderId="0" xfId="0" applyNumberFormat="1"/>
    <xf numFmtId="10" fontId="0" fillId="7" borderId="16" xfId="0" applyNumberFormat="1" applyFill="1" applyBorder="1" applyAlignment="1">
      <alignment horizontal="center" vertical="distributed"/>
    </xf>
    <xf numFmtId="166" fontId="0" fillId="0" borderId="11" xfId="0" applyNumberFormat="1" applyBorder="1"/>
    <xf numFmtId="166" fontId="0" fillId="11" borderId="0" xfId="0" applyNumberFormat="1" applyFill="1" applyBorder="1"/>
    <xf numFmtId="166" fontId="0" fillId="11" borderId="16" xfId="0" applyNumberFormat="1" applyFill="1" applyBorder="1"/>
    <xf numFmtId="166" fontId="0" fillId="11" borderId="11" xfId="0" applyNumberFormat="1" applyFill="1" applyBorder="1"/>
    <xf numFmtId="166" fontId="0" fillId="4" borderId="11" xfId="0" applyNumberFormat="1" applyFill="1" applyBorder="1"/>
    <xf numFmtId="166" fontId="0" fillId="4" borderId="0" xfId="0" applyNumberFormat="1" applyFill="1" applyBorder="1"/>
    <xf numFmtId="166" fontId="0" fillId="4" borderId="16" xfId="0" applyNumberFormat="1" applyFill="1" applyBorder="1"/>
    <xf numFmtId="1" fontId="0" fillId="0" borderId="2" xfId="0" applyNumberFormat="1" applyFill="1" applyBorder="1"/>
    <xf numFmtId="0" fontId="0" fillId="0" borderId="4" xfId="0" applyNumberFormat="1" applyFill="1" applyBorder="1"/>
    <xf numFmtId="0" fontId="0" fillId="0" borderId="16" xfId="0" applyNumberFormat="1" applyFill="1" applyBorder="1"/>
    <xf numFmtId="2" fontId="0" fillId="0" borderId="15" xfId="0" applyNumberFormat="1" applyFill="1" applyBorder="1"/>
    <xf numFmtId="14" fontId="5" fillId="2" borderId="4" xfId="0" applyNumberFormat="1" applyFont="1" applyFill="1" applyBorder="1"/>
    <xf numFmtId="14" fontId="5" fillId="2" borderId="15" xfId="0" applyNumberFormat="1" applyFont="1" applyFill="1" applyBorder="1"/>
    <xf numFmtId="14" fontId="0" fillId="0" borderId="3" xfId="0" applyNumberFormat="1" applyFill="1" applyBorder="1" applyAlignment="1">
      <alignment horizontal="center"/>
    </xf>
    <xf numFmtId="2" fontId="0" fillId="0" borderId="3" xfId="0" applyNumberFormat="1" applyFont="1" applyFill="1" applyBorder="1"/>
    <xf numFmtId="166" fontId="0" fillId="0" borderId="13" xfId="0" applyNumberFormat="1" applyFont="1" applyFill="1" applyBorder="1"/>
    <xf numFmtId="167" fontId="5" fillId="0" borderId="3" xfId="0" applyNumberFormat="1" applyFont="1" applyFill="1" applyBorder="1"/>
    <xf numFmtId="164" fontId="0" fillId="17" borderId="0" xfId="0" applyNumberFormat="1" applyFill="1" applyBorder="1"/>
    <xf numFmtId="164" fontId="0" fillId="0" borderId="3" xfId="64" applyNumberFormat="1" applyFont="1" applyFill="1" applyBorder="1"/>
    <xf numFmtId="164" fontId="0" fillId="0" borderId="0" xfId="64" applyNumberFormat="1" applyFont="1" applyFill="1" applyBorder="1"/>
    <xf numFmtId="164" fontId="0" fillId="0" borderId="13" xfId="64" applyNumberFormat="1" applyFont="1" applyFill="1" applyBorder="1"/>
    <xf numFmtId="9" fontId="0" fillId="0" borderId="3" xfId="1" applyNumberFormat="1" applyFont="1" applyFill="1" applyBorder="1"/>
    <xf numFmtId="9" fontId="0" fillId="0" borderId="0" xfId="1" applyNumberFormat="1" applyFont="1" applyFill="1" applyBorder="1"/>
    <xf numFmtId="9" fontId="0" fillId="0" borderId="13" xfId="1" applyNumberFormat="1" applyFont="1" applyFill="1" applyBorder="1"/>
    <xf numFmtId="170" fontId="0" fillId="0" borderId="3" xfId="64" applyNumberFormat="1" applyFont="1" applyFill="1" applyBorder="1"/>
    <xf numFmtId="170" fontId="0" fillId="0" borderId="0" xfId="64" applyNumberFormat="1" applyFont="1" applyFill="1" applyBorder="1"/>
    <xf numFmtId="170" fontId="0" fillId="0" borderId="13" xfId="64" applyNumberFormat="1" applyFont="1" applyFill="1" applyBorder="1"/>
    <xf numFmtId="164" fontId="0" fillId="2" borderId="11" xfId="0" applyNumberFormat="1" applyFill="1" applyBorder="1"/>
    <xf numFmtId="164" fontId="0" fillId="2" borderId="1" xfId="0" applyNumberFormat="1" applyFill="1" applyBorder="1"/>
    <xf numFmtId="164" fontId="0" fillId="2" borderId="12" xfId="0" applyNumberFormat="1" applyFill="1" applyBorder="1"/>
    <xf numFmtId="164" fontId="0" fillId="2" borderId="6" xfId="0" applyNumberFormat="1" applyFill="1" applyBorder="1"/>
    <xf numFmtId="14" fontId="0" fillId="2" borderId="1" xfId="0" applyNumberFormat="1" applyFill="1" applyBorder="1"/>
    <xf numFmtId="14" fontId="0" fillId="2" borderId="12" xfId="0" applyNumberFormat="1" applyFill="1" applyBorder="1"/>
    <xf numFmtId="0" fontId="0" fillId="2" borderId="12" xfId="0" applyFill="1" applyBorder="1"/>
    <xf numFmtId="0" fontId="0" fillId="2" borderId="12" xfId="0" applyNumberFormat="1" applyFill="1" applyBorder="1"/>
    <xf numFmtId="164" fontId="0" fillId="0" borderId="0" xfId="0" applyNumberFormat="1" applyFill="1"/>
    <xf numFmtId="2" fontId="5" fillId="0" borderId="3" xfId="0" applyNumberFormat="1" applyFont="1" applyFill="1" applyBorder="1"/>
    <xf numFmtId="166" fontId="0" fillId="0" borderId="11" xfId="0" applyNumberFormat="1" applyFill="1" applyBorder="1"/>
    <xf numFmtId="5" fontId="0" fillId="18" borderId="0" xfId="0" applyNumberFormat="1" applyFill="1" applyBorder="1"/>
    <xf numFmtId="164" fontId="0" fillId="0" borderId="1" xfId="64" applyNumberFormat="1" applyFont="1" applyFill="1" applyBorder="1"/>
    <xf numFmtId="164" fontId="0" fillId="0" borderId="11" xfId="64" applyNumberFormat="1" applyFont="1" applyFill="1" applyBorder="1"/>
    <xf numFmtId="170" fontId="0" fillId="0" borderId="1" xfId="64" applyNumberFormat="1" applyFont="1" applyFill="1" applyBorder="1"/>
    <xf numFmtId="170" fontId="0" fillId="0" borderId="11" xfId="64" applyNumberFormat="1" applyFont="1" applyFill="1" applyBorder="1"/>
    <xf numFmtId="170" fontId="0" fillId="0" borderId="12" xfId="64" applyNumberFormat="1" applyFont="1" applyFill="1" applyBorder="1"/>
    <xf numFmtId="1" fontId="0" fillId="0" borderId="1" xfId="0" applyNumberFormat="1" applyFill="1" applyBorder="1"/>
    <xf numFmtId="9" fontId="0" fillId="0" borderId="3" xfId="64" applyNumberFormat="1" applyFont="1" applyFill="1" applyBorder="1"/>
    <xf numFmtId="9" fontId="0" fillId="0" borderId="0" xfId="64" applyNumberFormat="1" applyFont="1" applyFill="1" applyBorder="1"/>
    <xf numFmtId="9" fontId="0" fillId="0" borderId="1" xfId="64" applyNumberFormat="1" applyFont="1" applyFill="1" applyBorder="1"/>
    <xf numFmtId="9" fontId="0" fillId="0" borderId="11" xfId="64" applyNumberFormat="1" applyFont="1" applyFill="1" applyBorder="1"/>
    <xf numFmtId="0" fontId="0" fillId="17" borderId="3" xfId="0" applyFill="1" applyBorder="1"/>
    <xf numFmtId="167" fontId="0" fillId="12" borderId="3" xfId="0" applyNumberFormat="1" applyFill="1" applyBorder="1" applyAlignment="1">
      <alignment horizontal="right" vertical="center"/>
    </xf>
    <xf numFmtId="200" fontId="0" fillId="0" borderId="3" xfId="0" applyNumberFormat="1" applyFill="1" applyBorder="1"/>
    <xf numFmtId="167" fontId="0" fillId="11" borderId="3" xfId="0" applyNumberFormat="1" applyFill="1" applyBorder="1"/>
    <xf numFmtId="166" fontId="0" fillId="0" borderId="0" xfId="0" applyNumberFormat="1" applyFill="1" applyBorder="1"/>
    <xf numFmtId="200" fontId="0" fillId="0" borderId="0" xfId="0" applyNumberFormat="1" applyFont="1" applyFill="1" applyBorder="1"/>
    <xf numFmtId="167" fontId="0" fillId="0" borderId="0" xfId="0" applyNumberFormat="1" applyFill="1"/>
    <xf numFmtId="164" fontId="21" fillId="4" borderId="15" xfId="0" applyNumberFormat="1" applyFont="1" applyFill="1" applyBorder="1"/>
    <xf numFmtId="164" fontId="21" fillId="4" borderId="12" xfId="0" applyNumberFormat="1" applyFont="1" applyFill="1" applyBorder="1"/>
    <xf numFmtId="164" fontId="21" fillId="4" borderId="13" xfId="0" applyNumberFormat="1" applyFont="1" applyFill="1" applyBorder="1"/>
    <xf numFmtId="9" fontId="5" fillId="0" borderId="11" xfId="1" applyFont="1" applyBorder="1"/>
    <xf numFmtId="9" fontId="5" fillId="0" borderId="0" xfId="1" applyFont="1" applyBorder="1"/>
    <xf numFmtId="9" fontId="5" fillId="0" borderId="16" xfId="1" applyFont="1" applyBorder="1"/>
    <xf numFmtId="9" fontId="5" fillId="0" borderId="0" xfId="1" applyFont="1" applyFill="1" applyBorder="1"/>
    <xf numFmtId="9" fontId="5" fillId="0" borderId="16" xfId="1" applyFont="1" applyFill="1" applyBorder="1"/>
    <xf numFmtId="9" fontId="5" fillId="0" borderId="11" xfId="1" applyFont="1" applyFill="1" applyBorder="1"/>
    <xf numFmtId="9" fontId="5" fillId="4" borderId="16" xfId="1" applyFont="1" applyFill="1" applyBorder="1"/>
    <xf numFmtId="9" fontId="5" fillId="4" borderId="11" xfId="1" applyFont="1" applyFill="1" applyBorder="1"/>
    <xf numFmtId="9" fontId="5" fillId="4" borderId="0" xfId="1" applyFont="1" applyFill="1" applyBorder="1"/>
    <xf numFmtId="176" fontId="0" fillId="0" borderId="5" xfId="0" applyNumberFormat="1" applyFill="1" applyBorder="1"/>
    <xf numFmtId="164" fontId="21" fillId="3" borderId="15" xfId="0" applyNumberFormat="1" applyFont="1" applyFill="1" applyBorder="1"/>
    <xf numFmtId="164" fontId="21" fillId="3" borderId="12" xfId="0" applyNumberFormat="1" applyFont="1" applyFill="1" applyBorder="1"/>
    <xf numFmtId="164" fontId="21" fillId="3" borderId="13" xfId="0" applyNumberFormat="1" applyFont="1" applyFill="1" applyBorder="1"/>
    <xf numFmtId="169" fontId="0" fillId="0" borderId="13" xfId="1" applyNumberFormat="1" applyFont="1" applyFill="1" applyBorder="1"/>
    <xf numFmtId="170" fontId="0" fillId="0" borderId="3" xfId="0" applyNumberFormat="1" applyFill="1" applyBorder="1"/>
    <xf numFmtId="201" fontId="0" fillId="4" borderId="0" xfId="145" applyNumberFormat="1" applyFont="1" applyFill="1" applyBorder="1"/>
    <xf numFmtId="201" fontId="0" fillId="4" borderId="15" xfId="145" applyNumberFormat="1" applyFont="1" applyFill="1" applyBorder="1"/>
    <xf numFmtId="201" fontId="0" fillId="4" borderId="13" xfId="145" applyNumberFormat="1" applyFont="1" applyFill="1" applyBorder="1"/>
    <xf numFmtId="0" fontId="0" fillId="17" borderId="12" xfId="0" applyNumberFormat="1" applyFill="1" applyBorder="1"/>
    <xf numFmtId="0" fontId="0" fillId="17" borderId="13" xfId="0" applyNumberFormat="1" applyFill="1" applyBorder="1"/>
    <xf numFmtId="0" fontId="0" fillId="17" borderId="15" xfId="0" applyNumberFormat="1" applyFill="1" applyBorder="1"/>
    <xf numFmtId="10" fontId="6" fillId="6" borderId="10" xfId="0" applyNumberFormat="1" applyFont="1" applyFill="1" applyBorder="1" applyAlignment="1">
      <alignment horizontal="right" vertical="center"/>
    </xf>
    <xf numFmtId="9" fontId="0" fillId="0" borderId="15" xfId="64" applyNumberFormat="1" applyFont="1" applyFill="1" applyBorder="1"/>
    <xf numFmtId="170" fontId="0" fillId="0" borderId="4" xfId="64" applyNumberFormat="1" applyFont="1" applyFill="1" applyBorder="1"/>
    <xf numFmtId="170" fontId="0" fillId="0" borderId="16" xfId="64" applyNumberFormat="1" applyFont="1" applyFill="1" applyBorder="1"/>
    <xf numFmtId="170" fontId="0" fillId="0" borderId="15" xfId="64" applyNumberFormat="1" applyFont="1" applyFill="1" applyBorder="1"/>
    <xf numFmtId="164" fontId="21" fillId="0" borderId="15" xfId="0" applyNumberFormat="1" applyFont="1" applyFill="1" applyBorder="1"/>
    <xf numFmtId="164" fontId="21" fillId="0" borderId="13" xfId="0" applyNumberFormat="1" applyFont="1" applyFill="1" applyBorder="1"/>
    <xf numFmtId="166" fontId="0" fillId="0" borderId="16" xfId="0" applyNumberFormat="1" applyFill="1" applyBorder="1"/>
    <xf numFmtId="14" fontId="0" fillId="11" borderId="1" xfId="0" applyNumberFormat="1" applyFill="1" applyBorder="1" applyAlignment="1">
      <alignment horizontal="center"/>
    </xf>
    <xf numFmtId="14" fontId="0" fillId="11" borderId="3" xfId="0" applyNumberFormat="1" applyFill="1" applyBorder="1" applyAlignment="1">
      <alignment horizontal="center"/>
    </xf>
    <xf numFmtId="14" fontId="0" fillId="11" borderId="4" xfId="0" applyNumberFormat="1" applyFill="1" applyBorder="1" applyAlignment="1">
      <alignment horizontal="center"/>
    </xf>
    <xf numFmtId="164" fontId="21" fillId="0" borderId="12" xfId="0" applyNumberFormat="1" applyFont="1" applyFill="1" applyBorder="1"/>
    <xf numFmtId="10" fontId="5" fillId="17" borderId="12" xfId="0" applyNumberFormat="1" applyFont="1" applyFill="1" applyBorder="1"/>
    <xf numFmtId="176" fontId="0" fillId="0" borderId="6" xfId="0" applyNumberFormat="1" applyFill="1" applyBorder="1"/>
    <xf numFmtId="167" fontId="0" fillId="0" borderId="3" xfId="0" applyNumberFormat="1" applyFill="1" applyBorder="1" applyAlignment="1">
      <alignment horizontal="right" vertical="center"/>
    </xf>
    <xf numFmtId="167" fontId="5" fillId="8" borderId="3" xfId="0" applyNumberFormat="1" applyFont="1" applyFill="1" applyBorder="1"/>
    <xf numFmtId="167" fontId="5" fillId="8" borderId="4" xfId="0" applyNumberFormat="1" applyFont="1" applyFill="1" applyBorder="1"/>
    <xf numFmtId="167" fontId="0" fillId="8" borderId="1" xfId="0" applyNumberFormat="1" applyFill="1" applyBorder="1"/>
    <xf numFmtId="167" fontId="0" fillId="8" borderId="3" xfId="0" applyNumberFormat="1" applyFill="1" applyBorder="1"/>
    <xf numFmtId="167" fontId="0" fillId="8" borderId="4" xfId="0" applyNumberFormat="1" applyFill="1" applyBorder="1"/>
    <xf numFmtId="167" fontId="0" fillId="11" borderId="4" xfId="0" applyNumberFormat="1" applyFill="1" applyBorder="1"/>
    <xf numFmtId="167" fontId="0" fillId="11" borderId="1" xfId="0" applyNumberFormat="1" applyFill="1" applyBorder="1"/>
    <xf numFmtId="167" fontId="0" fillId="11" borderId="3" xfId="0" applyNumberFormat="1" applyFill="1" applyBorder="1"/>
    <xf numFmtId="0" fontId="2" fillId="0" borderId="19" xfId="0" applyFont="1" applyBorder="1" applyAlignment="1">
      <alignment horizontal="center" vertical="distributed"/>
    </xf>
    <xf numFmtId="0" fontId="3" fillId="6" borderId="20" xfId="130" applyFill="1" applyBorder="1" applyAlignment="1" applyProtection="1"/>
    <xf numFmtId="0" fontId="0" fillId="6" borderId="20" xfId="0" applyFill="1" applyBorder="1"/>
    <xf numFmtId="0" fontId="3" fillId="6" borderId="0" xfId="130" applyFill="1" applyBorder="1" applyAlignment="1" applyProtection="1"/>
    <xf numFmtId="0" fontId="0" fillId="6" borderId="0" xfId="0" applyFill="1" applyBorder="1"/>
    <xf numFmtId="0" fontId="0" fillId="23" borderId="19" xfId="0" applyFill="1" applyBorder="1" applyAlignment="1">
      <alignment horizontal="center"/>
    </xf>
    <xf numFmtId="0" fontId="3" fillId="23" borderId="19" xfId="130" applyFill="1" applyBorder="1" applyAlignment="1" applyProtection="1"/>
    <xf numFmtId="0" fontId="0" fillId="23" borderId="19" xfId="0" applyFill="1" applyBorder="1"/>
    <xf numFmtId="0" fontId="3" fillId="5" borderId="0" xfId="130" applyFill="1" applyBorder="1" applyAlignment="1" applyProtection="1"/>
    <xf numFmtId="0" fontId="0" fillId="5" borderId="0" xfId="0" applyFill="1" applyBorder="1"/>
    <xf numFmtId="0" fontId="3" fillId="4" borderId="20" xfId="130" applyFill="1" applyBorder="1" applyAlignment="1" applyProtection="1"/>
    <xf numFmtId="0" fontId="0" fillId="4" borderId="20" xfId="0" applyFill="1" applyBorder="1"/>
    <xf numFmtId="0" fontId="3" fillId="4" borderId="0" xfId="130" applyFill="1" applyBorder="1" applyAlignment="1" applyProtection="1"/>
    <xf numFmtId="0" fontId="3" fillId="4" borderId="14" xfId="130" applyFill="1" applyBorder="1" applyAlignment="1" applyProtection="1"/>
    <xf numFmtId="0" fontId="0" fillId="4" borderId="14" xfId="0" applyFill="1" applyBorder="1"/>
    <xf numFmtId="0" fontId="0" fillId="7" borderId="20" xfId="0" applyFill="1" applyBorder="1"/>
    <xf numFmtId="0" fontId="3" fillId="7" borderId="20" xfId="130" applyFill="1" applyBorder="1" applyAlignment="1" applyProtection="1"/>
    <xf numFmtId="0" fontId="0" fillId="7" borderId="0" xfId="0" applyFill="1" applyBorder="1"/>
    <xf numFmtId="0" fontId="3" fillId="7" borderId="0" xfId="130" applyFill="1" applyBorder="1" applyAlignment="1" applyProtection="1"/>
    <xf numFmtId="0" fontId="0" fillId="0" borderId="0" xfId="0" applyAlignment="1">
      <alignment vertical="top" wrapText="1"/>
    </xf>
    <xf numFmtId="0" fontId="0" fillId="24" borderId="19" xfId="0" applyFill="1" applyBorder="1" applyAlignment="1">
      <alignment vertical="center"/>
    </xf>
    <xf numFmtId="0" fontId="0" fillId="24" borderId="19" xfId="0" applyFill="1" applyBorder="1"/>
    <xf numFmtId="0" fontId="3" fillId="24" borderId="19" xfId="130" applyFill="1" applyBorder="1" applyAlignment="1" applyProtection="1"/>
    <xf numFmtId="0" fontId="0" fillId="6" borderId="20" xfId="0" applyFont="1" applyFill="1" applyBorder="1" applyAlignment="1">
      <alignment horizontal="center" vertical="center"/>
    </xf>
    <xf numFmtId="0" fontId="0" fillId="6" borderId="0" xfId="0" applyFill="1" applyBorder="1" applyAlignment="1">
      <alignment horizontal="center" vertical="center"/>
    </xf>
    <xf numFmtId="0" fontId="0" fillId="5" borderId="20" xfId="0" applyFill="1" applyBorder="1" applyAlignment="1">
      <alignment horizontal="center" vertical="center"/>
    </xf>
    <xf numFmtId="0" fontId="0" fillId="5" borderId="0" xfId="0" applyFill="1" applyBorder="1" applyAlignment="1">
      <alignment horizontal="center" vertical="center"/>
    </xf>
    <xf numFmtId="0" fontId="0" fillId="5" borderId="14" xfId="0" applyFill="1" applyBorder="1" applyAlignment="1">
      <alignment horizontal="center" vertical="center"/>
    </xf>
    <xf numFmtId="0" fontId="0" fillId="4" borderId="20" xfId="0" applyFill="1" applyBorder="1" applyAlignment="1">
      <alignment horizontal="center" vertical="center" wrapText="1"/>
    </xf>
    <xf numFmtId="0" fontId="0" fillId="4" borderId="0" xfId="0" applyFill="1" applyBorder="1" applyAlignment="1">
      <alignment horizontal="center" vertical="center" wrapText="1"/>
    </xf>
    <xf numFmtId="0" fontId="0" fillId="4" borderId="14" xfId="0" applyFill="1" applyBorder="1" applyAlignment="1">
      <alignment horizontal="center" vertical="center" wrapText="1"/>
    </xf>
    <xf numFmtId="0" fontId="0" fillId="7" borderId="20" xfId="0" applyFill="1" applyBorder="1" applyAlignment="1">
      <alignment horizontal="center" vertical="center"/>
    </xf>
    <xf numFmtId="0" fontId="0" fillId="7" borderId="0" xfId="0" applyFill="1" applyBorder="1" applyAlignment="1">
      <alignment horizontal="center" vertical="center"/>
    </xf>
    <xf numFmtId="0" fontId="0" fillId="5" borderId="6" xfId="0" applyFill="1" applyBorder="1" applyAlignment="1">
      <alignment horizontal="center" vertical="distributed"/>
    </xf>
    <xf numFmtId="0" fontId="0" fillId="5" borderId="2" xfId="0" applyFill="1" applyBorder="1" applyAlignment="1">
      <alignment horizontal="center" vertical="distributed"/>
    </xf>
    <xf numFmtId="0" fontId="0" fillId="5" borderId="5" xfId="0" applyFill="1" applyBorder="1" applyAlignment="1">
      <alignment horizontal="center" vertical="distributed"/>
    </xf>
    <xf numFmtId="0" fontId="0" fillId="5" borderId="8" xfId="0" applyFill="1" applyBorder="1" applyAlignment="1">
      <alignment horizontal="center" vertical="distributed" wrapText="1"/>
    </xf>
    <xf numFmtId="0" fontId="0" fillId="5" borderId="9" xfId="0" applyFill="1" applyBorder="1" applyAlignment="1">
      <alignment horizontal="center" vertical="distributed" wrapText="1"/>
    </xf>
    <xf numFmtId="0" fontId="0" fillId="5" borderId="9" xfId="0" applyFill="1" applyBorder="1" applyAlignment="1">
      <alignment horizontal="center" vertical="distributed"/>
    </xf>
    <xf numFmtId="0" fontId="2" fillId="8" borderId="8" xfId="0" applyFont="1" applyFill="1" applyBorder="1" applyAlignment="1">
      <alignment horizontal="center"/>
    </xf>
    <xf numFmtId="0" fontId="2" fillId="8" borderId="10" xfId="0" applyFont="1" applyFill="1" applyBorder="1" applyAlignment="1">
      <alignment horizontal="center"/>
    </xf>
    <xf numFmtId="0" fontId="2" fillId="8" borderId="9" xfId="0" applyFont="1" applyFill="1" applyBorder="1" applyAlignment="1">
      <alignment horizontal="center"/>
    </xf>
    <xf numFmtId="0" fontId="0" fillId="5" borderId="1" xfId="0" applyFill="1" applyBorder="1" applyAlignment="1">
      <alignment horizontal="center" vertical="distributed"/>
    </xf>
    <xf numFmtId="0" fontId="0" fillId="5" borderId="12" xfId="0" applyFill="1" applyBorder="1" applyAlignment="1">
      <alignment horizontal="center" vertical="distributed"/>
    </xf>
    <xf numFmtId="0" fontId="0" fillId="5" borderId="13" xfId="0" applyFill="1" applyBorder="1" applyAlignment="1">
      <alignment horizontal="center" vertical="distributed"/>
    </xf>
    <xf numFmtId="0" fontId="0" fillId="5" borderId="16" xfId="0" applyFill="1" applyBorder="1" applyAlignment="1">
      <alignment horizontal="center" vertical="distributed"/>
    </xf>
    <xf numFmtId="0" fontId="0" fillId="5" borderId="4" xfId="0" applyFill="1" applyBorder="1" applyAlignment="1">
      <alignment horizontal="center" vertical="distributed"/>
    </xf>
    <xf numFmtId="0" fontId="0" fillId="7" borderId="6" xfId="0" applyFill="1" applyBorder="1" applyAlignment="1">
      <alignment horizontal="center" vertical="center" wrapText="1"/>
    </xf>
    <xf numFmtId="0" fontId="0" fillId="7" borderId="2" xfId="0" applyFill="1" applyBorder="1" applyAlignment="1">
      <alignment horizontal="center" vertical="center" wrapText="1"/>
    </xf>
    <xf numFmtId="0" fontId="0" fillId="7" borderId="5" xfId="0" applyFill="1" applyBorder="1" applyAlignment="1">
      <alignment horizontal="center" vertical="center" wrapText="1"/>
    </xf>
    <xf numFmtId="0" fontId="2" fillId="8" borderId="8" xfId="0" applyFont="1" applyFill="1" applyBorder="1" applyAlignment="1">
      <alignment horizontal="center" vertical="center" wrapText="1"/>
    </xf>
    <xf numFmtId="0" fontId="2" fillId="8" borderId="10" xfId="0" applyFont="1" applyFill="1" applyBorder="1" applyAlignment="1">
      <alignment horizontal="center" vertical="center" wrapText="1"/>
    </xf>
    <xf numFmtId="0" fontId="2" fillId="8" borderId="9" xfId="0" applyFont="1" applyFill="1" applyBorder="1" applyAlignment="1">
      <alignment horizontal="center" vertical="center" wrapText="1"/>
    </xf>
    <xf numFmtId="0" fontId="0" fillId="7" borderId="0" xfId="0" applyFill="1" applyAlignment="1">
      <alignment horizontal="center" vertical="center" wrapText="1"/>
    </xf>
    <xf numFmtId="0" fontId="0" fillId="5" borderId="1" xfId="0" applyFill="1" applyBorder="1" applyAlignment="1">
      <alignment horizontal="center" vertical="center" wrapText="1"/>
    </xf>
    <xf numFmtId="0" fontId="0" fillId="5" borderId="12" xfId="0" applyFill="1" applyBorder="1" applyAlignment="1">
      <alignment horizontal="center" vertical="center" wrapText="1"/>
    </xf>
    <xf numFmtId="0" fontId="0" fillId="5" borderId="4" xfId="0" applyFill="1" applyBorder="1" applyAlignment="1">
      <alignment horizontal="center" vertical="center" wrapText="1"/>
    </xf>
    <xf numFmtId="0" fontId="0" fillId="5" borderId="15" xfId="0" applyFill="1" applyBorder="1" applyAlignment="1">
      <alignment horizontal="center" vertical="center" wrapText="1"/>
    </xf>
    <xf numFmtId="0" fontId="0" fillId="5" borderId="1" xfId="0" applyFill="1" applyBorder="1" applyAlignment="1">
      <alignment horizontal="center" vertical="center"/>
    </xf>
    <xf numFmtId="0" fontId="0" fillId="5" borderId="12" xfId="0" applyFill="1" applyBorder="1" applyAlignment="1">
      <alignment horizontal="center" vertical="center"/>
    </xf>
    <xf numFmtId="0" fontId="0" fillId="5" borderId="3" xfId="0" applyFill="1" applyBorder="1" applyAlignment="1">
      <alignment horizontal="center" vertical="center"/>
    </xf>
    <xf numFmtId="0" fontId="0" fillId="5" borderId="13" xfId="0" applyFill="1" applyBorder="1" applyAlignment="1">
      <alignment horizontal="center" vertical="center"/>
    </xf>
    <xf numFmtId="0" fontId="0" fillId="7" borderId="3" xfId="0" applyFill="1" applyBorder="1" applyAlignment="1">
      <alignment horizontal="center" vertical="center"/>
    </xf>
    <xf numFmtId="0" fontId="0" fillId="7" borderId="4" xfId="0" applyFill="1" applyBorder="1" applyAlignment="1">
      <alignment horizontal="center" vertical="center"/>
    </xf>
    <xf numFmtId="0" fontId="0" fillId="7" borderId="13" xfId="0" applyFill="1" applyBorder="1" applyAlignment="1">
      <alignment horizontal="center" vertical="center"/>
    </xf>
    <xf numFmtId="0" fontId="0" fillId="7" borderId="15" xfId="0" applyFill="1" applyBorder="1" applyAlignment="1">
      <alignment horizontal="center" vertical="center"/>
    </xf>
    <xf numFmtId="0" fontId="0" fillId="7" borderId="13" xfId="0" applyFill="1" applyBorder="1" applyAlignment="1">
      <alignment horizontal="center" vertical="center" wrapText="1"/>
    </xf>
    <xf numFmtId="0" fontId="0" fillId="7" borderId="15" xfId="0" applyFill="1" applyBorder="1" applyAlignment="1">
      <alignment horizontal="center" vertical="center" wrapText="1"/>
    </xf>
    <xf numFmtId="0" fontId="0" fillId="9" borderId="8" xfId="0" applyFill="1" applyBorder="1" applyAlignment="1">
      <alignment horizontal="center"/>
    </xf>
    <xf numFmtId="0" fontId="0" fillId="9" borderId="10" xfId="0" applyFill="1" applyBorder="1" applyAlignment="1">
      <alignment horizontal="center"/>
    </xf>
    <xf numFmtId="0" fontId="0" fillId="9" borderId="9" xfId="0" applyFill="1" applyBorder="1" applyAlignment="1">
      <alignment horizontal="center"/>
    </xf>
    <xf numFmtId="0" fontId="2" fillId="8" borderId="8" xfId="0" applyFont="1" applyFill="1" applyBorder="1" applyAlignment="1">
      <alignment horizontal="center" vertical="center"/>
    </xf>
    <xf numFmtId="0" fontId="2" fillId="8" borderId="10" xfId="0" applyFont="1" applyFill="1" applyBorder="1" applyAlignment="1">
      <alignment horizontal="center" vertical="center"/>
    </xf>
    <xf numFmtId="0" fontId="0" fillId="5" borderId="11" xfId="0" applyFill="1" applyBorder="1" applyAlignment="1">
      <alignment horizontal="center" vertical="center"/>
    </xf>
    <xf numFmtId="0" fontId="0" fillId="5" borderId="4" xfId="0" applyFill="1" applyBorder="1" applyAlignment="1">
      <alignment horizontal="center" vertical="center"/>
    </xf>
    <xf numFmtId="0" fontId="0" fillId="5" borderId="16" xfId="0" applyFill="1" applyBorder="1" applyAlignment="1">
      <alignment horizontal="center" vertical="center"/>
    </xf>
    <xf numFmtId="0" fontId="0" fillId="5" borderId="15" xfId="0" applyFill="1" applyBorder="1" applyAlignment="1">
      <alignment horizontal="center" vertical="center"/>
    </xf>
    <xf numFmtId="0" fontId="0" fillId="7" borderId="12" xfId="0" applyFill="1" applyBorder="1" applyAlignment="1">
      <alignment horizontal="center" vertical="center" wrapText="1"/>
    </xf>
    <xf numFmtId="0" fontId="0" fillId="7" borderId="3" xfId="0" applyFill="1" applyBorder="1" applyAlignment="1">
      <alignment horizontal="center" vertical="center" wrapText="1"/>
    </xf>
    <xf numFmtId="0" fontId="0" fillId="7" borderId="0" xfId="0" applyFill="1" applyBorder="1" applyAlignment="1">
      <alignment horizontal="center" vertical="center" wrapText="1"/>
    </xf>
    <xf numFmtId="0" fontId="0" fillId="7" borderId="1" xfId="0" applyFill="1" applyBorder="1" applyAlignment="1">
      <alignment horizontal="center" vertical="center"/>
    </xf>
    <xf numFmtId="0" fontId="0" fillId="7" borderId="12" xfId="0" applyFill="1" applyBorder="1" applyAlignment="1">
      <alignment horizontal="center" vertical="center"/>
    </xf>
    <xf numFmtId="9" fontId="0" fillId="7" borderId="1" xfId="1" applyFont="1" applyFill="1" applyBorder="1" applyAlignment="1">
      <alignment horizontal="center" vertical="center"/>
    </xf>
    <xf numFmtId="9" fontId="0" fillId="7" borderId="12" xfId="1" applyFont="1" applyFill="1" applyBorder="1" applyAlignment="1">
      <alignment horizontal="center" vertical="center"/>
    </xf>
    <xf numFmtId="0" fontId="5" fillId="7" borderId="3" xfId="2" applyFont="1" applyFill="1" applyBorder="1" applyAlignment="1">
      <alignment horizontal="center" vertical="center" wrapText="1"/>
    </xf>
    <xf numFmtId="0" fontId="5" fillId="7" borderId="4" xfId="2" applyFont="1" applyFill="1" applyBorder="1" applyAlignment="1">
      <alignment horizontal="center" vertical="center" wrapText="1"/>
    </xf>
    <xf numFmtId="0" fontId="5" fillId="7" borderId="13" xfId="2" applyFont="1" applyFill="1" applyBorder="1" applyAlignment="1">
      <alignment horizontal="center" vertical="center" wrapText="1"/>
    </xf>
    <xf numFmtId="0" fontId="5" fillId="7" borderId="15" xfId="2" applyFont="1" applyFill="1" applyBorder="1" applyAlignment="1">
      <alignment horizontal="center" vertical="center" wrapText="1"/>
    </xf>
    <xf numFmtId="0" fontId="0" fillId="5" borderId="0" xfId="0" applyFill="1" applyAlignment="1">
      <alignment horizontal="center" vertical="center" wrapText="1"/>
    </xf>
    <xf numFmtId="0" fontId="0" fillId="0" borderId="0" xfId="0" applyFont="1" applyFill="1" applyBorder="1" applyAlignment="1">
      <alignment wrapText="1"/>
    </xf>
    <xf numFmtId="0" fontId="5" fillId="5" borderId="1" xfId="2" applyFont="1" applyFill="1" applyBorder="1" applyAlignment="1">
      <alignment horizontal="center" vertical="center" wrapText="1"/>
    </xf>
    <xf numFmtId="0" fontId="5" fillId="5" borderId="12" xfId="2" applyFont="1" applyFill="1" applyBorder="1" applyAlignment="1">
      <alignment horizontal="center" vertical="center" wrapText="1"/>
    </xf>
    <xf numFmtId="0" fontId="5" fillId="5" borderId="3" xfId="2" applyFont="1" applyFill="1" applyBorder="1" applyAlignment="1">
      <alignment horizontal="center" vertical="center" wrapText="1"/>
    </xf>
    <xf numFmtId="0" fontId="5" fillId="5" borderId="13" xfId="2" applyFont="1" applyFill="1" applyBorder="1" applyAlignment="1">
      <alignment horizontal="center" vertical="center" wrapText="1"/>
    </xf>
    <xf numFmtId="0" fontId="0" fillId="9" borderId="8" xfId="0" applyFill="1" applyBorder="1" applyAlignment="1">
      <alignment horizontal="center" wrapText="1"/>
    </xf>
    <xf numFmtId="0" fontId="0" fillId="9" borderId="10" xfId="0" applyFill="1" applyBorder="1" applyAlignment="1">
      <alignment horizontal="center" wrapText="1"/>
    </xf>
    <xf numFmtId="0" fontId="0" fillId="9" borderId="9" xfId="0" applyFill="1" applyBorder="1" applyAlignment="1">
      <alignment horizontal="center" wrapText="1"/>
    </xf>
    <xf numFmtId="0" fontId="0" fillId="7" borderId="4" xfId="0" applyFill="1" applyBorder="1" applyAlignment="1">
      <alignment horizontal="center" vertical="center" wrapText="1"/>
    </xf>
    <xf numFmtId="164" fontId="0" fillId="10" borderId="8" xfId="0" applyNumberFormat="1" applyFill="1" applyBorder="1" applyAlignment="1">
      <alignment horizontal="center" vertical="center" wrapText="1"/>
    </xf>
    <xf numFmtId="164" fontId="0" fillId="10" borderId="10" xfId="0" applyNumberFormat="1" applyFill="1" applyBorder="1" applyAlignment="1">
      <alignment horizontal="center" vertical="center" wrapText="1"/>
    </xf>
    <xf numFmtId="164" fontId="0" fillId="10" borderId="9" xfId="0" applyNumberFormat="1" applyFill="1" applyBorder="1" applyAlignment="1">
      <alignment horizontal="center" vertical="center" wrapText="1"/>
    </xf>
    <xf numFmtId="0" fontId="0" fillId="5" borderId="8" xfId="0" applyFill="1" applyBorder="1" applyAlignment="1">
      <alignment horizontal="center" vertical="center" wrapText="1"/>
    </xf>
    <xf numFmtId="0" fontId="0" fillId="5" borderId="10" xfId="0" applyFill="1" applyBorder="1" applyAlignment="1">
      <alignment horizontal="center" vertical="center" wrapText="1"/>
    </xf>
    <xf numFmtId="0" fontId="0" fillId="5" borderId="9" xfId="0" applyFill="1" applyBorder="1" applyAlignment="1">
      <alignment horizontal="center" vertical="center" wrapText="1"/>
    </xf>
    <xf numFmtId="0" fontId="0" fillId="5" borderId="11" xfId="0" applyFill="1" applyBorder="1" applyAlignment="1">
      <alignment horizontal="center" vertical="center" wrapText="1"/>
    </xf>
    <xf numFmtId="0" fontId="0" fillId="5" borderId="3" xfId="0" applyFill="1" applyBorder="1" applyAlignment="1">
      <alignment horizontal="center" vertical="center" wrapText="1"/>
    </xf>
    <xf numFmtId="0" fontId="0" fillId="5" borderId="0" xfId="0" applyFill="1" applyBorder="1" applyAlignment="1">
      <alignment horizontal="center" vertical="center" wrapText="1"/>
    </xf>
    <xf numFmtId="0" fontId="0" fillId="5" borderId="16" xfId="0" applyFill="1" applyBorder="1" applyAlignment="1">
      <alignment horizontal="center" vertical="center" wrapText="1"/>
    </xf>
    <xf numFmtId="164" fontId="0" fillId="7" borderId="1" xfId="0" applyNumberFormat="1" applyFill="1" applyBorder="1" applyAlignment="1">
      <alignment horizontal="center" vertical="center" wrapText="1"/>
    </xf>
    <xf numFmtId="164" fontId="0" fillId="7" borderId="3" xfId="0" applyNumberFormat="1" applyFill="1" applyBorder="1" applyAlignment="1">
      <alignment horizontal="center" vertical="center" wrapText="1"/>
    </xf>
    <xf numFmtId="164" fontId="0" fillId="7" borderId="4" xfId="0" applyNumberFormat="1" applyFill="1" applyBorder="1" applyAlignment="1">
      <alignment horizontal="center" vertical="center" wrapText="1"/>
    </xf>
    <xf numFmtId="10" fontId="0" fillId="7" borderId="11" xfId="0" applyNumberFormat="1" applyFill="1" applyBorder="1" applyAlignment="1">
      <alignment horizontal="center" vertical="center" wrapText="1"/>
    </xf>
    <xf numFmtId="10" fontId="0" fillId="7" borderId="0" xfId="0" applyNumberFormat="1" applyFill="1" applyBorder="1" applyAlignment="1">
      <alignment horizontal="center" vertical="center" wrapText="1"/>
    </xf>
    <xf numFmtId="10" fontId="0" fillId="7" borderId="15" xfId="0" applyNumberFormat="1" applyFill="1" applyBorder="1" applyAlignment="1">
      <alignment horizontal="center" vertical="center" wrapText="1"/>
    </xf>
    <xf numFmtId="164" fontId="0" fillId="7" borderId="6" xfId="0" applyNumberFormat="1" applyFill="1" applyBorder="1" applyAlignment="1">
      <alignment horizontal="center" vertical="center" wrapText="1"/>
    </xf>
    <xf numFmtId="164" fontId="0" fillId="7" borderId="2" xfId="0" applyNumberFormat="1" applyFill="1" applyBorder="1" applyAlignment="1">
      <alignment horizontal="center" vertical="center" wrapText="1"/>
    </xf>
    <xf numFmtId="164" fontId="0" fillId="7" borderId="5" xfId="0" applyNumberFormat="1" applyFill="1" applyBorder="1" applyAlignment="1">
      <alignment horizontal="center" vertical="center" wrapText="1"/>
    </xf>
    <xf numFmtId="164" fontId="0" fillId="7" borderId="12" xfId="0" applyNumberFormat="1" applyFill="1" applyBorder="1" applyAlignment="1">
      <alignment horizontal="center" vertical="center" wrapText="1"/>
    </xf>
    <xf numFmtId="164" fontId="0" fillId="7" borderId="15" xfId="0" applyNumberFormat="1" applyFill="1" applyBorder="1" applyAlignment="1">
      <alignment horizontal="center" vertical="center" wrapText="1"/>
    </xf>
    <xf numFmtId="164" fontId="0" fillId="9" borderId="8" xfId="0" applyNumberFormat="1" applyFill="1" applyBorder="1" applyAlignment="1">
      <alignment horizontal="center" vertical="center" wrapText="1"/>
    </xf>
    <xf numFmtId="164" fontId="0" fillId="9" borderId="9" xfId="0" applyNumberFormat="1" applyFill="1" applyBorder="1" applyAlignment="1"/>
    <xf numFmtId="0" fontId="0" fillId="10" borderId="2" xfId="0" applyFill="1" applyBorder="1" applyAlignment="1">
      <alignment horizontal="center" vertical="center" wrapText="1"/>
    </xf>
    <xf numFmtId="0" fontId="0" fillId="10" borderId="5" xfId="0" applyFill="1" applyBorder="1" applyAlignment="1">
      <alignment horizontal="center" vertical="center" wrapText="1"/>
    </xf>
    <xf numFmtId="164" fontId="0" fillId="10" borderId="2" xfId="0" applyNumberFormat="1" applyFill="1" applyBorder="1" applyAlignment="1">
      <alignment horizontal="center" vertical="center" wrapText="1"/>
    </xf>
    <xf numFmtId="164" fontId="0" fillId="10" borderId="5" xfId="0" applyNumberFormat="1" applyFill="1" applyBorder="1" applyAlignment="1">
      <alignment horizontal="center" vertical="center" wrapText="1"/>
    </xf>
    <xf numFmtId="0" fontId="0" fillId="10" borderId="0" xfId="0" applyFill="1" applyAlignment="1">
      <alignment horizontal="center" vertical="center" wrapText="1"/>
    </xf>
    <xf numFmtId="0" fontId="0" fillId="5" borderId="13" xfId="0" applyFill="1" applyBorder="1" applyAlignment="1">
      <alignment horizontal="center" vertical="center" wrapText="1"/>
    </xf>
    <xf numFmtId="164" fontId="0" fillId="7" borderId="13" xfId="0" applyNumberFormat="1" applyFill="1" applyBorder="1" applyAlignment="1">
      <alignment horizontal="center" vertical="center" wrapText="1"/>
    </xf>
    <xf numFmtId="0" fontId="0" fillId="9" borderId="10" xfId="0" applyFill="1" applyBorder="1" applyAlignment="1">
      <alignment horizontal="center" vertical="center" wrapText="1"/>
    </xf>
    <xf numFmtId="0" fontId="0" fillId="9" borderId="9" xfId="0" applyFill="1" applyBorder="1" applyAlignment="1">
      <alignment horizontal="center" vertical="center" wrapText="1"/>
    </xf>
    <xf numFmtId="164" fontId="0" fillId="7" borderId="11" xfId="0" applyNumberFormat="1" applyFill="1" applyBorder="1" applyAlignment="1">
      <alignment horizontal="center" vertical="center" wrapText="1"/>
    </xf>
    <xf numFmtId="164" fontId="0" fillId="7" borderId="0" xfId="0" applyNumberFormat="1" applyFill="1" applyBorder="1" applyAlignment="1">
      <alignment horizontal="center" vertical="center" wrapText="1"/>
    </xf>
    <xf numFmtId="164" fontId="0" fillId="7" borderId="16" xfId="0" applyNumberFormat="1" applyFill="1" applyBorder="1" applyAlignment="1">
      <alignment horizontal="center" vertical="center" wrapText="1"/>
    </xf>
    <xf numFmtId="0" fontId="0" fillId="0" borderId="3" xfId="0" applyBorder="1" applyAlignment="1">
      <alignment horizontal="center" vertical="center" wrapText="1"/>
    </xf>
    <xf numFmtId="0" fontId="0" fillId="0" borderId="13" xfId="0" applyBorder="1" applyAlignment="1">
      <alignment horizontal="center" vertical="center" wrapText="1"/>
    </xf>
    <xf numFmtId="0" fontId="0" fillId="0" borderId="4" xfId="0" applyBorder="1" applyAlignment="1">
      <alignment horizontal="center" vertical="center" wrapText="1"/>
    </xf>
    <xf numFmtId="0" fontId="0" fillId="0" borderId="15" xfId="0" applyBorder="1" applyAlignment="1">
      <alignment horizontal="center" vertical="center" wrapText="1"/>
    </xf>
    <xf numFmtId="164" fontId="0" fillId="9" borderId="9" xfId="0" applyNumberFormat="1" applyFill="1" applyBorder="1" applyAlignment="1">
      <alignment horizontal="center" vertical="center" wrapText="1"/>
    </xf>
    <xf numFmtId="0" fontId="0" fillId="9" borderId="8" xfId="0" applyFill="1" applyBorder="1" applyAlignment="1">
      <alignment horizontal="center" vertical="center" wrapText="1"/>
    </xf>
    <xf numFmtId="164" fontId="0" fillId="9" borderId="10" xfId="0" applyNumberFormat="1" applyFill="1" applyBorder="1" applyAlignment="1">
      <alignment horizontal="center" vertical="center" wrapText="1"/>
    </xf>
    <xf numFmtId="0" fontId="0" fillId="7" borderId="1" xfId="0" applyFill="1" applyBorder="1" applyAlignment="1">
      <alignment horizontal="center" vertical="center" wrapText="1"/>
    </xf>
    <xf numFmtId="0" fontId="0" fillId="7" borderId="6" xfId="0" applyNumberFormat="1" applyFill="1" applyBorder="1" applyAlignment="1">
      <alignment horizontal="center" vertical="center" wrapText="1"/>
    </xf>
    <xf numFmtId="0" fontId="0" fillId="7" borderId="2" xfId="0" applyNumberFormat="1" applyFill="1" applyBorder="1" applyAlignment="1">
      <alignment horizontal="center" vertical="center" wrapText="1"/>
    </xf>
    <xf numFmtId="0" fontId="0" fillId="7" borderId="5" xfId="0" applyNumberFormat="1" applyFill="1" applyBorder="1" applyAlignment="1">
      <alignment horizontal="center" vertical="center" wrapText="1"/>
    </xf>
    <xf numFmtId="0" fontId="0" fillId="9" borderId="1" xfId="0" applyFill="1" applyBorder="1" applyAlignment="1">
      <alignment horizontal="center" vertical="center" wrapText="1"/>
    </xf>
    <xf numFmtId="0" fontId="0" fillId="9" borderId="12" xfId="0" applyFill="1" applyBorder="1" applyAlignment="1">
      <alignment horizontal="center" vertical="center" wrapText="1"/>
    </xf>
    <xf numFmtId="0" fontId="0" fillId="7" borderId="11" xfId="0" applyFill="1" applyBorder="1" applyAlignment="1">
      <alignment horizontal="center" vertical="center" wrapText="1"/>
    </xf>
    <xf numFmtId="0" fontId="0" fillId="7" borderId="16" xfId="0" applyFill="1" applyBorder="1" applyAlignment="1">
      <alignment horizontal="center" vertical="center" wrapText="1"/>
    </xf>
    <xf numFmtId="0" fontId="0" fillId="10" borderId="8" xfId="0" applyFill="1" applyBorder="1" applyAlignment="1">
      <alignment horizontal="center" vertical="center" wrapText="1"/>
    </xf>
    <xf numFmtId="0" fontId="0" fillId="10" borderId="10" xfId="0" applyFill="1" applyBorder="1" applyAlignment="1">
      <alignment horizontal="center" vertical="center" wrapText="1"/>
    </xf>
    <xf numFmtId="0" fontId="0" fillId="10" borderId="1" xfId="0" applyFill="1" applyBorder="1" applyAlignment="1">
      <alignment horizontal="center" vertical="center" wrapText="1"/>
    </xf>
    <xf numFmtId="0" fontId="0" fillId="10" borderId="11" xfId="0" applyFill="1" applyBorder="1" applyAlignment="1">
      <alignment horizontal="center" vertical="center" wrapText="1"/>
    </xf>
    <xf numFmtId="0" fontId="0" fillId="10" borderId="12" xfId="0" applyFill="1" applyBorder="1" applyAlignment="1">
      <alignment horizontal="center" vertical="center" wrapText="1"/>
    </xf>
    <xf numFmtId="0" fontId="0" fillId="10" borderId="4" xfId="0" applyFill="1" applyBorder="1" applyAlignment="1">
      <alignment horizontal="center" vertical="center" wrapText="1"/>
    </xf>
    <xf numFmtId="0" fontId="0" fillId="10" borderId="16" xfId="0" applyFill="1" applyBorder="1" applyAlignment="1">
      <alignment horizontal="center" vertical="center" wrapText="1"/>
    </xf>
    <xf numFmtId="0" fontId="0" fillId="10" borderId="15" xfId="0" applyFill="1" applyBorder="1" applyAlignment="1">
      <alignment horizontal="center" vertical="center" wrapText="1"/>
    </xf>
    <xf numFmtId="0" fontId="0" fillId="9" borderId="4" xfId="0" applyFill="1" applyBorder="1" applyAlignment="1">
      <alignment horizontal="center" vertical="center" wrapText="1"/>
    </xf>
    <xf numFmtId="0" fontId="0" fillId="9" borderId="15" xfId="0" applyFill="1" applyBorder="1" applyAlignment="1">
      <alignment horizontal="center" vertical="center" wrapText="1"/>
    </xf>
    <xf numFmtId="0" fontId="2" fillId="8" borderId="1" xfId="0" applyFont="1" applyFill="1" applyBorder="1" applyAlignment="1">
      <alignment horizontal="center" vertical="center" wrapText="1"/>
    </xf>
    <xf numFmtId="0" fontId="2" fillId="8" borderId="11" xfId="0" applyFont="1" applyFill="1" applyBorder="1" applyAlignment="1">
      <alignment horizontal="center" vertical="center" wrapText="1"/>
    </xf>
    <xf numFmtId="0" fontId="2" fillId="8" borderId="12" xfId="0" applyFont="1" applyFill="1" applyBorder="1" applyAlignment="1">
      <alignment horizontal="center" vertical="center" wrapText="1"/>
    </xf>
    <xf numFmtId="0" fontId="2" fillId="8" borderId="4" xfId="0" applyFont="1" applyFill="1" applyBorder="1" applyAlignment="1">
      <alignment horizontal="center" vertical="center" wrapText="1"/>
    </xf>
    <xf numFmtId="0" fontId="2" fillId="8" borderId="16" xfId="0" applyFont="1" applyFill="1" applyBorder="1" applyAlignment="1">
      <alignment horizontal="center" vertical="center" wrapText="1"/>
    </xf>
    <xf numFmtId="0" fontId="2" fillId="8" borderId="15" xfId="0" applyFont="1" applyFill="1" applyBorder="1" applyAlignment="1">
      <alignment horizontal="center" vertical="center" wrapText="1"/>
    </xf>
    <xf numFmtId="0" fontId="0" fillId="10" borderId="9" xfId="0" applyFill="1" applyBorder="1" applyAlignment="1">
      <alignment horizontal="center" vertical="center" wrapText="1"/>
    </xf>
    <xf numFmtId="0" fontId="0" fillId="7" borderId="6" xfId="0" applyFill="1" applyBorder="1" applyAlignment="1">
      <alignment horizontal="center" vertical="center"/>
    </xf>
    <xf numFmtId="0" fontId="0" fillId="7" borderId="5" xfId="0" applyFill="1" applyBorder="1" applyAlignment="1">
      <alignment horizontal="center" vertical="center"/>
    </xf>
    <xf numFmtId="0" fontId="0" fillId="9" borderId="8" xfId="0" applyFill="1" applyBorder="1" applyAlignment="1">
      <alignment horizontal="center" vertical="center"/>
    </xf>
    <xf numFmtId="0" fontId="0" fillId="9" borderId="9" xfId="0" applyFill="1" applyBorder="1" applyAlignment="1">
      <alignment horizontal="center" vertical="center"/>
    </xf>
    <xf numFmtId="0" fontId="2" fillId="8" borderId="9" xfId="0" applyFont="1" applyFill="1" applyBorder="1" applyAlignment="1">
      <alignment horizontal="center" vertical="center"/>
    </xf>
    <xf numFmtId="0" fontId="0" fillId="5" borderId="8" xfId="0" applyFill="1" applyBorder="1" applyAlignment="1">
      <alignment horizontal="center" vertical="center"/>
    </xf>
    <xf numFmtId="0" fontId="0" fillId="5" borderId="10" xfId="0" applyFill="1" applyBorder="1" applyAlignment="1">
      <alignment horizontal="center" vertical="center"/>
    </xf>
    <xf numFmtId="0" fontId="0" fillId="5" borderId="9" xfId="0" applyFill="1" applyBorder="1" applyAlignment="1">
      <alignment horizontal="center" vertical="center"/>
    </xf>
    <xf numFmtId="0" fontId="0" fillId="10" borderId="10" xfId="0" applyFill="1" applyBorder="1" applyAlignment="1">
      <alignment horizontal="center" vertical="center"/>
    </xf>
    <xf numFmtId="0" fontId="0" fillId="10" borderId="9" xfId="0" applyFill="1" applyBorder="1" applyAlignment="1">
      <alignment horizontal="center" vertical="center"/>
    </xf>
    <xf numFmtId="0" fontId="0" fillId="10" borderId="1" xfId="0" applyFill="1" applyBorder="1" applyAlignment="1">
      <alignment horizontal="center" vertical="center"/>
    </xf>
    <xf numFmtId="0" fontId="0" fillId="10" borderId="12" xfId="0" applyFill="1" applyBorder="1" applyAlignment="1">
      <alignment horizontal="center" vertical="center"/>
    </xf>
    <xf numFmtId="0" fontId="0" fillId="10" borderId="4" xfId="0" applyFill="1" applyBorder="1" applyAlignment="1">
      <alignment horizontal="center" vertical="center"/>
    </xf>
    <xf numFmtId="0" fontId="0" fillId="10" borderId="15" xfId="0" applyFill="1" applyBorder="1" applyAlignment="1">
      <alignment horizontal="center" vertical="center"/>
    </xf>
    <xf numFmtId="0" fontId="0" fillId="10" borderId="11" xfId="0" applyFill="1" applyBorder="1" applyAlignment="1">
      <alignment horizontal="center" vertical="center"/>
    </xf>
    <xf numFmtId="0" fontId="0" fillId="10" borderId="16" xfId="0" applyFill="1" applyBorder="1" applyAlignment="1">
      <alignment horizontal="center" vertical="center"/>
    </xf>
    <xf numFmtId="0" fontId="0" fillId="7" borderId="2" xfId="0" applyFill="1" applyBorder="1" applyAlignment="1">
      <alignment horizontal="center" vertical="center"/>
    </xf>
    <xf numFmtId="0" fontId="0" fillId="10" borderId="8" xfId="0" applyFill="1" applyBorder="1" applyAlignment="1">
      <alignment horizontal="center" vertical="center"/>
    </xf>
    <xf numFmtId="0" fontId="7" fillId="8" borderId="1" xfId="0" applyFont="1" applyFill="1" applyBorder="1" applyAlignment="1">
      <alignment horizontal="center" vertical="center"/>
    </xf>
    <xf numFmtId="0" fontId="7" fillId="8" borderId="11" xfId="0" applyFont="1" applyFill="1" applyBorder="1" applyAlignment="1">
      <alignment horizontal="center" vertical="center"/>
    </xf>
    <xf numFmtId="0" fontId="7" fillId="8" borderId="12" xfId="0" applyFont="1" applyFill="1" applyBorder="1" applyAlignment="1">
      <alignment horizontal="center" vertical="center"/>
    </xf>
    <xf numFmtId="0" fontId="7" fillId="8" borderId="4" xfId="0" applyFont="1" applyFill="1" applyBorder="1" applyAlignment="1">
      <alignment horizontal="center" vertical="center"/>
    </xf>
    <xf numFmtId="0" fontId="7" fillId="8" borderId="16" xfId="0" applyFont="1" applyFill="1" applyBorder="1" applyAlignment="1">
      <alignment horizontal="center" vertical="center"/>
    </xf>
    <xf numFmtId="0" fontId="7" fillId="8" borderId="15" xfId="0" applyFont="1" applyFill="1" applyBorder="1" applyAlignment="1">
      <alignment horizontal="center" vertical="center"/>
    </xf>
    <xf numFmtId="164" fontId="0" fillId="5" borderId="8" xfId="0" applyNumberFormat="1" applyFill="1" applyBorder="1" applyAlignment="1">
      <alignment horizontal="center" vertical="center" wrapText="1"/>
    </xf>
    <xf numFmtId="164" fontId="0" fillId="5" borderId="10" xfId="0" applyNumberFormat="1" applyFill="1" applyBorder="1" applyAlignment="1">
      <alignment horizontal="center" vertical="center" wrapText="1"/>
    </xf>
    <xf numFmtId="164" fontId="0" fillId="10" borderId="1" xfId="0" applyNumberFormat="1" applyFill="1" applyBorder="1" applyAlignment="1">
      <alignment horizontal="center" vertical="center" wrapText="1"/>
    </xf>
    <xf numFmtId="164" fontId="0" fillId="10" borderId="12" xfId="0" applyNumberFormat="1" applyFill="1" applyBorder="1" applyAlignment="1">
      <alignment horizontal="center" vertical="center" wrapText="1"/>
    </xf>
    <xf numFmtId="164" fontId="0" fillId="10" borderId="4" xfId="0" applyNumberFormat="1" applyFill="1" applyBorder="1" applyAlignment="1">
      <alignment horizontal="center" vertical="center" wrapText="1"/>
    </xf>
    <xf numFmtId="164" fontId="0" fillId="10" borderId="15" xfId="0" applyNumberFormat="1" applyFill="1" applyBorder="1" applyAlignment="1">
      <alignment horizontal="center" vertical="center" wrapText="1"/>
    </xf>
    <xf numFmtId="164" fontId="0" fillId="10" borderId="6" xfId="0" applyNumberFormat="1" applyFill="1" applyBorder="1" applyAlignment="1">
      <alignment horizontal="center" vertical="center" wrapText="1"/>
    </xf>
    <xf numFmtId="164" fontId="0" fillId="5" borderId="1" xfId="0" applyNumberFormat="1" applyFill="1" applyBorder="1" applyAlignment="1">
      <alignment horizontal="center" vertical="center" wrapText="1"/>
    </xf>
    <xf numFmtId="164" fontId="0" fillId="5" borderId="11" xfId="0" applyNumberFormat="1" applyFill="1" applyBorder="1" applyAlignment="1">
      <alignment horizontal="center" vertical="center" wrapText="1"/>
    </xf>
    <xf numFmtId="164" fontId="0" fillId="5" borderId="12" xfId="0" applyNumberFormat="1" applyFill="1" applyBorder="1" applyAlignment="1">
      <alignment horizontal="center" vertical="center" wrapText="1"/>
    </xf>
    <xf numFmtId="164" fontId="0" fillId="5" borderId="4" xfId="0" applyNumberFormat="1" applyFill="1" applyBorder="1" applyAlignment="1">
      <alignment horizontal="center" vertical="center" wrapText="1"/>
    </xf>
    <xf numFmtId="164" fontId="0" fillId="5" borderId="16" xfId="0" applyNumberFormat="1" applyFill="1" applyBorder="1" applyAlignment="1">
      <alignment horizontal="center" vertical="center" wrapText="1"/>
    </xf>
    <xf numFmtId="164" fontId="0" fillId="5" borderId="15" xfId="0" applyNumberFormat="1" applyFill="1" applyBorder="1" applyAlignment="1">
      <alignment horizontal="center" vertical="center" wrapText="1"/>
    </xf>
    <xf numFmtId="14" fontId="0" fillId="7" borderId="3" xfId="0" applyNumberFormat="1" applyFill="1" applyBorder="1" applyAlignment="1">
      <alignment horizontal="center" vertical="center" wrapText="1"/>
    </xf>
    <xf numFmtId="14" fontId="0" fillId="7" borderId="4" xfId="0" applyNumberFormat="1" applyFill="1" applyBorder="1" applyAlignment="1">
      <alignment horizontal="center" vertical="center" wrapText="1"/>
    </xf>
    <xf numFmtId="14" fontId="0" fillId="7" borderId="13" xfId="0" applyNumberFormat="1" applyFill="1" applyBorder="1" applyAlignment="1">
      <alignment horizontal="center" vertical="center" wrapText="1"/>
    </xf>
    <xf numFmtId="14" fontId="0" fillId="7" borderId="15" xfId="0" applyNumberFormat="1" applyFill="1" applyBorder="1" applyAlignment="1">
      <alignment horizontal="center" vertical="center" wrapText="1"/>
    </xf>
    <xf numFmtId="164" fontId="0" fillId="0" borderId="10" xfId="0" applyNumberFormat="1" applyBorder="1" applyAlignment="1">
      <alignment horizontal="center" vertical="center" wrapText="1"/>
    </xf>
    <xf numFmtId="164" fontId="0" fillId="0" borderId="9" xfId="0" applyNumberFormat="1" applyBorder="1" applyAlignment="1">
      <alignment horizontal="center" vertical="center" wrapText="1"/>
    </xf>
    <xf numFmtId="164" fontId="7" fillId="8" borderId="1" xfId="0" applyNumberFormat="1" applyFont="1" applyFill="1" applyBorder="1" applyAlignment="1">
      <alignment horizontal="center" vertical="center" wrapText="1"/>
    </xf>
    <xf numFmtId="164" fontId="7" fillId="8" borderId="11" xfId="0" applyNumberFormat="1" applyFont="1" applyFill="1" applyBorder="1" applyAlignment="1">
      <alignment horizontal="center" vertical="center" wrapText="1"/>
    </xf>
    <xf numFmtId="164" fontId="7" fillId="8" borderId="12" xfId="0" applyNumberFormat="1" applyFont="1" applyFill="1" applyBorder="1" applyAlignment="1">
      <alignment horizontal="center" vertical="center" wrapText="1"/>
    </xf>
    <xf numFmtId="164" fontId="7" fillId="8" borderId="4" xfId="0" applyNumberFormat="1" applyFont="1" applyFill="1" applyBorder="1" applyAlignment="1">
      <alignment horizontal="center" vertical="center" wrapText="1"/>
    </xf>
    <xf numFmtId="164" fontId="7" fillId="8" borderId="16" xfId="0" applyNumberFormat="1" applyFont="1" applyFill="1" applyBorder="1" applyAlignment="1">
      <alignment horizontal="center" vertical="center" wrapText="1"/>
    </xf>
    <xf numFmtId="164" fontId="7" fillId="8" borderId="15" xfId="0" applyNumberFormat="1" applyFont="1" applyFill="1" applyBorder="1" applyAlignment="1">
      <alignment horizontal="center" vertical="center" wrapText="1"/>
    </xf>
    <xf numFmtId="0" fontId="0" fillId="5" borderId="6" xfId="0" applyFill="1" applyBorder="1" applyAlignment="1">
      <alignment horizontal="center" vertical="center" wrapText="1"/>
    </xf>
    <xf numFmtId="0" fontId="0" fillId="5" borderId="2" xfId="0" applyFill="1" applyBorder="1" applyAlignment="1">
      <alignment horizontal="center" vertical="center" wrapText="1"/>
    </xf>
    <xf numFmtId="0" fontId="2" fillId="8" borderId="3" xfId="0" applyFont="1" applyFill="1" applyBorder="1" applyAlignment="1">
      <alignment horizontal="center" vertical="center" wrapText="1"/>
    </xf>
    <xf numFmtId="0" fontId="2" fillId="8" borderId="13" xfId="0" applyFont="1" applyFill="1" applyBorder="1" applyAlignment="1">
      <alignment horizontal="center" vertical="center" wrapText="1"/>
    </xf>
    <xf numFmtId="0" fontId="0" fillId="9" borderId="11" xfId="0" applyFill="1" applyBorder="1" applyAlignment="1">
      <alignment horizontal="center" vertical="center" wrapText="1"/>
    </xf>
    <xf numFmtId="0" fontId="0" fillId="9" borderId="16" xfId="0" applyFill="1" applyBorder="1" applyAlignment="1">
      <alignment horizontal="center" vertical="center" wrapText="1"/>
    </xf>
    <xf numFmtId="0" fontId="7" fillId="8" borderId="8" xfId="0" applyFont="1" applyFill="1" applyBorder="1" applyAlignment="1">
      <alignment horizontal="center"/>
    </xf>
    <xf numFmtId="0" fontId="7" fillId="8" borderId="10" xfId="0" applyFont="1" applyFill="1" applyBorder="1" applyAlignment="1">
      <alignment horizontal="center"/>
    </xf>
    <xf numFmtId="0" fontId="7" fillId="8" borderId="9" xfId="0" applyFont="1" applyFill="1" applyBorder="1" applyAlignment="1">
      <alignment horizontal="center"/>
    </xf>
    <xf numFmtId="0" fontId="0" fillId="5" borderId="5" xfId="0" applyFill="1" applyBorder="1" applyAlignment="1">
      <alignment horizontal="center" vertical="center" wrapText="1"/>
    </xf>
    <xf numFmtId="0" fontId="2" fillId="8" borderId="6" xfId="0" applyFont="1" applyFill="1" applyBorder="1" applyAlignment="1">
      <alignment horizontal="center" vertical="center" wrapText="1"/>
    </xf>
    <xf numFmtId="0" fontId="2" fillId="8" borderId="5" xfId="0" applyFont="1" applyFill="1" applyBorder="1" applyAlignment="1">
      <alignment horizontal="center" vertical="center" wrapText="1"/>
    </xf>
    <xf numFmtId="0" fontId="7" fillId="8" borderId="6" xfId="0" applyFont="1" applyFill="1" applyBorder="1" applyAlignment="1">
      <alignment horizontal="center" vertical="center" wrapText="1"/>
    </xf>
    <xf numFmtId="0" fontId="7" fillId="8" borderId="5" xfId="0" applyFont="1" applyFill="1" applyBorder="1" applyAlignment="1">
      <alignment horizontal="center" vertical="center" wrapText="1"/>
    </xf>
    <xf numFmtId="0" fontId="7" fillId="8" borderId="1" xfId="0" applyFont="1" applyFill="1" applyBorder="1" applyAlignment="1">
      <alignment horizontal="center" vertical="center" wrapText="1"/>
    </xf>
    <xf numFmtId="0" fontId="7" fillId="8" borderId="11" xfId="0" applyFont="1" applyFill="1" applyBorder="1" applyAlignment="1">
      <alignment horizontal="center" vertical="center" wrapText="1"/>
    </xf>
    <xf numFmtId="0" fontId="7" fillId="8" borderId="12" xfId="0" applyFont="1" applyFill="1" applyBorder="1" applyAlignment="1">
      <alignment horizontal="center" vertical="center" wrapText="1"/>
    </xf>
    <xf numFmtId="0" fontId="7" fillId="8" borderId="4" xfId="0" applyFont="1" applyFill="1" applyBorder="1" applyAlignment="1">
      <alignment horizontal="center" vertical="center" wrapText="1"/>
    </xf>
    <xf numFmtId="0" fontId="7" fillId="8" borderId="16" xfId="0" applyFont="1" applyFill="1" applyBorder="1" applyAlignment="1">
      <alignment horizontal="center" vertical="center" wrapText="1"/>
    </xf>
    <xf numFmtId="0" fontId="7" fillId="8" borderId="15" xfId="0" applyFont="1" applyFill="1" applyBorder="1" applyAlignment="1">
      <alignment horizontal="center" vertical="center" wrapText="1"/>
    </xf>
    <xf numFmtId="0" fontId="2" fillId="17" borderId="8" xfId="0" applyFont="1" applyFill="1" applyBorder="1" applyAlignment="1">
      <alignment horizontal="center" vertical="center" wrapText="1"/>
    </xf>
    <xf numFmtId="0" fontId="2" fillId="17" borderId="10" xfId="0" applyFont="1" applyFill="1" applyBorder="1" applyAlignment="1">
      <alignment horizontal="center" vertical="center" wrapText="1"/>
    </xf>
    <xf numFmtId="0" fontId="2" fillId="17" borderId="9" xfId="0" applyFont="1" applyFill="1" applyBorder="1" applyAlignment="1">
      <alignment horizontal="center" vertical="center" wrapText="1"/>
    </xf>
    <xf numFmtId="0" fontId="2" fillId="10" borderId="8" xfId="0" applyFont="1" applyFill="1" applyBorder="1" applyAlignment="1">
      <alignment horizontal="center" vertical="center" wrapText="1"/>
    </xf>
    <xf numFmtId="0" fontId="2" fillId="10" borderId="10" xfId="0" applyFont="1" applyFill="1" applyBorder="1" applyAlignment="1">
      <alignment horizontal="center" vertical="center" wrapText="1"/>
    </xf>
    <xf numFmtId="0" fontId="2" fillId="10" borderId="9" xfId="0" applyFont="1" applyFill="1" applyBorder="1" applyAlignment="1">
      <alignment horizontal="center" vertical="center" wrapText="1"/>
    </xf>
    <xf numFmtId="0" fontId="0" fillId="7" borderId="0" xfId="0" applyFont="1" applyFill="1" applyBorder="1" applyAlignment="1">
      <alignment horizontal="center" vertical="center" wrapText="1"/>
    </xf>
    <xf numFmtId="0" fontId="0" fillId="7" borderId="16" xfId="0" applyFont="1" applyFill="1" applyBorder="1" applyAlignment="1">
      <alignment horizontal="center" vertical="center" wrapText="1"/>
    </xf>
    <xf numFmtId="0" fontId="2" fillId="10" borderId="4" xfId="0" applyFont="1" applyFill="1" applyBorder="1" applyAlignment="1">
      <alignment horizontal="center" vertical="center" wrapText="1"/>
    </xf>
    <xf numFmtId="0" fontId="2" fillId="10" borderId="16" xfId="0" applyFont="1" applyFill="1" applyBorder="1" applyAlignment="1">
      <alignment horizontal="center" vertical="center" wrapText="1"/>
    </xf>
    <xf numFmtId="0" fontId="2" fillId="10" borderId="15" xfId="0" applyFont="1" applyFill="1" applyBorder="1" applyAlignment="1">
      <alignment horizontal="center" vertical="center" wrapText="1"/>
    </xf>
    <xf numFmtId="0" fontId="0" fillId="10" borderId="6" xfId="0" applyFill="1" applyBorder="1" applyAlignment="1">
      <alignment horizontal="center" vertical="center" wrapText="1"/>
    </xf>
    <xf numFmtId="0" fontId="0" fillId="9" borderId="3" xfId="0" applyFill="1" applyBorder="1" applyAlignment="1">
      <alignment horizontal="center" vertical="center" wrapText="1"/>
    </xf>
    <xf numFmtId="0" fontId="0" fillId="9" borderId="13" xfId="0" applyFill="1" applyBorder="1" applyAlignment="1">
      <alignment horizontal="center" vertical="center" wrapText="1"/>
    </xf>
    <xf numFmtId="0" fontId="0" fillId="10" borderId="3" xfId="0" applyFill="1" applyBorder="1" applyAlignment="1">
      <alignment horizontal="center" vertical="center" wrapText="1"/>
    </xf>
    <xf numFmtId="0" fontId="0" fillId="10" borderId="13" xfId="0" applyFill="1" applyBorder="1" applyAlignment="1">
      <alignment horizontal="center" vertical="center" wrapText="1"/>
    </xf>
    <xf numFmtId="10" fontId="0" fillId="7" borderId="6" xfId="0" applyNumberFormat="1" applyFill="1" applyBorder="1" applyAlignment="1">
      <alignment horizontal="center" vertical="center" wrapText="1"/>
    </xf>
    <xf numFmtId="10" fontId="0" fillId="7" borderId="2" xfId="0" applyNumberFormat="1" applyFill="1" applyBorder="1" applyAlignment="1">
      <alignment horizontal="center" vertical="center" wrapText="1"/>
    </xf>
    <xf numFmtId="10" fontId="0" fillId="7" borderId="5" xfId="0" applyNumberFormat="1" applyFill="1" applyBorder="1" applyAlignment="1">
      <alignment horizontal="center" vertical="center" wrapText="1"/>
    </xf>
    <xf numFmtId="0" fontId="7" fillId="8" borderId="8" xfId="0" applyFont="1" applyFill="1" applyBorder="1" applyAlignment="1">
      <alignment horizontal="center" vertical="center" wrapText="1"/>
    </xf>
    <xf numFmtId="0" fontId="7" fillId="8" borderId="10" xfId="0" applyFont="1" applyFill="1" applyBorder="1" applyAlignment="1">
      <alignment horizontal="center" vertical="center" wrapText="1"/>
    </xf>
    <xf numFmtId="0" fontId="7" fillId="8" borderId="9" xfId="0" applyFont="1" applyFill="1" applyBorder="1" applyAlignment="1">
      <alignment horizontal="center" vertical="center" wrapText="1"/>
    </xf>
    <xf numFmtId="10" fontId="0" fillId="7" borderId="1" xfId="0" applyNumberFormat="1" applyFill="1" applyBorder="1" applyAlignment="1">
      <alignment horizontal="center" vertical="center" wrapText="1"/>
    </xf>
    <xf numFmtId="10" fontId="0" fillId="7" borderId="3" xfId="0" applyNumberFormat="1" applyFill="1" applyBorder="1" applyAlignment="1">
      <alignment horizontal="center" vertical="center" wrapText="1"/>
    </xf>
    <xf numFmtId="10" fontId="0" fillId="7" borderId="4" xfId="0" applyNumberFormat="1" applyFill="1" applyBorder="1" applyAlignment="1">
      <alignment horizontal="center" vertical="center" wrapText="1"/>
    </xf>
    <xf numFmtId="0" fontId="0" fillId="10" borderId="0" xfId="0" applyFill="1" applyBorder="1" applyAlignment="1">
      <alignment horizontal="center" vertical="center" wrapText="1"/>
    </xf>
    <xf numFmtId="0" fontId="0" fillId="7" borderId="11" xfId="0" applyFont="1" applyFill="1" applyBorder="1" applyAlignment="1">
      <alignment horizontal="center" vertical="center" wrapText="1"/>
    </xf>
    <xf numFmtId="164" fontId="5" fillId="5" borderId="1" xfId="0" applyNumberFormat="1" applyFont="1" applyFill="1" applyBorder="1" applyAlignment="1">
      <alignment horizontal="center" vertical="center" wrapText="1"/>
    </xf>
    <xf numFmtId="164" fontId="5" fillId="5" borderId="11" xfId="0" applyNumberFormat="1" applyFont="1" applyFill="1" applyBorder="1" applyAlignment="1">
      <alignment horizontal="center" vertical="center" wrapText="1"/>
    </xf>
    <xf numFmtId="164" fontId="5" fillId="5" borderId="12" xfId="0" applyNumberFormat="1" applyFont="1" applyFill="1" applyBorder="1" applyAlignment="1">
      <alignment horizontal="center" vertical="center" wrapText="1"/>
    </xf>
    <xf numFmtId="164" fontId="5" fillId="5" borderId="3" xfId="0" applyNumberFormat="1" applyFont="1" applyFill="1" applyBorder="1" applyAlignment="1">
      <alignment horizontal="center" vertical="center" wrapText="1"/>
    </xf>
    <xf numFmtId="164" fontId="5" fillId="5" borderId="0" xfId="0" applyNumberFormat="1" applyFont="1" applyFill="1" applyBorder="1" applyAlignment="1">
      <alignment horizontal="center" vertical="center" wrapText="1"/>
    </xf>
    <xf numFmtId="164" fontId="5" fillId="5" borderId="13" xfId="0" applyNumberFormat="1" applyFont="1" applyFill="1" applyBorder="1" applyAlignment="1">
      <alignment horizontal="center" vertical="center" wrapText="1"/>
    </xf>
    <xf numFmtId="164" fontId="5" fillId="5" borderId="4" xfId="0" applyNumberFormat="1" applyFont="1" applyFill="1" applyBorder="1" applyAlignment="1">
      <alignment horizontal="center" vertical="center" wrapText="1"/>
    </xf>
    <xf numFmtId="164" fontId="5" fillId="5" borderId="16" xfId="0" applyNumberFormat="1" applyFont="1" applyFill="1" applyBorder="1" applyAlignment="1">
      <alignment horizontal="center" vertical="center" wrapText="1"/>
    </xf>
    <xf numFmtId="164" fontId="5" fillId="5" borderId="15" xfId="0" applyNumberFormat="1" applyFont="1" applyFill="1" applyBorder="1" applyAlignment="1">
      <alignment horizontal="center" vertical="center" wrapText="1"/>
    </xf>
    <xf numFmtId="164" fontId="5" fillId="7" borderId="6" xfId="0" applyNumberFormat="1" applyFont="1" applyFill="1" applyBorder="1" applyAlignment="1">
      <alignment horizontal="center" vertical="center" wrapText="1"/>
    </xf>
    <xf numFmtId="164" fontId="5" fillId="7" borderId="5" xfId="0" applyNumberFormat="1" applyFont="1" applyFill="1" applyBorder="1" applyAlignment="1">
      <alignment horizontal="center" vertical="center" wrapText="1"/>
    </xf>
    <xf numFmtId="0" fontId="9" fillId="8" borderId="8" xfId="0" applyFont="1" applyFill="1" applyBorder="1" applyAlignment="1">
      <alignment horizontal="center" vertical="center" wrapText="1"/>
    </xf>
    <xf numFmtId="0" fontId="9" fillId="8" borderId="10" xfId="0" applyFont="1" applyFill="1" applyBorder="1" applyAlignment="1">
      <alignment horizontal="center" vertical="center" wrapText="1"/>
    </xf>
    <xf numFmtId="0" fontId="9" fillId="8" borderId="9" xfId="0" applyFont="1" applyFill="1" applyBorder="1" applyAlignment="1">
      <alignment horizontal="center" vertical="center" wrapText="1"/>
    </xf>
    <xf numFmtId="0" fontId="5" fillId="5" borderId="1" xfId="0" applyFont="1" applyFill="1" applyBorder="1" applyAlignment="1">
      <alignment horizontal="center" vertical="center" wrapText="1"/>
    </xf>
    <xf numFmtId="0" fontId="5" fillId="5" borderId="11" xfId="0" applyFont="1" applyFill="1" applyBorder="1" applyAlignment="1">
      <alignment horizontal="center" vertical="center" wrapText="1"/>
    </xf>
    <xf numFmtId="0" fontId="5" fillId="5" borderId="12" xfId="0" applyFont="1" applyFill="1" applyBorder="1" applyAlignment="1">
      <alignment horizontal="center" vertical="center" wrapText="1"/>
    </xf>
    <xf numFmtId="0" fontId="5" fillId="5" borderId="4" xfId="0" applyFont="1" applyFill="1" applyBorder="1" applyAlignment="1">
      <alignment horizontal="center" vertical="center" wrapText="1"/>
    </xf>
    <xf numFmtId="0" fontId="5" fillId="5" borderId="16" xfId="0" applyFont="1" applyFill="1" applyBorder="1" applyAlignment="1">
      <alignment horizontal="center" vertical="center" wrapText="1"/>
    </xf>
    <xf numFmtId="0" fontId="5" fillId="5" borderId="15" xfId="0" applyFont="1" applyFill="1" applyBorder="1" applyAlignment="1">
      <alignment horizontal="center" vertical="center" wrapText="1"/>
    </xf>
    <xf numFmtId="164" fontId="5" fillId="7" borderId="1" xfId="0" applyNumberFormat="1" applyFont="1" applyFill="1" applyBorder="1" applyAlignment="1">
      <alignment horizontal="center" vertical="center" wrapText="1"/>
    </xf>
    <xf numFmtId="164" fontId="5" fillId="7" borderId="3" xfId="0" applyNumberFormat="1" applyFont="1" applyFill="1" applyBorder="1" applyAlignment="1">
      <alignment horizontal="center" vertical="center" wrapText="1"/>
    </xf>
    <xf numFmtId="164" fontId="5" fillId="7" borderId="4" xfId="0" applyNumberFormat="1" applyFont="1" applyFill="1" applyBorder="1" applyAlignment="1">
      <alignment horizontal="center" vertical="center" wrapText="1"/>
    </xf>
    <xf numFmtId="164" fontId="5" fillId="7" borderId="11" xfId="0" applyNumberFormat="1" applyFont="1" applyFill="1" applyBorder="1" applyAlignment="1">
      <alignment horizontal="center" vertical="center" wrapText="1"/>
    </xf>
    <xf numFmtId="164" fontId="5" fillId="7" borderId="0" xfId="0" applyNumberFormat="1" applyFont="1" applyFill="1" applyBorder="1" applyAlignment="1">
      <alignment horizontal="center" vertical="center" wrapText="1"/>
    </xf>
    <xf numFmtId="164" fontId="5" fillId="7" borderId="16" xfId="0" applyNumberFormat="1" applyFont="1" applyFill="1" applyBorder="1" applyAlignment="1">
      <alignment horizontal="center" vertical="center" wrapText="1"/>
    </xf>
    <xf numFmtId="10" fontId="5" fillId="7" borderId="12" xfId="0" applyNumberFormat="1" applyFont="1" applyFill="1" applyBorder="1" applyAlignment="1">
      <alignment horizontal="center" vertical="center" wrapText="1"/>
    </xf>
    <xf numFmtId="10" fontId="5" fillId="7" borderId="13" xfId="0" applyNumberFormat="1" applyFont="1" applyFill="1" applyBorder="1" applyAlignment="1">
      <alignment horizontal="center" vertical="center" wrapText="1"/>
    </xf>
    <xf numFmtId="10" fontId="5" fillId="7" borderId="15" xfId="0" applyNumberFormat="1" applyFont="1" applyFill="1" applyBorder="1" applyAlignment="1">
      <alignment horizontal="center" vertical="center" wrapText="1"/>
    </xf>
    <xf numFmtId="0" fontId="5" fillId="5" borderId="3" xfId="0" applyFont="1" applyFill="1" applyBorder="1" applyAlignment="1">
      <alignment horizontal="center" vertical="center" wrapText="1"/>
    </xf>
    <xf numFmtId="0" fontId="5" fillId="5" borderId="13" xfId="0" applyFont="1" applyFill="1" applyBorder="1" applyAlignment="1">
      <alignment horizontal="center" vertical="center" wrapText="1"/>
    </xf>
    <xf numFmtId="164" fontId="5" fillId="7" borderId="2" xfId="0" applyNumberFormat="1" applyFont="1" applyFill="1" applyBorder="1" applyAlignment="1">
      <alignment horizontal="center" vertical="center" wrapText="1"/>
    </xf>
    <xf numFmtId="0" fontId="5" fillId="7" borderId="6" xfId="0" applyFont="1" applyFill="1" applyBorder="1" applyAlignment="1">
      <alignment horizontal="center" vertical="center" wrapText="1"/>
    </xf>
    <xf numFmtId="0" fontId="5" fillId="7" borderId="2" xfId="0" applyFont="1" applyFill="1" applyBorder="1" applyAlignment="1">
      <alignment horizontal="center" vertical="center" wrapText="1"/>
    </xf>
    <xf numFmtId="0" fontId="5" fillId="7" borderId="5" xfId="0" applyFont="1" applyFill="1" applyBorder="1" applyAlignment="1">
      <alignment horizontal="center" vertical="center" wrapText="1"/>
    </xf>
    <xf numFmtId="0" fontId="5" fillId="9" borderId="8" xfId="0" applyFont="1" applyFill="1" applyBorder="1" applyAlignment="1">
      <alignment horizontal="center" vertical="center" wrapText="1"/>
    </xf>
    <xf numFmtId="0" fontId="5" fillId="9" borderId="10" xfId="0" applyFont="1" applyFill="1" applyBorder="1" applyAlignment="1">
      <alignment horizontal="center" vertical="center" wrapText="1"/>
    </xf>
    <xf numFmtId="164" fontId="5" fillId="7" borderId="12" xfId="0" applyNumberFormat="1" applyFont="1" applyFill="1" applyBorder="1" applyAlignment="1">
      <alignment horizontal="center" vertical="center" wrapText="1"/>
    </xf>
    <xf numFmtId="164" fontId="5" fillId="7" borderId="13" xfId="0" applyNumberFormat="1" applyFont="1" applyFill="1" applyBorder="1" applyAlignment="1">
      <alignment horizontal="center" vertical="center" wrapText="1"/>
    </xf>
    <xf numFmtId="164" fontId="5" fillId="7" borderId="15" xfId="0" applyNumberFormat="1" applyFont="1" applyFill="1" applyBorder="1" applyAlignment="1">
      <alignment horizontal="center" vertical="center" wrapText="1"/>
    </xf>
    <xf numFmtId="0" fontId="5" fillId="5" borderId="8" xfId="0" applyFont="1" applyFill="1" applyBorder="1" applyAlignment="1">
      <alignment horizontal="center" vertical="center" wrapText="1"/>
    </xf>
    <xf numFmtId="0" fontId="5" fillId="5" borderId="10" xfId="0" applyFont="1" applyFill="1" applyBorder="1" applyAlignment="1">
      <alignment horizontal="center" vertical="center" wrapText="1"/>
    </xf>
    <xf numFmtId="0" fontId="5" fillId="5" borderId="9" xfId="0" applyFont="1" applyFill="1" applyBorder="1" applyAlignment="1">
      <alignment horizontal="center" vertical="center" wrapText="1"/>
    </xf>
    <xf numFmtId="10" fontId="5" fillId="7" borderId="6" xfId="0" applyNumberFormat="1" applyFont="1" applyFill="1" applyBorder="1" applyAlignment="1">
      <alignment horizontal="center" vertical="center" wrapText="1"/>
    </xf>
    <xf numFmtId="10" fontId="5" fillId="7" borderId="2" xfId="0" applyNumberFormat="1" applyFont="1" applyFill="1" applyBorder="1" applyAlignment="1">
      <alignment horizontal="center" vertical="center" wrapText="1"/>
    </xf>
    <xf numFmtId="10" fontId="5" fillId="7" borderId="5" xfId="0" applyNumberFormat="1" applyFont="1" applyFill="1" applyBorder="1" applyAlignment="1">
      <alignment horizontal="center" vertical="center" wrapText="1"/>
    </xf>
    <xf numFmtId="0" fontId="5" fillId="7" borderId="3" xfId="0" applyFont="1" applyFill="1" applyBorder="1" applyAlignment="1">
      <alignment horizontal="center" vertical="center" wrapText="1"/>
    </xf>
    <xf numFmtId="0" fontId="5" fillId="7" borderId="4" xfId="0" applyFont="1" applyFill="1" applyBorder="1" applyAlignment="1">
      <alignment horizontal="center" vertical="center" wrapText="1"/>
    </xf>
    <xf numFmtId="0" fontId="5" fillId="7" borderId="13" xfId="0" applyFont="1" applyFill="1" applyBorder="1" applyAlignment="1">
      <alignment horizontal="center" vertical="center" wrapText="1"/>
    </xf>
    <xf numFmtId="0" fontId="5" fillId="7" borderId="15" xfId="0" applyFont="1" applyFill="1" applyBorder="1" applyAlignment="1">
      <alignment horizontal="center" vertical="center" wrapText="1"/>
    </xf>
    <xf numFmtId="164" fontId="5" fillId="5" borderId="6" xfId="0" applyNumberFormat="1" applyFont="1" applyFill="1" applyBorder="1" applyAlignment="1">
      <alignment horizontal="center" vertical="center" wrapText="1"/>
    </xf>
    <xf numFmtId="164" fontId="5" fillId="5" borderId="2" xfId="0" applyNumberFormat="1" applyFont="1" applyFill="1" applyBorder="1" applyAlignment="1">
      <alignment horizontal="center" vertical="center" wrapText="1"/>
    </xf>
    <xf numFmtId="164" fontId="5" fillId="5" borderId="5" xfId="0" applyNumberFormat="1" applyFont="1" applyFill="1" applyBorder="1" applyAlignment="1">
      <alignment horizontal="center" vertical="center" wrapText="1"/>
    </xf>
    <xf numFmtId="0" fontId="5" fillId="9" borderId="1" xfId="0" applyFont="1" applyFill="1" applyBorder="1" applyAlignment="1">
      <alignment horizontal="center" vertical="center" wrapText="1"/>
    </xf>
    <xf numFmtId="0" fontId="5" fillId="9" borderId="12" xfId="0" applyFont="1" applyFill="1" applyBorder="1" applyAlignment="1">
      <alignment horizontal="center" vertical="center" wrapText="1"/>
    </xf>
    <xf numFmtId="0" fontId="5" fillId="9" borderId="4" xfId="0" applyFont="1" applyFill="1" applyBorder="1" applyAlignment="1">
      <alignment horizontal="center" vertical="center" wrapText="1"/>
    </xf>
    <xf numFmtId="0" fontId="5" fillId="9" borderId="15" xfId="0" applyFont="1" applyFill="1" applyBorder="1" applyAlignment="1">
      <alignment horizontal="center" vertical="center" wrapText="1"/>
    </xf>
    <xf numFmtId="0" fontId="5" fillId="10" borderId="8" xfId="0" applyFont="1" applyFill="1" applyBorder="1" applyAlignment="1">
      <alignment horizontal="center" vertical="center" wrapText="1"/>
    </xf>
    <xf numFmtId="0" fontId="5" fillId="10" borderId="10" xfId="0" applyFont="1" applyFill="1" applyBorder="1" applyAlignment="1">
      <alignment horizontal="center" vertical="center" wrapText="1"/>
    </xf>
    <xf numFmtId="0" fontId="5" fillId="10" borderId="9" xfId="0" applyFont="1" applyFill="1" applyBorder="1" applyAlignment="1">
      <alignment horizontal="center" vertical="center" wrapText="1"/>
    </xf>
    <xf numFmtId="0" fontId="5" fillId="16" borderId="1" xfId="0" applyFont="1" applyFill="1" applyBorder="1" applyAlignment="1">
      <alignment horizontal="center" vertical="center" wrapText="1"/>
    </xf>
    <xf numFmtId="0" fontId="5" fillId="16" borderId="12" xfId="0" applyFont="1" applyFill="1" applyBorder="1" applyAlignment="1">
      <alignment horizontal="center" vertical="center" wrapText="1"/>
    </xf>
    <xf numFmtId="0" fontId="5" fillId="16" borderId="4" xfId="0" applyFont="1" applyFill="1" applyBorder="1" applyAlignment="1">
      <alignment horizontal="center" vertical="center" wrapText="1"/>
    </xf>
    <xf numFmtId="0" fontId="5" fillId="16" borderId="15" xfId="0" applyFont="1" applyFill="1" applyBorder="1" applyAlignment="1">
      <alignment horizontal="center" vertical="center" wrapText="1"/>
    </xf>
    <xf numFmtId="0" fontId="5" fillId="8" borderId="10" xfId="0" applyFont="1" applyFill="1" applyBorder="1" applyAlignment="1">
      <alignment horizontal="center" vertical="center" wrapText="1"/>
    </xf>
    <xf numFmtId="0" fontId="5" fillId="15" borderId="8" xfId="0" applyFont="1" applyFill="1" applyBorder="1" applyAlignment="1">
      <alignment horizontal="center" vertical="center" wrapText="1"/>
    </xf>
    <xf numFmtId="0" fontId="5" fillId="15" borderId="10" xfId="0" applyFont="1" applyFill="1" applyBorder="1" applyAlignment="1">
      <alignment horizontal="center" vertical="center" wrapText="1"/>
    </xf>
    <xf numFmtId="0" fontId="5" fillId="15" borderId="9" xfId="0" applyFont="1" applyFill="1" applyBorder="1" applyAlignment="1">
      <alignment horizontal="center" vertical="center" wrapText="1"/>
    </xf>
    <xf numFmtId="0" fontId="5" fillId="7" borderId="6" xfId="0" applyNumberFormat="1" applyFont="1" applyFill="1" applyBorder="1" applyAlignment="1">
      <alignment horizontal="center" vertical="center" wrapText="1"/>
    </xf>
    <xf numFmtId="0" fontId="5" fillId="7" borderId="5" xfId="0" applyNumberFormat="1" applyFont="1" applyFill="1" applyBorder="1" applyAlignment="1">
      <alignment horizontal="center" vertical="center" wrapText="1"/>
    </xf>
    <xf numFmtId="10" fontId="0" fillId="7" borderId="16" xfId="0" applyNumberFormat="1" applyFill="1" applyBorder="1" applyAlignment="1">
      <alignment horizontal="center" vertical="center" wrapText="1"/>
    </xf>
    <xf numFmtId="0" fontId="0" fillId="8" borderId="10" xfId="0" applyFill="1" applyBorder="1" applyAlignment="1">
      <alignment horizontal="center" vertical="center" wrapText="1"/>
    </xf>
    <xf numFmtId="164" fontId="0" fillId="5" borderId="6" xfId="0" applyNumberFormat="1" applyFill="1" applyBorder="1" applyAlignment="1">
      <alignment horizontal="center" vertical="center" wrapText="1"/>
    </xf>
    <xf numFmtId="164" fontId="0" fillId="5" borderId="2" xfId="0" applyNumberFormat="1" applyFill="1" applyBorder="1" applyAlignment="1">
      <alignment horizontal="center" vertical="center" wrapText="1"/>
    </xf>
    <xf numFmtId="164" fontId="0" fillId="5" borderId="5" xfId="0" applyNumberFormat="1" applyFill="1" applyBorder="1" applyAlignment="1">
      <alignment horizontal="center" vertical="center" wrapText="1"/>
    </xf>
    <xf numFmtId="10" fontId="0" fillId="7" borderId="12" xfId="0" applyNumberFormat="1" applyFill="1" applyBorder="1" applyAlignment="1">
      <alignment horizontal="center" vertical="center" wrapText="1"/>
    </xf>
    <xf numFmtId="10" fontId="0" fillId="7" borderId="13" xfId="0" applyNumberFormat="1" applyFill="1" applyBorder="1" applyAlignment="1">
      <alignment horizontal="center" vertical="center" wrapText="1"/>
    </xf>
    <xf numFmtId="164" fontId="0" fillId="5" borderId="3" xfId="0" applyNumberFormat="1" applyFill="1" applyBorder="1" applyAlignment="1">
      <alignment horizontal="center" vertical="center" wrapText="1"/>
    </xf>
    <xf numFmtId="164" fontId="0" fillId="5" borderId="13" xfId="0" applyNumberFormat="1" applyFill="1" applyBorder="1" applyAlignment="1">
      <alignment horizontal="center" vertical="center" wrapText="1"/>
    </xf>
    <xf numFmtId="164" fontId="0" fillId="7" borderId="0" xfId="0" applyNumberFormat="1" applyFill="1" applyAlignment="1">
      <alignment horizontal="center" vertical="center" wrapText="1"/>
    </xf>
    <xf numFmtId="0" fontId="2" fillId="11" borderId="8" xfId="0" applyFont="1" applyFill="1" applyBorder="1" applyAlignment="1">
      <alignment horizontal="center" vertical="center" wrapText="1"/>
    </xf>
    <xf numFmtId="0" fontId="2" fillId="11" borderId="10" xfId="0" applyFont="1" applyFill="1" applyBorder="1" applyAlignment="1">
      <alignment horizontal="center" vertical="center" wrapText="1"/>
    </xf>
    <xf numFmtId="0" fontId="2" fillId="11" borderId="9" xfId="0" applyFont="1" applyFill="1" applyBorder="1" applyAlignment="1">
      <alignment horizontal="center" vertical="center" wrapText="1"/>
    </xf>
    <xf numFmtId="0" fontId="5" fillId="7" borderId="12" xfId="4" applyFont="1" applyFill="1" applyBorder="1" applyAlignment="1">
      <alignment horizontal="center" vertical="center" wrapText="1"/>
    </xf>
    <xf numFmtId="0" fontId="5" fillId="7" borderId="13" xfId="4" applyFont="1" applyFill="1" applyBorder="1" applyAlignment="1">
      <alignment horizontal="center" vertical="center" wrapText="1"/>
    </xf>
    <xf numFmtId="0" fontId="0" fillId="5" borderId="1" xfId="0" applyFont="1" applyFill="1" applyBorder="1" applyAlignment="1">
      <alignment horizontal="center" vertical="center"/>
    </xf>
    <xf numFmtId="0" fontId="0" fillId="5" borderId="12" xfId="0" applyFont="1" applyFill="1" applyBorder="1" applyAlignment="1">
      <alignment horizontal="center" vertical="center"/>
    </xf>
    <xf numFmtId="0" fontId="0" fillId="5" borderId="3" xfId="0" applyFont="1" applyFill="1" applyBorder="1" applyAlignment="1">
      <alignment horizontal="center" vertical="center"/>
    </xf>
    <xf numFmtId="0" fontId="0" fillId="5" borderId="13" xfId="0" applyFont="1" applyFill="1" applyBorder="1" applyAlignment="1">
      <alignment horizontal="center" vertical="center"/>
    </xf>
    <xf numFmtId="0" fontId="0" fillId="7" borderId="12" xfId="0" applyFont="1" applyFill="1" applyBorder="1" applyAlignment="1">
      <alignment horizontal="center" vertical="center" wrapText="1"/>
    </xf>
    <xf numFmtId="0" fontId="0" fillId="7" borderId="13" xfId="0" applyFont="1" applyFill="1" applyBorder="1" applyAlignment="1">
      <alignment horizontal="center" vertical="center" wrapText="1"/>
    </xf>
    <xf numFmtId="0" fontId="0" fillId="7" borderId="15" xfId="0" applyFont="1" applyFill="1" applyBorder="1" applyAlignment="1">
      <alignment horizontal="center" vertical="center" wrapText="1"/>
    </xf>
    <xf numFmtId="0" fontId="2" fillId="8" borderId="7" xfId="0" applyFont="1" applyFill="1" applyBorder="1" applyAlignment="1">
      <alignment horizontal="center"/>
    </xf>
    <xf numFmtId="0" fontId="0" fillId="7" borderId="1" xfId="0" applyFont="1" applyFill="1" applyBorder="1" applyAlignment="1">
      <alignment horizontal="center" vertical="center"/>
    </xf>
    <xf numFmtId="0" fontId="0" fillId="7" borderId="3" xfId="0" applyFont="1" applyFill="1" applyBorder="1" applyAlignment="1">
      <alignment horizontal="center" vertical="center"/>
    </xf>
    <xf numFmtId="0" fontId="0" fillId="7" borderId="4" xfId="0" applyFont="1" applyFill="1" applyBorder="1" applyAlignment="1">
      <alignment horizontal="center" vertical="center"/>
    </xf>
    <xf numFmtId="0" fontId="0" fillId="7" borderId="0" xfId="0" applyFont="1" applyFill="1" applyBorder="1" applyAlignment="1">
      <alignment horizontal="center" vertical="center"/>
    </xf>
    <xf numFmtId="0" fontId="5" fillId="7" borderId="6" xfId="4" applyFont="1" applyFill="1" applyBorder="1" applyAlignment="1">
      <alignment horizontal="center" vertical="center" wrapText="1"/>
    </xf>
    <xf numFmtId="0" fontId="5" fillId="7" borderId="2" xfId="4" applyFont="1" applyFill="1" applyBorder="1" applyAlignment="1">
      <alignment horizontal="center" vertical="center" wrapText="1"/>
    </xf>
    <xf numFmtId="0" fontId="0" fillId="7" borderId="13" xfId="0" applyFont="1" applyFill="1" applyBorder="1" applyAlignment="1">
      <alignment horizontal="center" vertical="center"/>
    </xf>
    <xf numFmtId="0" fontId="0" fillId="7" borderId="11" xfId="0" applyFont="1" applyFill="1" applyBorder="1" applyAlignment="1">
      <alignment horizontal="center" vertical="center"/>
    </xf>
    <xf numFmtId="0" fontId="0" fillId="7" borderId="1" xfId="0" applyFont="1" applyFill="1" applyBorder="1" applyAlignment="1">
      <alignment horizontal="center" vertical="center" wrapText="1"/>
    </xf>
    <xf numFmtId="0" fontId="0" fillId="7" borderId="3" xfId="0" applyFont="1" applyFill="1" applyBorder="1" applyAlignment="1">
      <alignment horizontal="center" vertical="center" wrapText="1"/>
    </xf>
    <xf numFmtId="0" fontId="0" fillId="5" borderId="11" xfId="0" applyFont="1" applyFill="1" applyBorder="1" applyAlignment="1">
      <alignment horizontal="center" vertical="center"/>
    </xf>
    <xf numFmtId="0" fontId="0" fillId="5" borderId="16" xfId="0" applyFont="1" applyFill="1" applyBorder="1" applyAlignment="1">
      <alignment horizontal="center" vertical="center"/>
    </xf>
    <xf numFmtId="0" fontId="0" fillId="5" borderId="4" xfId="0" applyFont="1" applyFill="1" applyBorder="1" applyAlignment="1">
      <alignment horizontal="center" vertical="center"/>
    </xf>
    <xf numFmtId="0" fontId="0" fillId="5" borderId="15" xfId="0" applyFont="1" applyFill="1" applyBorder="1" applyAlignment="1">
      <alignment horizontal="center" vertical="center"/>
    </xf>
    <xf numFmtId="170" fontId="5" fillId="7" borderId="1" xfId="2" applyNumberFormat="1" applyFont="1" applyFill="1" applyBorder="1" applyAlignment="1">
      <alignment horizontal="center" vertical="center" wrapText="1"/>
    </xf>
    <xf numFmtId="170" fontId="5" fillId="7" borderId="3" xfId="2" applyNumberFormat="1" applyFont="1" applyFill="1" applyBorder="1" applyAlignment="1">
      <alignment horizontal="center" vertical="center" wrapText="1"/>
    </xf>
    <xf numFmtId="170" fontId="5" fillId="7" borderId="4" xfId="2" applyNumberFormat="1" applyFont="1" applyFill="1" applyBorder="1" applyAlignment="1">
      <alignment horizontal="center" vertical="center" wrapText="1"/>
    </xf>
    <xf numFmtId="0" fontId="5" fillId="5" borderId="11" xfId="2" applyFont="1" applyFill="1" applyBorder="1" applyAlignment="1">
      <alignment horizontal="center" vertical="center" wrapText="1"/>
    </xf>
    <xf numFmtId="0" fontId="5" fillId="5" borderId="0" xfId="2" applyFont="1" applyFill="1" applyBorder="1" applyAlignment="1">
      <alignment horizontal="center" vertical="center" wrapText="1"/>
    </xf>
    <xf numFmtId="164" fontId="5" fillId="7" borderId="1" xfId="2" applyNumberFormat="1" applyFont="1" applyFill="1" applyBorder="1" applyAlignment="1">
      <alignment horizontal="center" vertical="center" wrapText="1"/>
    </xf>
    <xf numFmtId="164" fontId="5" fillId="7" borderId="3" xfId="2" applyNumberFormat="1" applyFont="1" applyFill="1" applyBorder="1" applyAlignment="1">
      <alignment horizontal="center" vertical="center" wrapText="1"/>
    </xf>
    <xf numFmtId="164" fontId="5" fillId="7" borderId="4" xfId="2" applyNumberFormat="1" applyFont="1" applyFill="1" applyBorder="1" applyAlignment="1">
      <alignment horizontal="center" vertical="center" wrapText="1"/>
    </xf>
    <xf numFmtId="0" fontId="5" fillId="7" borderId="6" xfId="2" applyFont="1" applyFill="1" applyBorder="1" applyAlignment="1">
      <alignment horizontal="center" vertical="center" wrapText="1"/>
    </xf>
    <xf numFmtId="0" fontId="5" fillId="7" borderId="2" xfId="2" applyFont="1" applyFill="1" applyBorder="1" applyAlignment="1">
      <alignment horizontal="center" vertical="center" wrapText="1"/>
    </xf>
    <xf numFmtId="0" fontId="5" fillId="7" borderId="5" xfId="2" applyFont="1" applyFill="1" applyBorder="1" applyAlignment="1">
      <alignment horizontal="center" vertical="center" wrapText="1"/>
    </xf>
    <xf numFmtId="0" fontId="0" fillId="7" borderId="12" xfId="0" applyFont="1" applyFill="1" applyBorder="1" applyAlignment="1">
      <alignment horizontal="center" vertical="center"/>
    </xf>
    <xf numFmtId="0" fontId="0" fillId="7" borderId="15" xfId="0" applyFont="1" applyFill="1" applyBorder="1" applyAlignment="1">
      <alignment horizontal="center" vertical="center"/>
    </xf>
    <xf numFmtId="0" fontId="0" fillId="5" borderId="4" xfId="0" applyFont="1" applyFill="1" applyBorder="1" applyAlignment="1">
      <alignment horizontal="center"/>
    </xf>
    <xf numFmtId="0" fontId="0" fillId="5" borderId="16" xfId="0" applyFont="1" applyFill="1" applyBorder="1" applyAlignment="1">
      <alignment horizontal="center"/>
    </xf>
    <xf numFmtId="0" fontId="0" fillId="7" borderId="16" xfId="0" applyFont="1" applyFill="1" applyBorder="1" applyAlignment="1">
      <alignment horizontal="center" vertical="center"/>
    </xf>
    <xf numFmtId="164" fontId="0" fillId="7" borderId="12" xfId="0" applyNumberFormat="1" applyFont="1" applyFill="1" applyBorder="1" applyAlignment="1">
      <alignment horizontal="center" vertical="center"/>
    </xf>
    <xf numFmtId="164" fontId="0" fillId="7" borderId="13" xfId="0" applyNumberFormat="1" applyFont="1" applyFill="1" applyBorder="1" applyAlignment="1">
      <alignment horizontal="center" vertical="center"/>
    </xf>
    <xf numFmtId="164" fontId="0" fillId="7" borderId="15" xfId="0" applyNumberFormat="1" applyFont="1" applyFill="1" applyBorder="1" applyAlignment="1">
      <alignment horizontal="center" vertical="center"/>
    </xf>
    <xf numFmtId="0" fontId="0" fillId="5" borderId="8" xfId="0" applyFont="1" applyFill="1" applyBorder="1" applyAlignment="1">
      <alignment horizontal="center"/>
    </xf>
    <xf numFmtId="0" fontId="0" fillId="5" borderId="9" xfId="0" applyFont="1" applyFill="1" applyBorder="1" applyAlignment="1">
      <alignment horizontal="center"/>
    </xf>
    <xf numFmtId="0" fontId="0" fillId="9" borderId="1" xfId="0" applyFont="1" applyFill="1" applyBorder="1" applyAlignment="1">
      <alignment horizontal="center" vertical="center"/>
    </xf>
    <xf numFmtId="0" fontId="0" fillId="9" borderId="11" xfId="0" applyFont="1" applyFill="1" applyBorder="1" applyAlignment="1">
      <alignment horizontal="center" vertical="center"/>
    </xf>
    <xf numFmtId="0" fontId="0" fillId="9" borderId="4" xfId="0" applyFont="1" applyFill="1" applyBorder="1" applyAlignment="1">
      <alignment horizontal="center" vertical="center"/>
    </xf>
    <xf numFmtId="0" fontId="0" fillId="9" borderId="16" xfId="0" applyFont="1" applyFill="1" applyBorder="1" applyAlignment="1">
      <alignment horizontal="center" vertical="center"/>
    </xf>
    <xf numFmtId="0" fontId="0" fillId="9" borderId="12" xfId="0" applyFont="1" applyFill="1" applyBorder="1" applyAlignment="1">
      <alignment horizontal="center" vertical="center"/>
    </xf>
    <xf numFmtId="0" fontId="0" fillId="9" borderId="15" xfId="0" applyFont="1" applyFill="1" applyBorder="1" applyAlignment="1">
      <alignment horizontal="center" vertical="center"/>
    </xf>
    <xf numFmtId="0" fontId="0" fillId="9" borderId="8" xfId="0" applyFont="1" applyFill="1" applyBorder="1" applyAlignment="1">
      <alignment horizontal="center" vertical="center"/>
    </xf>
    <xf numFmtId="0" fontId="0" fillId="9" borderId="10" xfId="0" applyFont="1" applyFill="1" applyBorder="1" applyAlignment="1">
      <alignment horizontal="center" vertical="center"/>
    </xf>
    <xf numFmtId="0" fontId="0" fillId="9" borderId="9" xfId="0" applyFont="1" applyFill="1" applyBorder="1" applyAlignment="1">
      <alignment horizontal="center" vertical="center"/>
    </xf>
    <xf numFmtId="0" fontId="0" fillId="5" borderId="8" xfId="0" applyFont="1" applyFill="1" applyBorder="1" applyAlignment="1">
      <alignment horizontal="center" vertical="center"/>
    </xf>
    <xf numFmtId="0" fontId="0" fillId="5" borderId="10" xfId="0" applyFont="1" applyFill="1" applyBorder="1" applyAlignment="1">
      <alignment horizontal="center" vertical="center"/>
    </xf>
    <xf numFmtId="0" fontId="0" fillId="5" borderId="9" xfId="0" applyFont="1" applyFill="1" applyBorder="1" applyAlignment="1">
      <alignment horizontal="center" vertical="center"/>
    </xf>
    <xf numFmtId="0" fontId="2" fillId="8" borderId="1" xfId="0" applyFont="1" applyFill="1" applyBorder="1" applyAlignment="1">
      <alignment horizontal="center" vertical="center"/>
    </xf>
    <xf numFmtId="0" fontId="2" fillId="8" borderId="11" xfId="0" applyFont="1" applyFill="1" applyBorder="1" applyAlignment="1">
      <alignment horizontal="center" vertical="center"/>
    </xf>
    <xf numFmtId="0" fontId="2" fillId="8" borderId="12" xfId="0" applyFont="1" applyFill="1" applyBorder="1" applyAlignment="1">
      <alignment horizontal="center" vertical="center"/>
    </xf>
    <xf numFmtId="0" fontId="2" fillId="8" borderId="4" xfId="0" applyFont="1" applyFill="1" applyBorder="1" applyAlignment="1"/>
    <xf numFmtId="0" fontId="2" fillId="8" borderId="16" xfId="0" applyFont="1" applyFill="1" applyBorder="1" applyAlignment="1"/>
    <xf numFmtId="0" fontId="2" fillId="8" borderId="15" xfId="0" applyFont="1" applyFill="1" applyBorder="1" applyAlignment="1"/>
    <xf numFmtId="0" fontId="0" fillId="5" borderId="0" xfId="0" applyFont="1" applyFill="1" applyBorder="1" applyAlignment="1">
      <alignment horizontal="center" vertical="center"/>
    </xf>
  </cellXfs>
  <cellStyles count="146">
    <cellStyle name="# 0dp" xfId="86" xr:uid="{00000000-0005-0000-0000-000000000000}"/>
    <cellStyle name="# 2dp" xfId="90" xr:uid="{00000000-0005-0000-0000-000001000000}"/>
    <cellStyle name="$ 0dp" xfId="85" xr:uid="{00000000-0005-0000-0000-000002000000}"/>
    <cellStyle name="$ 2dp" xfId="46" xr:uid="{00000000-0005-0000-0000-000003000000}"/>
    <cellStyle name="$ 3dp" xfId="87" xr:uid="{00000000-0005-0000-0000-000004000000}"/>
    <cellStyle name="% 0dp" xfId="88" xr:uid="{00000000-0005-0000-0000-000005000000}"/>
    <cellStyle name="% 2dp" xfId="89" xr:uid="{00000000-0005-0000-0000-000006000000}"/>
    <cellStyle name="Bgrd - Dark" xfId="94" xr:uid="{00000000-0005-0000-0000-000007000000}"/>
    <cellStyle name="Bgrd - Light" xfId="95" xr:uid="{00000000-0005-0000-0000-000008000000}"/>
    <cellStyle name="Comma" xfId="145" builtinId="3"/>
    <cellStyle name="Comma 10" xfId="6" xr:uid="{00000000-0005-0000-0000-00000A000000}"/>
    <cellStyle name="Comma 2" xfId="7" xr:uid="{00000000-0005-0000-0000-00000B000000}"/>
    <cellStyle name="Comma 2 2" xfId="133" xr:uid="{00000000-0005-0000-0000-00000C000000}"/>
    <cellStyle name="Comma 2 3" xfId="96" xr:uid="{00000000-0005-0000-0000-00000D000000}"/>
    <cellStyle name="Comma 3" xfId="8" xr:uid="{00000000-0005-0000-0000-00000E000000}"/>
    <cellStyle name="Comma 4" xfId="9" xr:uid="{00000000-0005-0000-0000-00000F000000}"/>
    <cellStyle name="Comma 5" xfId="10" xr:uid="{00000000-0005-0000-0000-000010000000}"/>
    <cellStyle name="Comma 6" xfId="57" xr:uid="{00000000-0005-0000-0000-000011000000}"/>
    <cellStyle name="Comma 6 2" xfId="66" xr:uid="{00000000-0005-0000-0000-000012000000}"/>
    <cellStyle name="Comma 6 3" xfId="140" xr:uid="{00000000-0005-0000-0000-000013000000}"/>
    <cellStyle name="Comma 6 4" xfId="137" xr:uid="{00000000-0005-0000-0000-000014000000}"/>
    <cellStyle name="Comma 7" xfId="61" xr:uid="{00000000-0005-0000-0000-000015000000}"/>
    <cellStyle name="Comma 7 2" xfId="70" xr:uid="{00000000-0005-0000-0000-000016000000}"/>
    <cellStyle name="Comma 8" xfId="74" xr:uid="{00000000-0005-0000-0000-000017000000}"/>
    <cellStyle name="Comma 8 2" xfId="78" xr:uid="{00000000-0005-0000-0000-000018000000}"/>
    <cellStyle name="Currency" xfId="64" builtinId="4"/>
    <cellStyle name="Currency 2" xfId="3" xr:uid="{00000000-0005-0000-0000-00001A000000}"/>
    <cellStyle name="Currency 2 2" xfId="131" xr:uid="{00000000-0005-0000-0000-00001B000000}"/>
    <cellStyle name="Currency 2 3" xfId="97" xr:uid="{00000000-0005-0000-0000-00001C000000}"/>
    <cellStyle name="Currency 3" xfId="11" xr:uid="{00000000-0005-0000-0000-00001D000000}"/>
    <cellStyle name="Currency 4" xfId="12" xr:uid="{00000000-0005-0000-0000-00001E000000}"/>
    <cellStyle name="Currency 5" xfId="13" xr:uid="{00000000-0005-0000-0000-00001F000000}"/>
    <cellStyle name="Currency 6" xfId="58" xr:uid="{00000000-0005-0000-0000-000020000000}"/>
    <cellStyle name="Currency 6 2" xfId="67" xr:uid="{00000000-0005-0000-0000-000021000000}"/>
    <cellStyle name="Currency 6 3" xfId="141" xr:uid="{00000000-0005-0000-0000-000022000000}"/>
    <cellStyle name="Currency 6 4" xfId="136" xr:uid="{00000000-0005-0000-0000-000023000000}"/>
    <cellStyle name="Currency 7" xfId="62" xr:uid="{00000000-0005-0000-0000-000024000000}"/>
    <cellStyle name="Currency 7 2" xfId="71" xr:uid="{00000000-0005-0000-0000-000025000000}"/>
    <cellStyle name="Currency 8" xfId="75" xr:uid="{00000000-0005-0000-0000-000026000000}"/>
    <cellStyle name="Currency 8 2" xfId="79" xr:uid="{00000000-0005-0000-0000-000027000000}"/>
    <cellStyle name="Date - Table" xfId="91" xr:uid="{00000000-0005-0000-0000-000028000000}"/>
    <cellStyle name="Date - Title" xfId="92" xr:uid="{00000000-0005-0000-0000-000029000000}"/>
    <cellStyle name="Euro" xfId="48" xr:uid="{00000000-0005-0000-0000-00002A000000}"/>
    <cellStyle name="Euro 2" xfId="49" xr:uid="{00000000-0005-0000-0000-00002B000000}"/>
    <cellStyle name="Forecast" xfId="50" xr:uid="{00000000-0005-0000-0000-00002C000000}"/>
    <cellStyle name="Good 2" xfId="98" xr:uid="{00000000-0005-0000-0000-00002D000000}"/>
    <cellStyle name="Hyperlink 2" xfId="14" xr:uid="{00000000-0005-0000-0000-00002E000000}"/>
    <cellStyle name="Hyperlink 3" xfId="15" xr:uid="{00000000-0005-0000-0000-00002F000000}"/>
    <cellStyle name="Hyperlink 4" xfId="16" xr:uid="{00000000-0005-0000-0000-000030000000}"/>
    <cellStyle name="Hyperlink 5" xfId="130" xr:uid="{00000000-0005-0000-0000-000031000000}"/>
    <cellStyle name="Hyperlink 6" xfId="138" xr:uid="{00000000-0005-0000-0000-000032000000}"/>
    <cellStyle name="Input # - 0 Decimals" xfId="99" xr:uid="{00000000-0005-0000-0000-000033000000}"/>
    <cellStyle name="Input # - 1 Decimals" xfId="100" xr:uid="{00000000-0005-0000-0000-000034000000}"/>
    <cellStyle name="Input # - 2 Decimals" xfId="101" xr:uid="{00000000-0005-0000-0000-000035000000}"/>
    <cellStyle name="Input # - 3 Decimals" xfId="102" xr:uid="{00000000-0005-0000-0000-000036000000}"/>
    <cellStyle name="Input # - Dates" xfId="103" xr:uid="{00000000-0005-0000-0000-000037000000}"/>
    <cellStyle name="Input # - General" xfId="104" xr:uid="{00000000-0005-0000-0000-000038000000}"/>
    <cellStyle name="Input $ - 0 DP" xfId="105" xr:uid="{00000000-0005-0000-0000-000039000000}"/>
    <cellStyle name="Input $ - 2 DP" xfId="106" xr:uid="{00000000-0005-0000-0000-00003A000000}"/>
    <cellStyle name="Input $ - 3 DP" xfId="107" xr:uid="{00000000-0005-0000-0000-00003B000000}"/>
    <cellStyle name="Input % - 2 DP" xfId="108" xr:uid="{00000000-0005-0000-0000-00003C000000}"/>
    <cellStyle name="Input Text - Bold" xfId="109" xr:uid="{00000000-0005-0000-0000-00003D000000}"/>
    <cellStyle name="Input Text - Header" xfId="110" xr:uid="{00000000-0005-0000-0000-00003E000000}"/>
    <cellStyle name="Input Text - Plain" xfId="111" xr:uid="{00000000-0005-0000-0000-00003F000000}"/>
    <cellStyle name="Linked" xfId="51" xr:uid="{00000000-0005-0000-0000-000040000000}"/>
    <cellStyle name="Microsoft Excel found an error in the formula you entered. Do you want to accept the correction proposed below?_x000a__x000a_|_x000a__x000a_• To accept the correction, click Yes._x000a_• To close this message and correct the formula yourself, click No." xfId="17" xr:uid="{00000000-0005-0000-0000-000041000000}"/>
    <cellStyle name="Normal" xfId="0" builtinId="0"/>
    <cellStyle name="Normal 10" xfId="18" xr:uid="{00000000-0005-0000-0000-000043000000}"/>
    <cellStyle name="Normal 11" xfId="19" xr:uid="{00000000-0005-0000-0000-000044000000}"/>
    <cellStyle name="Normal 12" xfId="20" xr:uid="{00000000-0005-0000-0000-000045000000}"/>
    <cellStyle name="Normal 13" xfId="21" xr:uid="{00000000-0005-0000-0000-000046000000}"/>
    <cellStyle name="Normal 14" xfId="22" xr:uid="{00000000-0005-0000-0000-000047000000}"/>
    <cellStyle name="Normal 15" xfId="23" xr:uid="{00000000-0005-0000-0000-000048000000}"/>
    <cellStyle name="Normal 16" xfId="24" xr:uid="{00000000-0005-0000-0000-000049000000}"/>
    <cellStyle name="Normal 17" xfId="25" xr:uid="{00000000-0005-0000-0000-00004A000000}"/>
    <cellStyle name="Normal 18" xfId="26" xr:uid="{00000000-0005-0000-0000-00004B000000}"/>
    <cellStyle name="Normal 19" xfId="56" xr:uid="{00000000-0005-0000-0000-00004C000000}"/>
    <cellStyle name="Normal 19 2" xfId="65" xr:uid="{00000000-0005-0000-0000-00004D000000}"/>
    <cellStyle name="Normal 19 3" xfId="139" xr:uid="{00000000-0005-0000-0000-00004E000000}"/>
    <cellStyle name="Normal 19 4" xfId="128" xr:uid="{00000000-0005-0000-0000-00004F000000}"/>
    <cellStyle name="Normal 2" xfId="27" xr:uid="{00000000-0005-0000-0000-000050000000}"/>
    <cellStyle name="Normal 2 2" xfId="28" xr:uid="{00000000-0005-0000-0000-000051000000}"/>
    <cellStyle name="Normal 2 2 2" xfId="81" xr:uid="{00000000-0005-0000-0000-000052000000}"/>
    <cellStyle name="Normal 2 3" xfId="134" xr:uid="{00000000-0005-0000-0000-000053000000}"/>
    <cellStyle name="Normal 2 4" xfId="93" xr:uid="{00000000-0005-0000-0000-000054000000}"/>
    <cellStyle name="Normal 20" xfId="60" xr:uid="{00000000-0005-0000-0000-000055000000}"/>
    <cellStyle name="Normal 20 2" xfId="69" xr:uid="{00000000-0005-0000-0000-000056000000}"/>
    <cellStyle name="Normal 20 3" xfId="143" xr:uid="{00000000-0005-0000-0000-000057000000}"/>
    <cellStyle name="Normal 20 4" xfId="84" xr:uid="{00000000-0005-0000-0000-000058000000}"/>
    <cellStyle name="Normal 21" xfId="73" xr:uid="{00000000-0005-0000-0000-000059000000}"/>
    <cellStyle name="Normal 21 2" xfId="77" xr:uid="{00000000-0005-0000-0000-00005A000000}"/>
    <cellStyle name="Normal 25" xfId="29" xr:uid="{00000000-0005-0000-0000-00005B000000}"/>
    <cellStyle name="Normal 3" xfId="4" xr:uid="{00000000-0005-0000-0000-00005C000000}"/>
    <cellStyle name="Normal 3 2" xfId="30" xr:uid="{00000000-0005-0000-0000-00005D000000}"/>
    <cellStyle name="Normal 4" xfId="31" xr:uid="{00000000-0005-0000-0000-00005E000000}"/>
    <cellStyle name="Normal 4 2" xfId="32" xr:uid="{00000000-0005-0000-0000-00005F000000}"/>
    <cellStyle name="Normal 4 2 2" xfId="83" xr:uid="{00000000-0005-0000-0000-000060000000}"/>
    <cellStyle name="Normal 4 3" xfId="47" xr:uid="{00000000-0005-0000-0000-000061000000}"/>
    <cellStyle name="Normal 5" xfId="2" xr:uid="{00000000-0005-0000-0000-000062000000}"/>
    <cellStyle name="Normal 5 2" xfId="33" xr:uid="{00000000-0005-0000-0000-000063000000}"/>
    <cellStyle name="Normal 5 3" xfId="82" xr:uid="{00000000-0005-0000-0000-000064000000}"/>
    <cellStyle name="Normal 6" xfId="34" xr:uid="{00000000-0005-0000-0000-000065000000}"/>
    <cellStyle name="Normal 7" xfId="35" xr:uid="{00000000-0005-0000-0000-000066000000}"/>
    <cellStyle name="Normal 8" xfId="36" xr:uid="{00000000-0005-0000-0000-000067000000}"/>
    <cellStyle name="Normal 9" xfId="37" xr:uid="{00000000-0005-0000-0000-000068000000}"/>
    <cellStyle name="Notes" xfId="52" xr:uid="{00000000-0005-0000-0000-000069000000}"/>
    <cellStyle name="Percent" xfId="1" builtinId="5"/>
    <cellStyle name="Percent 2" xfId="5" xr:uid="{00000000-0005-0000-0000-00006B000000}"/>
    <cellStyle name="Percent 2 2" xfId="132" xr:uid="{00000000-0005-0000-0000-00006C000000}"/>
    <cellStyle name="Percent 3" xfId="38" xr:uid="{00000000-0005-0000-0000-00006D000000}"/>
    <cellStyle name="Percent 4" xfId="39" xr:uid="{00000000-0005-0000-0000-00006E000000}"/>
    <cellStyle name="Percent 5" xfId="40" xr:uid="{00000000-0005-0000-0000-00006F000000}"/>
    <cellStyle name="Percent 6" xfId="59" xr:uid="{00000000-0005-0000-0000-000070000000}"/>
    <cellStyle name="Percent 6 2" xfId="68" xr:uid="{00000000-0005-0000-0000-000071000000}"/>
    <cellStyle name="Percent 6 3" xfId="142" xr:uid="{00000000-0005-0000-0000-000072000000}"/>
    <cellStyle name="Percent 6 4" xfId="129" xr:uid="{00000000-0005-0000-0000-000073000000}"/>
    <cellStyle name="Percent 7" xfId="63" xr:uid="{00000000-0005-0000-0000-000074000000}"/>
    <cellStyle name="Percent 7 2" xfId="72" xr:uid="{00000000-0005-0000-0000-000075000000}"/>
    <cellStyle name="Percent 7 3" xfId="144" xr:uid="{00000000-0005-0000-0000-000076000000}"/>
    <cellStyle name="Percent 7 4" xfId="135" xr:uid="{00000000-0005-0000-0000-000077000000}"/>
    <cellStyle name="Percent 8" xfId="76" xr:uid="{00000000-0005-0000-0000-000078000000}"/>
    <cellStyle name="Percent 8 2" xfId="80" xr:uid="{00000000-0005-0000-0000-000079000000}"/>
    <cellStyle name="Style 1" xfId="41" xr:uid="{00000000-0005-0000-0000-00007A000000}"/>
    <cellStyle name="Style 1 2" xfId="42" xr:uid="{00000000-0005-0000-0000-00007B000000}"/>
    <cellStyle name="Style 1 3" xfId="43" xr:uid="{00000000-0005-0000-0000-00007C000000}"/>
    <cellStyle name="Style 1 4" xfId="44" xr:uid="{00000000-0005-0000-0000-00007D000000}"/>
    <cellStyle name="Style 1 5" xfId="45" xr:uid="{00000000-0005-0000-0000-00007E000000}"/>
    <cellStyle name="Table # - 0 Decimals" xfId="112" xr:uid="{00000000-0005-0000-0000-00007F000000}"/>
    <cellStyle name="Table # - 1 Decimals" xfId="113" xr:uid="{00000000-0005-0000-0000-000080000000}"/>
    <cellStyle name="Table # - 2 Decimals" xfId="114" xr:uid="{00000000-0005-0000-0000-000081000000}"/>
    <cellStyle name="Table # - 3 Decimals" xfId="115" xr:uid="{00000000-0005-0000-0000-000082000000}"/>
    <cellStyle name="Table # - Dates" xfId="116" xr:uid="{00000000-0005-0000-0000-000083000000}"/>
    <cellStyle name="Table # - Dates MY" xfId="117" xr:uid="{00000000-0005-0000-0000-000084000000}"/>
    <cellStyle name="TABLE $ - 0 DP" xfId="118" xr:uid="{00000000-0005-0000-0000-000085000000}"/>
    <cellStyle name="TABLE $ - 2 DP" xfId="119" xr:uid="{00000000-0005-0000-0000-000086000000}"/>
    <cellStyle name="TABLE $ - 3 DP" xfId="120" xr:uid="{00000000-0005-0000-0000-000087000000}"/>
    <cellStyle name="TABLE % - 2 DP" xfId="121" xr:uid="{00000000-0005-0000-0000-000088000000}"/>
    <cellStyle name="Table Body - Labels" xfId="126" xr:uid="{00000000-0005-0000-0000-000089000000}"/>
    <cellStyle name="Table Body - Periods" xfId="127" xr:uid="{00000000-0005-0000-0000-00008A000000}"/>
    <cellStyle name="Table Body - Plain" xfId="122" xr:uid="{00000000-0005-0000-0000-00008B000000}"/>
    <cellStyle name="Table Body - Plain (no align)" xfId="125" xr:uid="{00000000-0005-0000-0000-00008C000000}"/>
    <cellStyle name="Table Footnotes" xfId="53" xr:uid="{00000000-0005-0000-0000-00008D000000}"/>
    <cellStyle name="Table Header - Bold" xfId="123" xr:uid="{00000000-0005-0000-0000-00008E000000}"/>
    <cellStyle name="Table Header - Plain" xfId="124" xr:uid="{00000000-0005-0000-0000-00008F000000}"/>
    <cellStyle name="一般_t1" xfId="54" xr:uid="{00000000-0005-0000-0000-000090000000}"/>
    <cellStyle name="標準_3月表英語版o.jp" xfId="55" xr:uid="{00000000-0005-0000-0000-000091000000}"/>
  </cellStyles>
  <dxfs count="22">
    <dxf>
      <font>
        <color theme="5"/>
      </font>
    </dxf>
    <dxf>
      <fill>
        <patternFill>
          <bgColor rgb="FFFFC000"/>
        </patternFill>
      </fill>
    </dxf>
    <dxf>
      <font>
        <color theme="5"/>
      </font>
    </dxf>
    <dxf>
      <fill>
        <patternFill>
          <bgColor rgb="FFFFC000"/>
        </patternFill>
      </fill>
    </dxf>
    <dxf>
      <border>
        <left style="thin">
          <color theme="1"/>
        </left>
      </border>
    </dxf>
    <dxf>
      <border>
        <left style="thin">
          <color theme="1"/>
        </left>
      </border>
    </dxf>
    <dxf>
      <border>
        <top style="thin">
          <color theme="1"/>
        </top>
      </border>
    </dxf>
    <dxf>
      <border>
        <top style="thin">
          <color theme="1"/>
        </top>
      </border>
    </dxf>
    <dxf>
      <font>
        <b/>
        <color theme="1"/>
      </font>
    </dxf>
    <dxf>
      <font>
        <b/>
        <color theme="1"/>
      </font>
    </dxf>
    <dxf>
      <font>
        <b/>
        <color theme="1"/>
      </font>
      <border>
        <top style="double">
          <color theme="1"/>
        </top>
      </border>
    </dxf>
    <dxf>
      <font>
        <b/>
        <i val="0"/>
        <strike val="0"/>
        <color auto="1"/>
      </font>
      <fill>
        <patternFill patternType="solid">
          <fgColor theme="1"/>
          <bgColor theme="8" tint="0.79998168889431442"/>
        </patternFill>
      </fill>
    </dxf>
    <dxf>
      <font>
        <color theme="1"/>
      </font>
      <border>
        <left style="thin">
          <color theme="1"/>
        </left>
        <right style="thin">
          <color theme="1"/>
        </right>
        <top style="thin">
          <color theme="1"/>
        </top>
        <bottom style="thin">
          <color theme="1"/>
        </bottom>
      </border>
    </dxf>
    <dxf>
      <border>
        <left style="thin">
          <color theme="1"/>
        </left>
      </border>
    </dxf>
    <dxf>
      <border>
        <left style="thin">
          <color theme="1"/>
        </left>
      </border>
    </dxf>
    <dxf>
      <border>
        <top style="thin">
          <color theme="1"/>
        </top>
      </border>
    </dxf>
    <dxf>
      <border>
        <top style="thin">
          <color theme="1"/>
        </top>
      </border>
    </dxf>
    <dxf>
      <font>
        <b/>
        <color theme="1"/>
      </font>
    </dxf>
    <dxf>
      <font>
        <b/>
        <color theme="1"/>
      </font>
    </dxf>
    <dxf>
      <font>
        <b/>
        <color theme="1"/>
      </font>
      <border>
        <top style="double">
          <color theme="1"/>
        </top>
      </border>
    </dxf>
    <dxf>
      <font>
        <b/>
        <i val="0"/>
        <strike val="0"/>
        <color auto="1"/>
      </font>
      <fill>
        <patternFill patternType="solid">
          <fgColor theme="1"/>
          <bgColor theme="8" tint="0.79998168889431442"/>
        </patternFill>
      </fill>
    </dxf>
    <dxf>
      <font>
        <color theme="1"/>
      </font>
      <border>
        <left style="thin">
          <color theme="1"/>
        </left>
        <right style="thin">
          <color theme="1"/>
        </right>
        <top style="thin">
          <color theme="1"/>
        </top>
        <bottom style="thin">
          <color theme="1"/>
        </bottom>
      </border>
    </dxf>
  </dxfs>
  <tableStyles count="2" defaultTableStyle="TableStyleMedium2" defaultPivotStyle="PivotStyleLight16">
    <tableStyle name="My Table 2" pivot="0" count="9" xr9:uid="{00000000-0011-0000-FFFF-FFFF00000000}">
      <tableStyleElement type="wholeTable" dxfId="21"/>
      <tableStyleElement type="headerRow" dxfId="20"/>
      <tableStyleElement type="totalRow" dxfId="19"/>
      <tableStyleElement type="firstColumn" dxfId="18"/>
      <tableStyleElement type="lastColumn" dxfId="17"/>
      <tableStyleElement type="firstRowStripe" size="4" dxfId="16"/>
      <tableStyleElement type="secondRowStripe" size="4" dxfId="15"/>
      <tableStyleElement type="firstColumnStripe" dxfId="14"/>
      <tableStyleElement type="secondColumnStripe" dxfId="13"/>
    </tableStyle>
    <tableStyle name="My Table" pivot="0" count="9" xr9:uid="{00000000-0011-0000-FFFF-FFFF01000000}">
      <tableStyleElement type="wholeTable" dxfId="12"/>
      <tableStyleElement type="headerRow" dxfId="11"/>
      <tableStyleElement type="totalRow" dxfId="10"/>
      <tableStyleElement type="firstColumn" dxfId="9"/>
      <tableStyleElement type="lastColumn" dxfId="8"/>
      <tableStyleElement type="firstRowStripe" size="4" dxfId="7"/>
      <tableStyleElement type="secondRowStripe" size="4" dxfId="6"/>
      <tableStyleElement type="firstColumnStripe" dxfId="5"/>
      <tableStyleElement type="secondColumnStripe" dxfId="4"/>
    </tableStyle>
  </tableStyles>
  <colors>
    <mruColors>
      <color rgb="FFFFCC99"/>
      <color rgb="FFFF99FF"/>
      <color rgb="FFCCFFCC"/>
      <color rgb="FFFFFFCC"/>
      <color rgb="FFCCECFF"/>
      <color rgb="FFFFCC00"/>
      <color rgb="FFFF9933"/>
      <color rgb="FFFF5050"/>
      <color rgb="FFFF999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9" Type="http://schemas.openxmlformats.org/officeDocument/2006/relationships/worksheet" Target="worksheets/sheet39.xml"/><Relationship Id="rId21" Type="http://schemas.openxmlformats.org/officeDocument/2006/relationships/worksheet" Target="worksheets/sheet21.xml"/><Relationship Id="rId34" Type="http://schemas.openxmlformats.org/officeDocument/2006/relationships/worksheet" Target="worksheets/sheet34.xml"/><Relationship Id="rId42" Type="http://schemas.openxmlformats.org/officeDocument/2006/relationships/worksheet" Target="worksheets/sheet42.xml"/><Relationship Id="rId47" Type="http://schemas.openxmlformats.org/officeDocument/2006/relationships/worksheet" Target="worksheets/sheet47.xml"/><Relationship Id="rId50" Type="http://schemas.openxmlformats.org/officeDocument/2006/relationships/worksheet" Target="worksheets/sheet50.xml"/><Relationship Id="rId55" Type="http://schemas.openxmlformats.org/officeDocument/2006/relationships/worksheet" Target="worksheets/sheet55.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38" Type="http://schemas.openxmlformats.org/officeDocument/2006/relationships/worksheet" Target="worksheets/sheet38.xml"/><Relationship Id="rId46" Type="http://schemas.openxmlformats.org/officeDocument/2006/relationships/worksheet" Target="worksheets/sheet46.xml"/><Relationship Id="rId59"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41" Type="http://schemas.openxmlformats.org/officeDocument/2006/relationships/worksheet" Target="worksheets/sheet41.xml"/><Relationship Id="rId54" Type="http://schemas.openxmlformats.org/officeDocument/2006/relationships/worksheet" Target="worksheets/sheet54.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37" Type="http://schemas.openxmlformats.org/officeDocument/2006/relationships/worksheet" Target="worksheets/sheet37.xml"/><Relationship Id="rId40" Type="http://schemas.openxmlformats.org/officeDocument/2006/relationships/worksheet" Target="worksheets/sheet40.xml"/><Relationship Id="rId45" Type="http://schemas.openxmlformats.org/officeDocument/2006/relationships/worksheet" Target="worksheets/sheet45.xml"/><Relationship Id="rId53" Type="http://schemas.openxmlformats.org/officeDocument/2006/relationships/worksheet" Target="worksheets/sheet53.xml"/><Relationship Id="rId58" Type="http://schemas.openxmlformats.org/officeDocument/2006/relationships/styles" Target="style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worksheet" Target="worksheets/sheet36.xml"/><Relationship Id="rId49" Type="http://schemas.openxmlformats.org/officeDocument/2006/relationships/worksheet" Target="worksheets/sheet49.xml"/><Relationship Id="rId57" Type="http://schemas.openxmlformats.org/officeDocument/2006/relationships/theme" Target="theme/theme1.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worksheet" Target="worksheets/sheet31.xml"/><Relationship Id="rId44" Type="http://schemas.openxmlformats.org/officeDocument/2006/relationships/worksheet" Target="worksheets/sheet44.xml"/><Relationship Id="rId52" Type="http://schemas.openxmlformats.org/officeDocument/2006/relationships/worksheet" Target="worksheets/sheet52.xml"/><Relationship Id="rId60"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worksheet" Target="worksheets/sheet35.xml"/><Relationship Id="rId43" Type="http://schemas.openxmlformats.org/officeDocument/2006/relationships/worksheet" Target="worksheets/sheet43.xml"/><Relationship Id="rId48" Type="http://schemas.openxmlformats.org/officeDocument/2006/relationships/worksheet" Target="worksheets/sheet48.xml"/><Relationship Id="rId56" Type="http://schemas.openxmlformats.org/officeDocument/2006/relationships/externalLink" Target="externalLinks/externalLink1.xml"/><Relationship Id="rId8" Type="http://schemas.openxmlformats.org/officeDocument/2006/relationships/worksheet" Target="worksheets/sheet8.xml"/><Relationship Id="rId51" Type="http://schemas.openxmlformats.org/officeDocument/2006/relationships/worksheet" Target="worksheets/sheet51.xml"/><Relationship Id="rId3" Type="http://schemas.openxmlformats.org/officeDocument/2006/relationships/worksheet" Target="worksheets/sheet3.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file:///K:\STINMOD\STINMOD%20MMXII%20Dvt%20Version\outyears%20parameters.xls"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DVA"/>
      <sheetName val="Dependency Income Limit"/>
      <sheetName val="New pension"/>
      <sheetName val="New pension workout"/>
      <sheetName val="Old pension"/>
      <sheetName val="Old pension workout"/>
      <sheetName val="Unemployment"/>
      <sheetName val="Allowance workout"/>
      <sheetName val="Youth Allowance"/>
      <sheetName val="YA parental inc"/>
      <sheetName val="Income Support Bonus"/>
      <sheetName val="Childcare"/>
      <sheetName val="FA-FTB"/>
      <sheetName val="SIFS"/>
      <sheetName val="Maint &amp; matern"/>
      <sheetName val="Tax scale"/>
      <sheetName val="Tax system"/>
      <sheetName val="Supplements"/>
      <sheetName val="Supplement workout"/>
      <sheetName val="Clean Energy Advance"/>
      <sheetName val="Clean Energy Supplements"/>
      <sheetName val="Low Income Supplement"/>
      <sheetName val="CPI"/>
      <sheetName val="PBLCI"/>
      <sheetName val="AWE"/>
      <sheetName val="10 yr bonds"/>
      <sheetName val="Annual "/>
      <sheetName val="Dates"/>
    </sheetNames>
    <sheetDataSet>
      <sheetData sheetId="0" refreshError="1"/>
      <sheetData sheetId="1" refreshError="1"/>
      <sheetData sheetId="2">
        <row r="218">
          <cell r="A218">
            <v>36708</v>
          </cell>
        </row>
      </sheetData>
      <sheetData sheetId="3" refreshError="1"/>
      <sheetData sheetId="4">
        <row r="218">
          <cell r="A218">
            <v>36708</v>
          </cell>
        </row>
      </sheetData>
      <sheetData sheetId="5" refreshError="1"/>
      <sheetData sheetId="6">
        <row r="216">
          <cell r="A216">
            <v>36708</v>
          </cell>
        </row>
      </sheetData>
      <sheetData sheetId="7" refreshError="1"/>
      <sheetData sheetId="8" refreshError="1"/>
      <sheetData sheetId="9" refreshError="1"/>
      <sheetData sheetId="10">
        <row r="216">
          <cell r="A216">
            <v>36708</v>
          </cell>
        </row>
      </sheetData>
      <sheetData sheetId="11">
        <row r="212">
          <cell r="A212">
            <v>36708</v>
          </cell>
        </row>
      </sheetData>
      <sheetData sheetId="12">
        <row r="215">
          <cell r="A215">
            <v>36708</v>
          </cell>
        </row>
      </sheetData>
      <sheetData sheetId="13">
        <row r="169">
          <cell r="A169">
            <v>40725</v>
          </cell>
        </row>
      </sheetData>
      <sheetData sheetId="14" refreshError="1"/>
      <sheetData sheetId="15">
        <row r="1">
          <cell r="A1" t="str">
            <v>Income tax scales:  Source CCH Master Tax Guide</v>
          </cell>
        </row>
      </sheetData>
      <sheetData sheetId="16">
        <row r="3">
          <cell r="B3" t="str">
            <v>Medicare thresholds</v>
          </cell>
        </row>
      </sheetData>
      <sheetData sheetId="17">
        <row r="217">
          <cell r="A217">
            <v>36708</v>
          </cell>
        </row>
      </sheetData>
      <sheetData sheetId="18" refreshError="1"/>
      <sheetData sheetId="19">
        <row r="172">
          <cell r="A172">
            <v>40360</v>
          </cell>
        </row>
      </sheetData>
      <sheetData sheetId="20">
        <row r="172">
          <cell r="A172">
            <v>40360</v>
          </cell>
        </row>
      </sheetData>
      <sheetData sheetId="21" refreshError="1"/>
      <sheetData sheetId="22">
        <row r="5">
          <cell r="AF5">
            <v>33482</v>
          </cell>
          <cell r="AG5">
            <v>59.3</v>
          </cell>
          <cell r="AH5" t="str">
            <v xml:space="preserve"> </v>
          </cell>
          <cell r="AI5" t="str">
            <v xml:space="preserve"> </v>
          </cell>
        </row>
        <row r="6">
          <cell r="AF6">
            <v>33573</v>
          </cell>
          <cell r="AG6">
            <v>59.9</v>
          </cell>
          <cell r="AH6" t="str">
            <v xml:space="preserve"> </v>
          </cell>
          <cell r="AI6" t="str">
            <v xml:space="preserve"> </v>
          </cell>
        </row>
        <row r="7">
          <cell r="AF7">
            <v>33664</v>
          </cell>
          <cell r="AG7">
            <v>59.9</v>
          </cell>
          <cell r="AH7" t="str">
            <v xml:space="preserve"> </v>
          </cell>
          <cell r="AI7" t="str">
            <v xml:space="preserve"> </v>
          </cell>
        </row>
        <row r="8">
          <cell r="AF8">
            <v>33756</v>
          </cell>
          <cell r="AG8">
            <v>59.7</v>
          </cell>
          <cell r="AH8">
            <v>59.7</v>
          </cell>
        </row>
        <row r="9">
          <cell r="AF9">
            <v>33848</v>
          </cell>
          <cell r="AG9">
            <v>59.8</v>
          </cell>
          <cell r="AH9" t="str">
            <v xml:space="preserve"> </v>
          </cell>
          <cell r="AI9" t="str">
            <v xml:space="preserve"> </v>
          </cell>
        </row>
        <row r="10">
          <cell r="AF10">
            <v>33939</v>
          </cell>
          <cell r="AG10">
            <v>60.1</v>
          </cell>
          <cell r="AH10" t="str">
            <v xml:space="preserve"> </v>
          </cell>
          <cell r="AI10" t="str">
            <v xml:space="preserve"> </v>
          </cell>
        </row>
        <row r="11">
          <cell r="AF11">
            <v>34029</v>
          </cell>
          <cell r="AG11">
            <v>60.6</v>
          </cell>
          <cell r="AH11" t="str">
            <v xml:space="preserve"> </v>
          </cell>
          <cell r="AI11" t="str">
            <v xml:space="preserve"> </v>
          </cell>
        </row>
        <row r="12">
          <cell r="AF12">
            <v>34121</v>
          </cell>
          <cell r="AG12">
            <v>60.8</v>
          </cell>
          <cell r="AH12">
            <v>60.325000000000003</v>
          </cell>
          <cell r="AI12">
            <v>1.0469011725293242E-2</v>
          </cell>
        </row>
        <row r="13">
          <cell r="AF13">
            <v>34213</v>
          </cell>
          <cell r="AG13">
            <v>61.1</v>
          </cell>
          <cell r="AH13" t="str">
            <v xml:space="preserve"> </v>
          </cell>
          <cell r="AI13" t="str">
            <v xml:space="preserve"> </v>
          </cell>
        </row>
        <row r="14">
          <cell r="AF14">
            <v>34304</v>
          </cell>
          <cell r="AG14">
            <v>61.2</v>
          </cell>
          <cell r="AH14" t="str">
            <v xml:space="preserve"> </v>
          </cell>
          <cell r="AI14" t="str">
            <v xml:space="preserve"> </v>
          </cell>
        </row>
        <row r="15">
          <cell r="AF15">
            <v>34394</v>
          </cell>
          <cell r="AG15">
            <v>61.5</v>
          </cell>
          <cell r="AH15" t="str">
            <v xml:space="preserve"> </v>
          </cell>
          <cell r="AI15" t="str">
            <v xml:space="preserve"> </v>
          </cell>
        </row>
        <row r="16">
          <cell r="AF16">
            <v>34486</v>
          </cell>
          <cell r="AG16">
            <v>61.9</v>
          </cell>
          <cell r="AH16">
            <v>61.425000000000004</v>
          </cell>
          <cell r="AI16">
            <v>1.8234562784914976E-2</v>
          </cell>
        </row>
        <row r="17">
          <cell r="AF17">
            <v>34578</v>
          </cell>
          <cell r="AG17">
            <v>62.3</v>
          </cell>
          <cell r="AH17" t="str">
            <v xml:space="preserve"> </v>
          </cell>
          <cell r="AI17" t="str">
            <v xml:space="preserve"> </v>
          </cell>
          <cell r="AJ17">
            <v>1.9639934533551395E-2</v>
          </cell>
          <cell r="AK17">
            <v>6.4620355411955099E-3</v>
          </cell>
        </row>
        <row r="18">
          <cell r="AF18">
            <v>34669</v>
          </cell>
          <cell r="AG18">
            <v>62.8</v>
          </cell>
          <cell r="AH18" t="str">
            <v xml:space="preserve"> </v>
          </cell>
          <cell r="AI18" t="str">
            <v xml:space="preserve"> </v>
          </cell>
          <cell r="AJ18">
            <v>2.614379084967311E-2</v>
          </cell>
          <cell r="AK18">
            <v>8.0256821829856051E-3</v>
          </cell>
        </row>
        <row r="19">
          <cell r="AF19">
            <v>34759</v>
          </cell>
          <cell r="AG19">
            <v>63.8</v>
          </cell>
          <cell r="AH19" t="str">
            <v xml:space="preserve"> </v>
          </cell>
          <cell r="AI19" t="str">
            <v xml:space="preserve"> </v>
          </cell>
          <cell r="AJ19">
            <v>3.7398373983739797E-2</v>
          </cell>
          <cell r="AK19">
            <v>1.5923566878980999E-2</v>
          </cell>
        </row>
        <row r="20">
          <cell r="AF20">
            <v>34851</v>
          </cell>
          <cell r="AG20">
            <v>64.7</v>
          </cell>
          <cell r="AH20">
            <v>63.399999999999991</v>
          </cell>
          <cell r="AI20">
            <v>3.2153032153031891E-2</v>
          </cell>
          <cell r="AJ20">
            <v>4.5234248788368348E-2</v>
          </cell>
          <cell r="AK20">
            <v>1.4106583072100332E-2</v>
          </cell>
        </row>
        <row r="21">
          <cell r="AF21">
            <v>34943</v>
          </cell>
          <cell r="AG21">
            <v>65.5</v>
          </cell>
          <cell r="AH21" t="str">
            <v xml:space="preserve"> </v>
          </cell>
          <cell r="AI21" t="str">
            <v xml:space="preserve"> </v>
          </cell>
          <cell r="AJ21">
            <v>5.1364365971107606E-2</v>
          </cell>
          <cell r="AK21">
            <v>1.2364760432766575E-2</v>
          </cell>
        </row>
        <row r="22">
          <cell r="AF22">
            <v>35034</v>
          </cell>
          <cell r="AG22">
            <v>66</v>
          </cell>
          <cell r="AH22" t="str">
            <v xml:space="preserve"> </v>
          </cell>
          <cell r="AI22" t="str">
            <v xml:space="preserve"> </v>
          </cell>
          <cell r="AJ22">
            <v>5.0955414012738842E-2</v>
          </cell>
          <cell r="AK22">
            <v>7.6335877862594437E-3</v>
          </cell>
        </row>
        <row r="23">
          <cell r="AF23">
            <v>35125</v>
          </cell>
          <cell r="AG23">
            <v>66.2</v>
          </cell>
          <cell r="AH23" t="str">
            <v xml:space="preserve"> </v>
          </cell>
          <cell r="AI23" t="str">
            <v xml:space="preserve"> </v>
          </cell>
          <cell r="AJ23">
            <v>3.7617554858934366E-2</v>
          </cell>
          <cell r="AK23">
            <v>3.0303030303031608E-3</v>
          </cell>
        </row>
        <row r="24">
          <cell r="AF24">
            <v>35217</v>
          </cell>
          <cell r="AG24">
            <v>66.7</v>
          </cell>
          <cell r="AH24">
            <v>66.099999999999994</v>
          </cell>
          <cell r="AI24">
            <v>4.258675078864349E-2</v>
          </cell>
          <cell r="AJ24">
            <v>3.0911901081916549E-2</v>
          </cell>
          <cell r="AK24">
            <v>7.5528700906344337E-3</v>
          </cell>
        </row>
        <row r="25">
          <cell r="AF25">
            <v>35309</v>
          </cell>
          <cell r="AG25">
            <v>66.900000000000006</v>
          </cell>
          <cell r="AH25" t="str">
            <v xml:space="preserve"> </v>
          </cell>
          <cell r="AI25" t="str">
            <v xml:space="preserve"> </v>
          </cell>
          <cell r="AJ25">
            <v>2.1374045801526798E-2</v>
          </cell>
          <cell r="AK25">
            <v>2.9985007496251548E-3</v>
          </cell>
        </row>
        <row r="26">
          <cell r="AF26">
            <v>35400</v>
          </cell>
          <cell r="AG26">
            <v>67</v>
          </cell>
          <cell r="AH26" t="str">
            <v xml:space="preserve"> </v>
          </cell>
          <cell r="AI26" t="str">
            <v xml:space="preserve"> </v>
          </cell>
          <cell r="AJ26">
            <v>1.5151515151515138E-2</v>
          </cell>
          <cell r="AK26">
            <v>1.494768310911665E-3</v>
          </cell>
        </row>
        <row r="27">
          <cell r="AF27">
            <v>35490</v>
          </cell>
          <cell r="AG27">
            <v>67.099999999999994</v>
          </cell>
          <cell r="AH27" t="str">
            <v xml:space="preserve"> </v>
          </cell>
          <cell r="AI27" t="str">
            <v xml:space="preserve"> </v>
          </cell>
          <cell r="AJ27">
            <v>1.3595166163141936E-2</v>
          </cell>
          <cell r="AK27">
            <v>1.4925373134326847E-3</v>
          </cell>
        </row>
        <row r="28">
          <cell r="AF28">
            <v>35582</v>
          </cell>
          <cell r="AG28">
            <v>66.900000000000006</v>
          </cell>
          <cell r="AH28">
            <v>66.974999999999994</v>
          </cell>
          <cell r="AI28">
            <v>1.3237518910741208E-2</v>
          </cell>
          <cell r="AJ28">
            <v>2.9985007496251548E-3</v>
          </cell>
          <cell r="AK28">
            <v>-2.9806259314454353E-3</v>
          </cell>
        </row>
        <row r="29">
          <cell r="AF29">
            <v>35674</v>
          </cell>
          <cell r="AG29">
            <v>66.599999999999994</v>
          </cell>
          <cell r="AH29" t="str">
            <v xml:space="preserve"> </v>
          </cell>
          <cell r="AI29" t="str">
            <v xml:space="preserve"> </v>
          </cell>
          <cell r="AJ29">
            <v>-4.48430493273555E-3</v>
          </cell>
          <cell r="AK29">
            <v>-4.48430493273555E-3</v>
          </cell>
        </row>
        <row r="30">
          <cell r="AF30">
            <v>35765</v>
          </cell>
          <cell r="AG30">
            <v>66.8</v>
          </cell>
          <cell r="AH30" t="str">
            <v xml:space="preserve"> </v>
          </cell>
          <cell r="AI30" t="str">
            <v xml:space="preserve"> </v>
          </cell>
          <cell r="AJ30">
            <v>-2.9850746268657025E-3</v>
          </cell>
          <cell r="AK30">
            <v>3.0030030030030463E-3</v>
          </cell>
        </row>
        <row r="31">
          <cell r="AF31">
            <v>35855</v>
          </cell>
          <cell r="AG31">
            <v>67</v>
          </cell>
          <cell r="AH31" t="str">
            <v xml:space="preserve"> </v>
          </cell>
          <cell r="AI31" t="str">
            <v xml:space="preserve"> </v>
          </cell>
          <cell r="AJ31">
            <v>-1.4903129657226621E-3</v>
          </cell>
          <cell r="AK31">
            <v>2.9940119760478723E-3</v>
          </cell>
        </row>
        <row r="32">
          <cell r="AF32">
            <v>35947</v>
          </cell>
          <cell r="AG32">
            <v>67.400000000000006</v>
          </cell>
          <cell r="AH32">
            <v>66.949999999999989</v>
          </cell>
          <cell r="AI32">
            <v>-3.7327360955585753E-4</v>
          </cell>
          <cell r="AJ32">
            <v>7.4738415545589909E-3</v>
          </cell>
          <cell r="AK32">
            <v>5.9701492537314049E-3</v>
          </cell>
        </row>
        <row r="33">
          <cell r="AF33">
            <v>36039</v>
          </cell>
          <cell r="AG33">
            <v>67.5</v>
          </cell>
          <cell r="AH33" t="str">
            <v xml:space="preserve"> </v>
          </cell>
          <cell r="AI33" t="str">
            <v xml:space="preserve"> </v>
          </cell>
          <cell r="AJ33">
            <v>1.3513513513513598E-2</v>
          </cell>
          <cell r="AK33">
            <v>1.4836795252224366E-3</v>
          </cell>
        </row>
        <row r="34">
          <cell r="AF34">
            <v>36130</v>
          </cell>
          <cell r="AG34">
            <v>67.8</v>
          </cell>
          <cell r="AH34" t="str">
            <v xml:space="preserve"> </v>
          </cell>
          <cell r="AI34" t="str">
            <v xml:space="preserve"> </v>
          </cell>
          <cell r="AJ34">
            <v>1.4970059880239583E-2</v>
          </cell>
          <cell r="AK34">
            <v>4.4444444444444731E-3</v>
          </cell>
        </row>
        <row r="35">
          <cell r="AF35">
            <v>36220</v>
          </cell>
          <cell r="AG35">
            <v>67.8</v>
          </cell>
          <cell r="AH35" t="str">
            <v xml:space="preserve"> </v>
          </cell>
          <cell r="AI35" t="str">
            <v xml:space="preserve"> </v>
          </cell>
          <cell r="AJ35">
            <v>1.1940298507462588E-2</v>
          </cell>
          <cell r="AK35">
            <v>0</v>
          </cell>
        </row>
        <row r="36">
          <cell r="AF36">
            <v>36312</v>
          </cell>
          <cell r="AG36">
            <v>68.099999999999994</v>
          </cell>
          <cell r="AH36">
            <v>67.800000000000011</v>
          </cell>
          <cell r="AI36">
            <v>1.2696041822255699E-2</v>
          </cell>
          <cell r="AJ36">
            <v>1.0385756676557722E-2</v>
          </cell>
          <cell r="AK36">
            <v>4.4247787610618428E-3</v>
          </cell>
        </row>
        <row r="37">
          <cell r="AF37">
            <v>36404</v>
          </cell>
          <cell r="AG37">
            <v>68.7</v>
          </cell>
          <cell r="AH37" t="str">
            <v xml:space="preserve"> </v>
          </cell>
          <cell r="AI37" t="str">
            <v xml:space="preserve"> </v>
          </cell>
          <cell r="AJ37">
            <v>1.7777777777777892E-2</v>
          </cell>
          <cell r="AK37">
            <v>8.8105726872247381E-3</v>
          </cell>
        </row>
        <row r="38">
          <cell r="AF38">
            <v>36495</v>
          </cell>
          <cell r="AG38">
            <v>69.099999999999994</v>
          </cell>
          <cell r="AH38" t="str">
            <v xml:space="preserve"> </v>
          </cell>
          <cell r="AI38" t="str">
            <v xml:space="preserve"> </v>
          </cell>
          <cell r="AJ38">
            <v>1.9174041297935096E-2</v>
          </cell>
          <cell r="AK38">
            <v>5.8224163027655873E-3</v>
          </cell>
        </row>
        <row r="39">
          <cell r="AF39">
            <v>36586</v>
          </cell>
          <cell r="AG39">
            <v>69.7</v>
          </cell>
          <cell r="AH39" t="str">
            <v xml:space="preserve"> </v>
          </cell>
          <cell r="AI39" t="str">
            <v xml:space="preserve"> </v>
          </cell>
          <cell r="AJ39">
            <v>2.8023598820059004E-2</v>
          </cell>
          <cell r="AK39">
            <v>8.6830680173661801E-3</v>
          </cell>
        </row>
        <row r="40">
          <cell r="AF40">
            <v>36678</v>
          </cell>
          <cell r="AG40">
            <v>70.2</v>
          </cell>
          <cell r="AH40">
            <v>69.424999999999997</v>
          </cell>
          <cell r="AI40">
            <v>2.3967551622418704E-2</v>
          </cell>
          <cell r="AJ40">
            <v>3.0837004405286361E-2</v>
          </cell>
          <cell r="AK40">
            <v>7.1736011477760986E-3</v>
          </cell>
        </row>
        <row r="41">
          <cell r="AF41">
            <v>36770</v>
          </cell>
          <cell r="AG41">
            <v>72.900000000000006</v>
          </cell>
          <cell r="AH41" t="str">
            <v xml:space="preserve"> </v>
          </cell>
          <cell r="AI41" t="str">
            <v xml:space="preserve"> </v>
          </cell>
          <cell r="AJ41">
            <v>6.1135371179039444E-2</v>
          </cell>
          <cell r="AK41">
            <v>3.8461538461538547E-2</v>
          </cell>
        </row>
        <row r="42">
          <cell r="AF42">
            <v>36861</v>
          </cell>
          <cell r="AG42">
            <v>73.099999999999994</v>
          </cell>
          <cell r="AH42" t="str">
            <v xml:space="preserve"> </v>
          </cell>
          <cell r="AI42" t="str">
            <v xml:space="preserve"> </v>
          </cell>
          <cell r="AJ42">
            <v>5.7887120115774238E-2</v>
          </cell>
          <cell r="AK42">
            <v>2.7434842249656199E-3</v>
          </cell>
        </row>
        <row r="43">
          <cell r="AF43">
            <v>36951</v>
          </cell>
          <cell r="AG43">
            <v>73.900000000000006</v>
          </cell>
          <cell r="AH43" t="str">
            <v xml:space="preserve"> </v>
          </cell>
          <cell r="AI43" t="str">
            <v xml:space="preserve"> </v>
          </cell>
          <cell r="AJ43">
            <v>6.0258249641319983E-2</v>
          </cell>
          <cell r="AK43">
            <v>1.0943912448700521E-2</v>
          </cell>
        </row>
        <row r="44">
          <cell r="AF44">
            <v>37043</v>
          </cell>
          <cell r="AG44">
            <v>74.5</v>
          </cell>
          <cell r="AH44">
            <v>73.599999999999994</v>
          </cell>
          <cell r="AI44">
            <v>6.0136838314728047E-2</v>
          </cell>
          <cell r="AJ44">
            <v>6.1253561253561184E-2</v>
          </cell>
          <cell r="AK44">
            <v>8.1190798376182816E-3</v>
          </cell>
        </row>
        <row r="45">
          <cell r="AF45">
            <v>37135</v>
          </cell>
          <cell r="AG45">
            <v>74.7</v>
          </cell>
          <cell r="AH45" t="str">
            <v xml:space="preserve"> </v>
          </cell>
          <cell r="AI45" t="str">
            <v xml:space="preserve"> </v>
          </cell>
          <cell r="AJ45">
            <v>2.4691358024691246E-2</v>
          </cell>
          <cell r="AK45">
            <v>2.6845637583892135E-3</v>
          </cell>
        </row>
        <row r="46">
          <cell r="AF46">
            <v>37226</v>
          </cell>
          <cell r="AG46">
            <v>75.400000000000006</v>
          </cell>
          <cell r="AH46" t="str">
            <v xml:space="preserve"> </v>
          </cell>
          <cell r="AI46" t="str">
            <v xml:space="preserve"> </v>
          </cell>
          <cell r="AJ46">
            <v>3.1463748290013749E-2</v>
          </cell>
          <cell r="AK46">
            <v>9.3708165997323789E-3</v>
          </cell>
        </row>
        <row r="47">
          <cell r="AF47">
            <v>37316</v>
          </cell>
          <cell r="AG47">
            <v>76.099999999999994</v>
          </cell>
          <cell r="AH47" t="str">
            <v xml:space="preserve"> </v>
          </cell>
          <cell r="AI47" t="str">
            <v xml:space="preserve"> </v>
          </cell>
          <cell r="AJ47">
            <v>2.9769959404600588E-2</v>
          </cell>
          <cell r="AK47">
            <v>9.2838196286471053E-3</v>
          </cell>
        </row>
        <row r="48">
          <cell r="AF48">
            <v>37408</v>
          </cell>
          <cell r="AG48">
            <v>76.599999999999994</v>
          </cell>
          <cell r="AH48">
            <v>75.7</v>
          </cell>
          <cell r="AI48">
            <v>2.8532608695652328E-2</v>
          </cell>
          <cell r="AJ48">
            <v>2.8187919463087185E-2</v>
          </cell>
          <cell r="AK48">
            <v>6.5703022339027584E-3</v>
          </cell>
        </row>
        <row r="49">
          <cell r="AF49">
            <v>37500</v>
          </cell>
          <cell r="AG49">
            <v>77.099999999999994</v>
          </cell>
          <cell r="AH49" t="str">
            <v xml:space="preserve"> </v>
          </cell>
          <cell r="AI49" t="str">
            <v xml:space="preserve"> </v>
          </cell>
          <cell r="AJ49">
            <v>3.2128514056224855E-2</v>
          </cell>
          <cell r="AK49">
            <v>6.5274151436032213E-3</v>
          </cell>
        </row>
        <row r="50">
          <cell r="AF50">
            <v>37591</v>
          </cell>
          <cell r="AG50">
            <v>77.599999999999994</v>
          </cell>
          <cell r="AH50" t="str">
            <v xml:space="preserve"> </v>
          </cell>
          <cell r="AI50" t="str">
            <v xml:space="preserve"> </v>
          </cell>
          <cell r="AJ50">
            <v>2.9177718832890998E-2</v>
          </cell>
          <cell r="AK50">
            <v>6.4850843060959562E-3</v>
          </cell>
        </row>
        <row r="51">
          <cell r="AF51">
            <v>37681</v>
          </cell>
          <cell r="AG51">
            <v>78.599999999999994</v>
          </cell>
          <cell r="AH51" t="str">
            <v xml:space="preserve"> </v>
          </cell>
          <cell r="AI51" t="str">
            <v xml:space="preserve"> </v>
          </cell>
          <cell r="AJ51">
            <v>3.2851511169513792E-2</v>
          </cell>
          <cell r="AK51">
            <v>1.2886597938144284E-2</v>
          </cell>
        </row>
        <row r="52">
          <cell r="AF52">
            <v>37773</v>
          </cell>
          <cell r="AG52">
            <v>78.599999999999994</v>
          </cell>
          <cell r="AH52">
            <v>77.974999999999994</v>
          </cell>
          <cell r="AI52">
            <v>3.0052840158520278E-2</v>
          </cell>
          <cell r="AJ52">
            <v>2.6109660574412441E-2</v>
          </cell>
          <cell r="AK52">
            <v>0</v>
          </cell>
        </row>
        <row r="53">
          <cell r="AF53">
            <v>37865</v>
          </cell>
          <cell r="AG53">
            <v>79.099999999999994</v>
          </cell>
          <cell r="AH53" t="str">
            <v xml:space="preserve"> </v>
          </cell>
          <cell r="AI53" t="str">
            <v xml:space="preserve"> </v>
          </cell>
          <cell r="AJ53">
            <v>2.5940337224383825E-2</v>
          </cell>
          <cell r="AK53">
            <v>6.3613231552162031E-3</v>
          </cell>
        </row>
        <row r="54">
          <cell r="AF54">
            <v>37956</v>
          </cell>
          <cell r="AG54">
            <v>79.5</v>
          </cell>
          <cell r="AH54" t="str">
            <v xml:space="preserve"> </v>
          </cell>
          <cell r="AI54" t="str">
            <v xml:space="preserve"> </v>
          </cell>
          <cell r="AJ54">
            <v>2.4484536082474362E-2</v>
          </cell>
          <cell r="AK54">
            <v>5.0568900126422012E-3</v>
          </cell>
        </row>
        <row r="55">
          <cell r="AF55">
            <v>38047</v>
          </cell>
          <cell r="AG55">
            <v>80.2</v>
          </cell>
          <cell r="AH55" t="str">
            <v xml:space="preserve"> </v>
          </cell>
          <cell r="AI55" t="str">
            <v xml:space="preserve"> </v>
          </cell>
          <cell r="AJ55">
            <v>2.0356234096692294E-2</v>
          </cell>
          <cell r="AK55">
            <v>8.8050314465408785E-3</v>
          </cell>
        </row>
        <row r="56">
          <cell r="AF56">
            <v>38139</v>
          </cell>
          <cell r="AG56">
            <v>80.599999999999994</v>
          </cell>
          <cell r="AH56">
            <v>79.849999999999994</v>
          </cell>
          <cell r="AI56">
            <v>2.4046168643796051E-2</v>
          </cell>
          <cell r="AJ56">
            <v>2.5445292620865034E-2</v>
          </cell>
          <cell r="AK56">
            <v>4.9875311720697368E-3</v>
          </cell>
        </row>
        <row r="57">
          <cell r="AF57">
            <v>38231</v>
          </cell>
          <cell r="AG57">
            <v>80.900000000000006</v>
          </cell>
          <cell r="AH57" t="str">
            <v xml:space="preserve"> </v>
          </cell>
          <cell r="AI57" t="str">
            <v xml:space="preserve"> </v>
          </cell>
          <cell r="AJ57">
            <v>2.2756005056890238E-2</v>
          </cell>
          <cell r="AK57">
            <v>3.7220843672458592E-3</v>
          </cell>
        </row>
        <row r="58">
          <cell r="AF58">
            <v>38322</v>
          </cell>
          <cell r="AG58">
            <v>81.5</v>
          </cell>
          <cell r="AH58" t="str">
            <v xml:space="preserve"> </v>
          </cell>
          <cell r="AI58" t="str">
            <v xml:space="preserve"> </v>
          </cell>
          <cell r="AJ58">
            <v>2.515723270440251E-2</v>
          </cell>
          <cell r="AK58">
            <v>7.4165636588379158E-3</v>
          </cell>
        </row>
        <row r="59">
          <cell r="AF59">
            <v>38412</v>
          </cell>
          <cell r="AG59">
            <v>82.1</v>
          </cell>
          <cell r="AH59" t="str">
            <v xml:space="preserve"> </v>
          </cell>
          <cell r="AI59" t="str">
            <v xml:space="preserve"> </v>
          </cell>
          <cell r="AJ59">
            <v>2.3690773067331472E-2</v>
          </cell>
          <cell r="AK59">
            <v>7.3619631901840066E-3</v>
          </cell>
        </row>
        <row r="60">
          <cell r="AF60">
            <v>38504</v>
          </cell>
          <cell r="AG60">
            <v>82.6</v>
          </cell>
          <cell r="AH60">
            <v>81.775000000000006</v>
          </cell>
          <cell r="AI60">
            <v>2.4107701941139759E-2</v>
          </cell>
          <cell r="AJ60">
            <v>2.4813895781637729E-2</v>
          </cell>
          <cell r="AK60">
            <v>6.0901339829475543E-3</v>
          </cell>
        </row>
        <row r="61">
          <cell r="AF61">
            <v>38596</v>
          </cell>
          <cell r="AG61">
            <v>83.4</v>
          </cell>
          <cell r="AH61" t="str">
            <v xml:space="preserve"> </v>
          </cell>
          <cell r="AI61" t="str">
            <v xml:space="preserve"> </v>
          </cell>
          <cell r="AJ61">
            <v>3.0902348578492056E-2</v>
          </cell>
          <cell r="AK61">
            <v>9.6852300242131761E-3</v>
          </cell>
        </row>
        <row r="62">
          <cell r="AF62">
            <v>38687</v>
          </cell>
          <cell r="AG62">
            <v>83.8</v>
          </cell>
          <cell r="AH62" t="str">
            <v xml:space="preserve"> </v>
          </cell>
          <cell r="AI62" t="str">
            <v xml:space="preserve"> </v>
          </cell>
          <cell r="AJ62">
            <v>2.8220858895705581E-2</v>
          </cell>
          <cell r="AK62">
            <v>4.7961630695443347E-3</v>
          </cell>
        </row>
        <row r="63">
          <cell r="AF63">
            <v>38777</v>
          </cell>
          <cell r="AG63">
            <v>84.5</v>
          </cell>
          <cell r="AH63" t="str">
            <v xml:space="preserve"> </v>
          </cell>
          <cell r="AI63" t="str">
            <v xml:space="preserve"> </v>
          </cell>
          <cell r="AJ63">
            <v>2.923264311814866E-2</v>
          </cell>
          <cell r="AK63">
            <v>8.3532219570405797E-3</v>
          </cell>
        </row>
        <row r="64">
          <cell r="AF64">
            <v>38869</v>
          </cell>
          <cell r="AG64">
            <v>85.9</v>
          </cell>
          <cell r="AH64">
            <v>84.4</v>
          </cell>
          <cell r="AI64">
            <v>3.2100275145215518E-2</v>
          </cell>
          <cell r="AJ64">
            <v>3.9951573849879018E-2</v>
          </cell>
          <cell r="AK64">
            <v>1.6568047337278236E-2</v>
          </cell>
        </row>
        <row r="65">
          <cell r="AF65">
            <v>38961</v>
          </cell>
          <cell r="AG65">
            <v>86.7</v>
          </cell>
          <cell r="AH65" t="str">
            <v xml:space="preserve"> </v>
          </cell>
          <cell r="AI65" t="str">
            <v xml:space="preserve"> </v>
          </cell>
          <cell r="AJ65">
            <v>3.9568345323740983E-2</v>
          </cell>
          <cell r="AK65">
            <v>9.3131548311990997E-3</v>
          </cell>
        </row>
        <row r="66">
          <cell r="AF66">
            <v>39052</v>
          </cell>
          <cell r="AG66">
            <v>86.6</v>
          </cell>
          <cell r="AH66" t="str">
            <v xml:space="preserve"> </v>
          </cell>
          <cell r="AI66" t="str">
            <v xml:space="preserve"> </v>
          </cell>
          <cell r="AJ66">
            <v>3.3412887828162319E-2</v>
          </cell>
          <cell r="AK66">
            <v>-1.1534025374856371E-3</v>
          </cell>
        </row>
        <row r="67">
          <cell r="AF67">
            <v>39142</v>
          </cell>
          <cell r="AG67">
            <v>86.6</v>
          </cell>
          <cell r="AH67" t="str">
            <v xml:space="preserve"> </v>
          </cell>
          <cell r="AI67" t="str">
            <v xml:space="preserve"> </v>
          </cell>
          <cell r="AJ67">
            <v>2.485207100591702E-2</v>
          </cell>
          <cell r="AK67">
            <v>0</v>
          </cell>
        </row>
        <row r="68">
          <cell r="AF68">
            <v>39234</v>
          </cell>
          <cell r="AG68">
            <v>87.7</v>
          </cell>
          <cell r="AH68">
            <v>86.899999999999991</v>
          </cell>
          <cell r="AI68">
            <v>2.962085308056861E-2</v>
          </cell>
          <cell r="AJ68">
            <v>2.0954598370197974E-2</v>
          </cell>
          <cell r="AK68">
            <v>1.2702078521940052E-2</v>
          </cell>
        </row>
        <row r="69">
          <cell r="AF69">
            <v>39326</v>
          </cell>
          <cell r="AG69">
            <v>88.3</v>
          </cell>
          <cell r="AH69" t="str">
            <v xml:space="preserve"> </v>
          </cell>
          <cell r="AI69" t="str">
            <v xml:space="preserve"> </v>
          </cell>
          <cell r="AJ69">
            <v>1.8454440599769306E-2</v>
          </cell>
          <cell r="AK69">
            <v>6.8415051311288E-3</v>
          </cell>
        </row>
        <row r="70">
          <cell r="AF70">
            <v>39417</v>
          </cell>
          <cell r="AG70">
            <v>89.1</v>
          </cell>
          <cell r="AH70" t="str">
            <v xml:space="preserve"> </v>
          </cell>
          <cell r="AI70" t="str">
            <v xml:space="preserve"> </v>
          </cell>
          <cell r="AJ70">
            <v>2.886836027713624E-2</v>
          </cell>
          <cell r="AK70">
            <v>9.060022650056565E-3</v>
          </cell>
        </row>
        <row r="71">
          <cell r="AF71">
            <v>39508</v>
          </cell>
          <cell r="AG71">
            <v>90.3</v>
          </cell>
          <cell r="AH71" t="str">
            <v xml:space="preserve"> </v>
          </cell>
          <cell r="AI71" t="str">
            <v xml:space="preserve"> </v>
          </cell>
          <cell r="AJ71">
            <v>4.2725173210161671E-2</v>
          </cell>
          <cell r="AK71">
            <v>1.3468013468013407E-2</v>
          </cell>
        </row>
        <row r="72">
          <cell r="AF72">
            <v>39600</v>
          </cell>
          <cell r="AG72">
            <v>91.6</v>
          </cell>
          <cell r="AH72">
            <v>89.824999999999989</v>
          </cell>
          <cell r="AI72">
            <v>3.3659378596087475E-2</v>
          </cell>
          <cell r="AJ72">
            <v>4.4469783352337311E-2</v>
          </cell>
          <cell r="AK72">
            <v>1.439645625692143E-2</v>
          </cell>
        </row>
        <row r="73">
          <cell r="AF73">
            <v>39692</v>
          </cell>
          <cell r="AG73">
            <v>92.7</v>
          </cell>
          <cell r="AH73" t="str">
            <v xml:space="preserve"> </v>
          </cell>
          <cell r="AI73" t="str">
            <v xml:space="preserve"> </v>
          </cell>
          <cell r="AJ73">
            <v>4.9830124575311441E-2</v>
          </cell>
          <cell r="AK73">
            <v>1.2008733624454315E-2</v>
          </cell>
        </row>
        <row r="74">
          <cell r="AF74">
            <v>39783</v>
          </cell>
          <cell r="AG74">
            <v>92.4</v>
          </cell>
          <cell r="AH74" t="str">
            <v xml:space="preserve"> </v>
          </cell>
          <cell r="AI74" t="str">
            <v xml:space="preserve"> </v>
          </cell>
          <cell r="AJ74">
            <v>3.7037037037037202E-2</v>
          </cell>
          <cell r="AK74">
            <v>-3.2362459546925182E-3</v>
          </cell>
        </row>
        <row r="75">
          <cell r="AF75">
            <v>39873</v>
          </cell>
          <cell r="AG75">
            <v>92.5</v>
          </cell>
          <cell r="AH75" t="str">
            <v xml:space="preserve"> </v>
          </cell>
          <cell r="AI75" t="str">
            <v xml:space="preserve"> </v>
          </cell>
          <cell r="AJ75">
            <v>2.4363233665559259E-2</v>
          </cell>
          <cell r="AK75">
            <v>1.0822510822510178E-3</v>
          </cell>
        </row>
        <row r="76">
          <cell r="AF76">
            <v>39965</v>
          </cell>
          <cell r="AG76">
            <v>92.9</v>
          </cell>
          <cell r="AH76">
            <v>92.625</v>
          </cell>
          <cell r="AI76">
            <v>3.1171722794322454E-2</v>
          </cell>
          <cell r="AJ76">
            <v>1.4192139737991383E-2</v>
          </cell>
          <cell r="AK76">
            <v>4.3243243243242802E-3</v>
          </cell>
        </row>
        <row r="77">
          <cell r="AF77">
            <v>40057</v>
          </cell>
          <cell r="AG77">
            <v>93.8</v>
          </cell>
          <cell r="AH77" t="str">
            <v xml:space="preserve"> </v>
          </cell>
          <cell r="AI77" t="str">
            <v xml:space="preserve"> </v>
          </cell>
          <cell r="AJ77">
            <v>1.1866235167206085E-2</v>
          </cell>
          <cell r="AK77">
            <v>9.687836383207582E-3</v>
          </cell>
        </row>
        <row r="78">
          <cell r="AF78">
            <v>40148</v>
          </cell>
          <cell r="AG78">
            <v>94.3</v>
          </cell>
          <cell r="AH78" t="str">
            <v xml:space="preserve"> </v>
          </cell>
          <cell r="AI78" t="str">
            <v xml:space="preserve"> </v>
          </cell>
          <cell r="AJ78">
            <v>2.0562770562770449E-2</v>
          </cell>
          <cell r="AK78">
            <v>5.3304904051172386E-3</v>
          </cell>
        </row>
        <row r="79">
          <cell r="AF79">
            <v>40238</v>
          </cell>
          <cell r="AG79">
            <v>95.2</v>
          </cell>
          <cell r="AH79" t="str">
            <v xml:space="preserve"> </v>
          </cell>
          <cell r="AI79" t="str">
            <v xml:space="preserve"> </v>
          </cell>
          <cell r="AJ79">
            <v>2.9189189189189113E-2</v>
          </cell>
          <cell r="AK79">
            <v>9.5440084835631822E-3</v>
          </cell>
        </row>
        <row r="80">
          <cell r="AF80">
            <v>40330</v>
          </cell>
          <cell r="AG80">
            <v>95.8</v>
          </cell>
          <cell r="AH80">
            <v>94.775000000000006</v>
          </cell>
          <cell r="AI80">
            <v>2.3211875843454743E-2</v>
          </cell>
          <cell r="AJ80">
            <v>3.1216361679224924E-2</v>
          </cell>
          <cell r="AK80">
            <v>6.302521008403339E-3</v>
          </cell>
        </row>
        <row r="81">
          <cell r="AF81">
            <v>40422</v>
          </cell>
          <cell r="AG81">
            <v>96.5</v>
          </cell>
          <cell r="AH81" t="str">
            <v xml:space="preserve"> </v>
          </cell>
          <cell r="AI81" t="str">
            <v xml:space="preserve"> </v>
          </cell>
          <cell r="AJ81">
            <v>2.8784648187633266E-2</v>
          </cell>
          <cell r="AK81">
            <v>7.3068893528183132E-3</v>
          </cell>
        </row>
        <row r="82">
          <cell r="AF82">
            <v>40513</v>
          </cell>
          <cell r="AG82">
            <v>96.9</v>
          </cell>
          <cell r="AH82" t="str">
            <v xml:space="preserve"> </v>
          </cell>
          <cell r="AI82" t="str">
            <v xml:space="preserve"> </v>
          </cell>
          <cell r="AJ82">
            <v>2.7571580063626921E-2</v>
          </cell>
          <cell r="AK82">
            <v>4.1450777202072242E-3</v>
          </cell>
        </row>
        <row r="83">
          <cell r="AF83">
            <v>40603</v>
          </cell>
          <cell r="AG83">
            <v>98.3</v>
          </cell>
          <cell r="AH83" t="str">
            <v xml:space="preserve"> </v>
          </cell>
          <cell r="AI83" t="str">
            <v xml:space="preserve"> </v>
          </cell>
          <cell r="AJ83">
            <v>3.2563025210083918E-2</v>
          </cell>
          <cell r="AK83">
            <v>1.4447884416924683E-2</v>
          </cell>
        </row>
        <row r="84">
          <cell r="AF84">
            <v>40695</v>
          </cell>
          <cell r="AG84">
            <v>99.2</v>
          </cell>
          <cell r="AH84">
            <v>97.724999999999994</v>
          </cell>
          <cell r="AI84">
            <v>3.1126351886045844E-2</v>
          </cell>
          <cell r="AJ84">
            <v>3.5490605427975108E-2</v>
          </cell>
          <cell r="AK84">
            <v>9.1556459816888314E-3</v>
          </cell>
        </row>
        <row r="85">
          <cell r="AF85">
            <v>40787</v>
          </cell>
          <cell r="AG85">
            <v>99.8</v>
          </cell>
          <cell r="AH85" t="str">
            <v xml:space="preserve"> </v>
          </cell>
          <cell r="AI85" t="str">
            <v xml:space="preserve"> </v>
          </cell>
          <cell r="AJ85">
            <v>3.4196891191709877E-2</v>
          </cell>
          <cell r="AK85">
            <v>6.0483870967742437E-3</v>
          </cell>
        </row>
        <row r="86">
          <cell r="AF86">
            <v>40878</v>
          </cell>
          <cell r="AG86">
            <v>99.8</v>
          </cell>
          <cell r="AH86" t="str">
            <v xml:space="preserve"> </v>
          </cell>
          <cell r="AI86" t="str">
            <v xml:space="preserve"> </v>
          </cell>
          <cell r="AJ86">
            <v>2.9927760577915352E-2</v>
          </cell>
          <cell r="AK86">
            <v>0</v>
          </cell>
        </row>
        <row r="87">
          <cell r="AF87">
            <v>40969</v>
          </cell>
          <cell r="AG87">
            <v>99.9</v>
          </cell>
          <cell r="AH87" t="str">
            <v xml:space="preserve"> </v>
          </cell>
          <cell r="AI87" t="str">
            <v xml:space="preserve"> </v>
          </cell>
          <cell r="AJ87">
            <v>1.6276703967446737E-2</v>
          </cell>
          <cell r="AK87">
            <v>1.0020040080160886E-3</v>
          </cell>
        </row>
        <row r="88">
          <cell r="AF88">
            <v>41061</v>
          </cell>
          <cell r="AG88">
            <v>100.4</v>
          </cell>
          <cell r="AH88">
            <v>99.974999999999994</v>
          </cell>
          <cell r="AI88">
            <v>2.3023791250959436E-2</v>
          </cell>
          <cell r="AJ88">
            <v>1.2096774193548487E-2</v>
          </cell>
          <cell r="AK88">
            <v>5.0050050050050032E-3</v>
          </cell>
        </row>
        <row r="89">
          <cell r="AF89">
            <v>41153</v>
          </cell>
          <cell r="AG89">
            <v>101.8</v>
          </cell>
          <cell r="AH89" t="str">
            <v xml:space="preserve"> </v>
          </cell>
          <cell r="AI89" t="str">
            <v xml:space="preserve"> </v>
          </cell>
          <cell r="AJ89">
            <v>2.0040080160320661E-2</v>
          </cell>
          <cell r="AK89">
            <v>1.3944223107569709E-2</v>
          </cell>
        </row>
        <row r="90">
          <cell r="AF90">
            <v>41244</v>
          </cell>
          <cell r="AG90">
            <v>102</v>
          </cell>
          <cell r="AH90" t="str">
            <v xml:space="preserve"> </v>
          </cell>
          <cell r="AI90" t="str">
            <v xml:space="preserve"> </v>
          </cell>
          <cell r="AJ90">
            <v>2.2044088176352838E-2</v>
          </cell>
          <cell r="AK90">
            <v>1.9646365422396617E-3</v>
          </cell>
        </row>
        <row r="91">
          <cell r="AF91">
            <v>41334</v>
          </cell>
          <cell r="AG91">
            <v>102.4</v>
          </cell>
          <cell r="AH91" t="str">
            <v xml:space="preserve"> </v>
          </cell>
          <cell r="AI91" t="str">
            <v xml:space="preserve"> </v>
          </cell>
          <cell r="AJ91">
            <v>2.5025025025025016E-2</v>
          </cell>
          <cell r="AK91">
            <v>3.9215686274509665E-3</v>
          </cell>
        </row>
        <row r="92">
          <cell r="AF92">
            <v>41426</v>
          </cell>
          <cell r="AG92">
            <v>102.8</v>
          </cell>
          <cell r="AH92">
            <v>102.25000000000001</v>
          </cell>
          <cell r="AI92">
            <v>2.2755688922230677E-2</v>
          </cell>
          <cell r="AJ92">
            <v>2.3904382470119501E-2</v>
          </cell>
          <cell r="AK92">
            <v>3.90625E-3</v>
          </cell>
        </row>
        <row r="93">
          <cell r="AF93">
            <v>41518</v>
          </cell>
          <cell r="AG93">
            <v>103.4</v>
          </cell>
          <cell r="AH93" t="str">
            <v xml:space="preserve"> </v>
          </cell>
          <cell r="AI93" t="str">
            <v xml:space="preserve"> </v>
          </cell>
          <cell r="AJ93">
            <v>1.5717092337917515E-2</v>
          </cell>
          <cell r="AK93">
            <v>5.8365758754863606E-3</v>
          </cell>
        </row>
        <row r="94">
          <cell r="AF94">
            <v>41609</v>
          </cell>
          <cell r="AG94">
            <v>104.1</v>
          </cell>
          <cell r="AH94" t="str">
            <v xml:space="preserve"> </v>
          </cell>
          <cell r="AI94" t="str">
            <v xml:space="preserve"> </v>
          </cell>
          <cell r="AJ94">
            <v>2.0588235294117574E-2</v>
          </cell>
          <cell r="AK94">
            <v>6.7698259187620735E-3</v>
          </cell>
        </row>
        <row r="95">
          <cell r="AF95">
            <v>41699</v>
          </cell>
          <cell r="AG95">
            <v>104.7</v>
          </cell>
          <cell r="AH95" t="str">
            <v xml:space="preserve"> </v>
          </cell>
          <cell r="AI95" t="str">
            <v xml:space="preserve"> </v>
          </cell>
          <cell r="AJ95">
            <v>2.24609375E-2</v>
          </cell>
          <cell r="AK95">
            <v>5.7636887608070175E-3</v>
          </cell>
        </row>
        <row r="96">
          <cell r="AF96">
            <v>41791</v>
          </cell>
          <cell r="AG96">
            <v>105.4</v>
          </cell>
          <cell r="AH96">
            <v>104.4</v>
          </cell>
          <cell r="AI96">
            <v>2.1026894865525669E-2</v>
          </cell>
          <cell r="AJ96">
            <v>2.5291828793774451E-2</v>
          </cell>
          <cell r="AK96">
            <v>6.6857688634194279E-3</v>
          </cell>
        </row>
        <row r="97">
          <cell r="AF97">
            <v>41883</v>
          </cell>
          <cell r="AG97">
            <v>105.7</v>
          </cell>
          <cell r="AH97" t="str">
            <v xml:space="preserve"> </v>
          </cell>
          <cell r="AI97" t="str">
            <v xml:space="preserve"> </v>
          </cell>
          <cell r="AJ97">
            <v>2.2243713733075321E-2</v>
          </cell>
          <cell r="AK97">
            <v>2.8462998102467552E-3</v>
          </cell>
        </row>
        <row r="98">
          <cell r="AF98">
            <v>41974</v>
          </cell>
          <cell r="AG98">
            <v>106.2</v>
          </cell>
          <cell r="AH98" t="str">
            <v xml:space="preserve"> </v>
          </cell>
          <cell r="AI98" t="str">
            <v xml:space="preserve"> </v>
          </cell>
          <cell r="AJ98">
            <v>2.0172910662824339E-2</v>
          </cell>
          <cell r="AK98">
            <v>4.7303689687796524E-3</v>
          </cell>
        </row>
        <row r="99">
          <cell r="AF99">
            <v>42064</v>
          </cell>
          <cell r="AG99">
            <v>106.9</v>
          </cell>
          <cell r="AH99" t="str">
            <v xml:space="preserve"> </v>
          </cell>
          <cell r="AI99" t="str">
            <v xml:space="preserve"> </v>
          </cell>
          <cell r="AJ99">
            <v>2.1012416427889313E-2</v>
          </cell>
          <cell r="AK99">
            <v>6.5913370998116338E-3</v>
          </cell>
        </row>
        <row r="100">
          <cell r="AF100">
            <v>42156</v>
          </cell>
          <cell r="AG100">
            <v>107.5</v>
          </cell>
          <cell r="AH100">
            <v>106.575</v>
          </cell>
          <cell r="AI100">
            <v>2.0833333333333259E-2</v>
          </cell>
          <cell r="AJ100">
            <v>1.992409867172662E-2</v>
          </cell>
          <cell r="AK100">
            <v>5.6127221702524377E-3</v>
          </cell>
        </row>
        <row r="101">
          <cell r="AF101">
            <v>42248</v>
          </cell>
          <cell r="AG101">
            <v>108.2</v>
          </cell>
          <cell r="AH101" t="str">
            <v xml:space="preserve"> </v>
          </cell>
          <cell r="AI101" t="str">
            <v xml:space="preserve"> </v>
          </cell>
          <cell r="AJ101">
            <v>1.992409867172662E-2</v>
          </cell>
          <cell r="AK101">
            <v>6.5116279069767913E-3</v>
          </cell>
        </row>
        <row r="102">
          <cell r="AF102">
            <v>42339</v>
          </cell>
          <cell r="AG102">
            <v>108.9</v>
          </cell>
          <cell r="AH102" t="str">
            <v xml:space="preserve"> </v>
          </cell>
          <cell r="AI102" t="str">
            <v xml:space="preserve"> </v>
          </cell>
          <cell r="AJ102">
            <v>2.5423728813559254E-2</v>
          </cell>
          <cell r="AK102">
            <v>6.4695009242143886E-3</v>
          </cell>
        </row>
        <row r="103">
          <cell r="AF103">
            <v>42430</v>
          </cell>
          <cell r="AG103">
            <v>109.6</v>
          </cell>
          <cell r="AH103" t="str">
            <v xml:space="preserve"> </v>
          </cell>
          <cell r="AI103" t="str">
            <v xml:space="preserve"> </v>
          </cell>
          <cell r="AJ103">
            <v>2.5257249766136525E-2</v>
          </cell>
          <cell r="AK103">
            <v>6.4279155188244896E-3</v>
          </cell>
        </row>
        <row r="104">
          <cell r="AF104">
            <v>42522</v>
          </cell>
          <cell r="AG104">
            <v>110.3</v>
          </cell>
          <cell r="AH104">
            <v>109.25000000000001</v>
          </cell>
          <cell r="AI104">
            <v>2.5099695050434079E-2</v>
          </cell>
          <cell r="AJ104">
            <v>2.6046511627906943E-2</v>
          </cell>
          <cell r="AK104">
            <v>6.3868613138686747E-3</v>
          </cell>
        </row>
        <row r="105">
          <cell r="AF105">
            <v>42614</v>
          </cell>
          <cell r="AG105">
            <v>110.9</v>
          </cell>
          <cell r="AH105" t="str">
            <v xml:space="preserve"> </v>
          </cell>
          <cell r="AI105" t="str">
            <v xml:space="preserve"> </v>
          </cell>
          <cell r="AJ105">
            <v>2.4953789279112737E-2</v>
          </cell>
          <cell r="AK105">
            <v>5.4397098821397094E-3</v>
          </cell>
        </row>
        <row r="106">
          <cell r="AF106">
            <v>42705</v>
          </cell>
          <cell r="AG106">
            <v>111.6</v>
          </cell>
          <cell r="AH106" t="str">
            <v xml:space="preserve"> </v>
          </cell>
          <cell r="AI106" t="str">
            <v xml:space="preserve"> </v>
          </cell>
          <cell r="AJ106">
            <v>2.4793388429751984E-2</v>
          </cell>
          <cell r="AK106">
            <v>6.3119927862937963E-3</v>
          </cell>
        </row>
        <row r="107">
          <cell r="AF107">
            <v>42795</v>
          </cell>
          <cell r="AG107">
            <v>112.3</v>
          </cell>
          <cell r="AH107" t="str">
            <v xml:space="preserve"> </v>
          </cell>
          <cell r="AI107" t="str">
            <v xml:space="preserve"> </v>
          </cell>
          <cell r="AJ107">
            <v>2.4635036496350349E-2</v>
          </cell>
          <cell r="AK107">
            <v>6.2724014336916767E-3</v>
          </cell>
        </row>
        <row r="108">
          <cell r="AF108">
            <v>42887</v>
          </cell>
          <cell r="AG108">
            <v>113</v>
          </cell>
          <cell r="AH108">
            <v>111.95</v>
          </cell>
          <cell r="AI108">
            <v>2.4713958810068437E-2</v>
          </cell>
          <cell r="AJ108">
            <v>2.4478694469628248E-2</v>
          </cell>
          <cell r="AK108">
            <v>6.2333036509349959E-3</v>
          </cell>
        </row>
        <row r="109">
          <cell r="AF109">
            <v>42979</v>
          </cell>
          <cell r="AG109">
            <v>113.69844231405689</v>
          </cell>
          <cell r="AH109" t="str">
            <v xml:space="preserve"> </v>
          </cell>
          <cell r="AI109" t="str">
            <v xml:space="preserve"> </v>
          </cell>
          <cell r="AJ109">
            <v>2.5233925284552594E-2</v>
          </cell>
          <cell r="AK109">
            <v>6.1809054341317449E-3</v>
          </cell>
        </row>
        <row r="110">
          <cell r="AF110">
            <v>43070</v>
          </cell>
          <cell r="AG110">
            <v>114.39672554760085</v>
          </cell>
          <cell r="AH110" t="str">
            <v xml:space="preserve"> </v>
          </cell>
          <cell r="AI110" t="str">
            <v xml:space="preserve"> </v>
          </cell>
          <cell r="AJ110">
            <v>2.5060264763448581E-2</v>
          </cell>
          <cell r="AK110">
            <v>6.1415373802147233E-3</v>
          </cell>
        </row>
        <row r="111">
          <cell r="AF111">
            <v>43160</v>
          </cell>
          <cell r="AG111">
            <v>115.09485074608415</v>
          </cell>
          <cell r="AH111" t="str">
            <v xml:space="preserve"> </v>
          </cell>
          <cell r="AI111" t="str">
            <v xml:space="preserve"> </v>
          </cell>
          <cell r="AJ111">
            <v>2.488736194197827E-2</v>
          </cell>
          <cell r="AK111">
            <v>6.1026676693889392E-3</v>
          </cell>
        </row>
        <row r="112">
          <cell r="AF112">
            <v>43252</v>
          </cell>
          <cell r="AG112">
            <v>115.7928189415229</v>
          </cell>
          <cell r="AH112">
            <v>114.7457093873162</v>
          </cell>
          <cell r="AI112">
            <v>2.4972839547263925E-2</v>
          </cell>
          <cell r="AJ112">
            <v>2.471521187188408E-2</v>
          </cell>
          <cell r="AK112">
            <v>6.0642868982780929E-3</v>
          </cell>
        </row>
        <row r="113">
          <cell r="AF113">
            <v>43344</v>
          </cell>
          <cell r="AG113">
            <v>116.51648349292316</v>
          </cell>
          <cell r="AH113" t="str">
            <v xml:space="preserve"> </v>
          </cell>
          <cell r="AI113" t="str">
            <v xml:space="preserve"> </v>
          </cell>
          <cell r="AJ113">
            <v>2.4785222396295437E-2</v>
          </cell>
          <cell r="AK113">
            <v>6.2496496588939632E-3</v>
          </cell>
        </row>
        <row r="114">
          <cell r="AF114">
            <v>43435</v>
          </cell>
          <cell r="AG114">
            <v>117.23970547031718</v>
          </cell>
          <cell r="AH114" t="str">
            <v xml:space="preserve"> </v>
          </cell>
          <cell r="AI114" t="str">
            <v xml:space="preserve"> </v>
          </cell>
          <cell r="AJ114">
            <v>2.485193443350231E-2</v>
          </cell>
          <cell r="AK114">
            <v>6.2070357404662158E-3</v>
          </cell>
        </row>
        <row r="115">
          <cell r="AF115">
            <v>43525</v>
          </cell>
          <cell r="AG115">
            <v>117.9624416367102</v>
          </cell>
          <cell r="AH115" t="str">
            <v xml:space="preserve"> </v>
          </cell>
          <cell r="AI115" t="str">
            <v xml:space="preserve"> </v>
          </cell>
          <cell r="AJ115">
            <v>2.4915023322393148E-2</v>
          </cell>
          <cell r="AK115">
            <v>6.1646023716428466E-3</v>
          </cell>
        </row>
        <row r="116">
          <cell r="AF116">
            <v>43617</v>
          </cell>
          <cell r="AG116">
            <v>118.68464880332685</v>
          </cell>
          <cell r="AH116">
            <v>117.60081985081935</v>
          </cell>
          <cell r="AI116">
            <v>2.4882067301234878E-2</v>
          </cell>
          <cell r="AJ116">
            <v>2.4974172735740874E-2</v>
          </cell>
          <cell r="AK116">
            <v>6.1223484067991496E-3</v>
          </cell>
        </row>
        <row r="117">
          <cell r="AF117">
            <v>43709</v>
          </cell>
          <cell r="AG117">
            <v>119.41331712392241</v>
          </cell>
          <cell r="AH117" t="str">
            <v xml:space="preserve"> </v>
          </cell>
          <cell r="AI117" t="str">
            <v xml:space="preserve"> </v>
          </cell>
          <cell r="AJ117">
            <v>2.4862007023883415E-2</v>
          </cell>
          <cell r="AK117">
            <v>6.1395330225313405E-3</v>
          </cell>
        </row>
        <row r="118">
          <cell r="AF118">
            <v>43800</v>
          </cell>
          <cell r="AG118">
            <v>120.14841442022356</v>
          </cell>
          <cell r="AH118" t="str">
            <v xml:space="preserve"> </v>
          </cell>
          <cell r="AI118" t="str">
            <v xml:space="preserve"> </v>
          </cell>
          <cell r="AJ118">
            <v>2.4809930545610426E-2</v>
          </cell>
          <cell r="AK118">
            <v>6.155907180254383E-3</v>
          </cell>
        </row>
        <row r="119">
          <cell r="AF119">
            <v>43891</v>
          </cell>
          <cell r="AG119">
            <v>120.88989730181432</v>
          </cell>
          <cell r="AH119" t="str">
            <v xml:space="preserve"> </v>
          </cell>
          <cell r="AI119" t="str">
            <v xml:space="preserve"> </v>
          </cell>
          <cell r="AJ119">
            <v>2.4816845298267332E-2</v>
          </cell>
          <cell r="AK119">
            <v>6.1713913177197099E-3</v>
          </cell>
        </row>
        <row r="120">
          <cell r="AF120">
            <v>43983</v>
          </cell>
          <cell r="AG120">
            <v>121.63771107570429</v>
          </cell>
          <cell r="AH120">
            <v>120.52233498041613</v>
          </cell>
          <cell r="AI120">
            <v>2.4842642536870185E-2</v>
          </cell>
          <cell r="AJ120">
            <v>2.4881585800291539E-2</v>
          </cell>
          <cell r="AK120">
            <v>6.1859079259780625E-3</v>
          </cell>
        </row>
        <row r="121">
          <cell r="AF121">
            <v>44075</v>
          </cell>
          <cell r="AG121">
            <v>122.38680224754773</v>
          </cell>
          <cell r="AH121" t="str">
            <v xml:space="preserve"> </v>
          </cell>
          <cell r="AI121" t="str">
            <v xml:space="preserve"> </v>
          </cell>
          <cell r="AJ121">
            <v>2.4900783222859157E-2</v>
          </cell>
          <cell r="AK121">
            <v>6.158379381022927E-3</v>
          </cell>
        </row>
        <row r="122">
          <cell r="AF122">
            <v>44166</v>
          </cell>
          <cell r="AG122">
            <v>123.13894228760986</v>
          </cell>
          <cell r="AH122" t="str">
            <v xml:space="preserve"> </v>
          </cell>
          <cell r="AI122" t="str">
            <v xml:space="preserve"> </v>
          </cell>
          <cell r="AJ122">
            <v>2.4890281588958896E-2</v>
          </cell>
          <cell r="AK122">
            <v>6.145597615507592E-3</v>
          </cell>
        </row>
        <row r="123">
          <cell r="AF123">
            <v>44256</v>
          </cell>
          <cell r="AG123">
            <v>123.89591366914215</v>
          </cell>
          <cell r="AH123" t="str">
            <v xml:space="preserve"> </v>
          </cell>
          <cell r="AI123" t="str">
            <v xml:space="preserve"> </v>
          </cell>
          <cell r="AJ123">
            <v>2.4865736793728832E-2</v>
          </cell>
          <cell r="AK123">
            <v>6.1472948156746643E-3</v>
          </cell>
        </row>
        <row r="124">
          <cell r="AF124">
            <v>44348</v>
          </cell>
          <cell r="AG124">
            <v>124.65950707027461</v>
          </cell>
          <cell r="AH124">
            <v>123.5202913186436</v>
          </cell>
          <cell r="AI124">
            <v>2.4874695123643376E-2</v>
          </cell>
          <cell r="AJ124">
            <v>2.4842591724614449E-2</v>
          </cell>
          <cell r="AK124">
            <v>6.163184713029457E-3</v>
          </cell>
        </row>
        <row r="125">
          <cell r="AF125">
            <v>44440</v>
          </cell>
          <cell r="AG125">
            <v>125.42839399270504</v>
          </cell>
          <cell r="AH125" t="str">
            <v xml:space="preserve"> </v>
          </cell>
          <cell r="AI125" t="str">
            <v xml:space="preserve"> </v>
          </cell>
          <cell r="AJ125">
            <v>2.4852285453174749E-2</v>
          </cell>
          <cell r="AK125">
            <v>6.1678963803135645E-3</v>
          </cell>
        </row>
        <row r="126">
          <cell r="AF126">
            <v>44531</v>
          </cell>
          <cell r="AG126">
            <v>126.20170004686962</v>
          </cell>
          <cell r="AH126" t="str">
            <v xml:space="preserve"> </v>
          </cell>
          <cell r="AI126" t="str">
            <v xml:space="preserve"> </v>
          </cell>
          <cell r="AJ126">
            <v>2.4872373453608265E-2</v>
          </cell>
          <cell r="AK126">
            <v>6.1653189485113558E-3</v>
          </cell>
        </row>
        <row r="127">
          <cell r="AF127">
            <v>44621</v>
          </cell>
          <cell r="AG127">
            <v>126.97901352238262</v>
          </cell>
          <cell r="AH127" t="str">
            <v xml:space="preserve"> </v>
          </cell>
          <cell r="AI127" t="str">
            <v xml:space="preserve"> </v>
          </cell>
          <cell r="AJ127">
            <v>2.4884596771074685E-2</v>
          </cell>
          <cell r="AK127">
            <v>6.1592948052546781E-3</v>
          </cell>
        </row>
        <row r="128">
          <cell r="AF128">
            <v>44713</v>
          </cell>
          <cell r="AG128">
            <v>127.76039337092665</v>
          </cell>
          <cell r="AH128">
            <v>126.59237523322098</v>
          </cell>
          <cell r="AI128">
            <v>2.4871087023688787E-2</v>
          </cell>
          <cell r="AJ128">
            <v>2.4874848084422307E-2</v>
          </cell>
          <cell r="AK128">
            <v>6.15361410416293E-3</v>
          </cell>
        </row>
        <row r="129">
          <cell r="AF129">
            <v>44805</v>
          </cell>
          <cell r="AG129">
            <v>128.54688550090282</v>
          </cell>
          <cell r="AH129" t="str">
            <v xml:space="preserve"> </v>
          </cell>
          <cell r="AI129" t="str">
            <v xml:space="preserve"> </v>
          </cell>
          <cell r="AJ129">
            <v>2.4862723733663827E-2</v>
          </cell>
          <cell r="AK129">
            <v>6.1559933342780759E-3</v>
          </cell>
        </row>
        <row r="130">
          <cell r="AF130">
            <v>44896</v>
          </cell>
          <cell r="AG130">
            <v>129.33885305206235</v>
          </cell>
          <cell r="AH130" t="str">
            <v xml:space="preserve"> </v>
          </cell>
          <cell r="AI130" t="str">
            <v xml:space="preserve"> </v>
          </cell>
          <cell r="AJ130">
            <v>2.4858246790872229E-2</v>
          </cell>
          <cell r="AK130">
            <v>6.1609236822308677E-3</v>
          </cell>
        </row>
        <row r="131">
          <cell r="AF131">
            <v>44986</v>
          </cell>
          <cell r="AG131">
            <v>130.13608787460609</v>
          </cell>
          <cell r="AH131" t="str">
            <v xml:space="preserve"> </v>
          </cell>
          <cell r="AI131" t="str">
            <v xml:space="preserve"> </v>
          </cell>
          <cell r="AJ131">
            <v>2.4862961718213228E-2</v>
          </cell>
          <cell r="AK131">
            <v>6.1639237068449315E-3</v>
          </cell>
        </row>
        <row r="132">
          <cell r="AF132">
            <v>45078</v>
          </cell>
          <cell r="AG132">
            <v>130.93792542003396</v>
          </cell>
          <cell r="AH132">
            <v>129.73993796190129</v>
          </cell>
          <cell r="AI132">
            <v>2.4863762314922599E-2</v>
          </cell>
          <cell r="AJ132">
            <v>2.4871025873268726E-2</v>
          </cell>
          <cell r="AK132">
            <v>6.1615310443363658E-3</v>
          </cell>
        </row>
        <row r="133">
          <cell r="AF133">
            <v>45170</v>
          </cell>
          <cell r="AG133">
            <v>131.74431387308843</v>
          </cell>
          <cell r="AH133" t="str">
            <v xml:space="preserve"> </v>
          </cell>
          <cell r="AI133" t="str">
            <v xml:space="preserve"> </v>
          </cell>
          <cell r="AJ133">
            <v>2.487363548114252E-2</v>
          </cell>
          <cell r="AK133">
            <v>6.1585552884517725E-3</v>
          </cell>
        </row>
        <row r="134">
          <cell r="AF134">
            <v>45261</v>
          </cell>
          <cell r="AG134">
            <v>132.5555237519159</v>
          </cell>
          <cell r="AH134" t="str">
            <v xml:space="preserve"> </v>
          </cell>
          <cell r="AI134" t="str">
            <v xml:space="preserve"> </v>
          </cell>
          <cell r="AJ134">
            <v>2.4870103792854481E-2</v>
          </cell>
          <cell r="AK134">
            <v>6.1574564774682372E-3</v>
          </cell>
        </row>
        <row r="135">
          <cell r="AF135">
            <v>45352</v>
          </cell>
          <cell r="AG135">
            <v>133.37188201634009</v>
          </cell>
          <cell r="AH135" t="str">
            <v xml:space="preserve"> </v>
          </cell>
          <cell r="AI135" t="str">
            <v xml:space="preserve"> </v>
          </cell>
          <cell r="AJ135">
            <v>2.4864695063308462E-2</v>
          </cell>
          <cell r="AK135">
            <v>6.1586136987550333E-3</v>
          </cell>
        </row>
        <row r="136">
          <cell r="AF136">
            <v>45444</v>
          </cell>
          <cell r="AG136">
            <v>134.19353189079013</v>
          </cell>
          <cell r="AH136">
            <v>132.96631288303365</v>
          </cell>
          <cell r="AI136">
            <v>2.4868016524563163E-2</v>
          </cell>
          <cell r="AJ136">
            <v>2.4863739518650174E-2</v>
          </cell>
          <cell r="AK136">
            <v>6.1605929377930302E-3</v>
          </cell>
        </row>
        <row r="137">
          <cell r="AF137">
            <v>45536</v>
          </cell>
          <cell r="AG137">
            <v>135.02032956538466</v>
          </cell>
          <cell r="AH137" t="str">
            <v xml:space="preserve"> </v>
          </cell>
          <cell r="AI137" t="str">
            <v xml:space="preserve"> </v>
          </cell>
          <cell r="AJ137">
            <v>2.4866467447331786E-2</v>
          </cell>
          <cell r="AK137">
            <v>6.1612334286529347E-3</v>
          </cell>
        </row>
        <row r="138">
          <cell r="AF138">
            <v>45627</v>
          </cell>
          <cell r="AG138">
            <v>135.85210429748093</v>
          </cell>
          <cell r="AH138" t="str">
            <v xml:space="preserve"> </v>
          </cell>
          <cell r="AI138" t="str">
            <v xml:space="preserve"> </v>
          </cell>
          <cell r="AJ138">
            <v>2.4869431708743672E-2</v>
          </cell>
          <cell r="AK138">
            <v>6.1603666260752199E-3</v>
          </cell>
        </row>
        <row r="139">
          <cell r="AF139">
            <v>45717</v>
          </cell>
          <cell r="AG139">
            <v>136.68882272321466</v>
          </cell>
          <cell r="AH139" t="str">
            <v xml:space="preserve"> </v>
          </cell>
          <cell r="AI139" t="str">
            <v xml:space="preserve"> </v>
          </cell>
          <cell r="AJ139">
            <v>2.4869865047478124E-2</v>
          </cell>
          <cell r="AK139">
            <v>6.1590391261185928E-3</v>
          </cell>
        </row>
        <row r="140">
          <cell r="AF140">
            <v>45809</v>
          </cell>
          <cell r="AG140">
            <v>137.53066247336847</v>
          </cell>
          <cell r="AH140">
            <v>136.27297976486219</v>
          </cell>
          <cell r="AI140">
            <v>2.4868455852703919E-2</v>
          </cell>
          <cell r="AJ140">
            <v>2.486804345603022E-2</v>
          </cell>
          <cell r="AK140">
            <v>6.1588045999816377E-3</v>
          </cell>
        </row>
        <row r="141">
          <cell r="AF141">
            <v>45901</v>
          </cell>
          <cell r="AG141">
            <v>138.37777903157789</v>
          </cell>
          <cell r="AH141" t="str">
            <v xml:space="preserve"> </v>
          </cell>
          <cell r="AI141" t="str">
            <v xml:space="preserve"> </v>
          </cell>
          <cell r="AJ141">
            <v>2.4866251452655197E-2</v>
          </cell>
          <cell r="AK141">
            <v>6.1594741345294413E-3</v>
          </cell>
        </row>
        <row r="142">
          <cell r="AF142">
            <v>45992</v>
          </cell>
          <cell r="AG142">
            <v>139.23021405738442</v>
          </cell>
          <cell r="AH142" t="str">
            <v xml:space="preserve"> </v>
          </cell>
          <cell r="AI142" t="str">
            <v xml:space="preserve"> </v>
          </cell>
          <cell r="AJ142">
            <v>2.4866083432217634E-2</v>
          </cell>
          <cell r="AK142">
            <v>6.1602016723509845E-3</v>
          </cell>
        </row>
        <row r="143">
          <cell r="AF143">
            <v>46082</v>
          </cell>
          <cell r="AG143">
            <v>140.08791506296924</v>
          </cell>
          <cell r="AH143" t="str">
            <v xml:space="preserve"> </v>
          </cell>
          <cell r="AI143" t="str">
            <v xml:space="preserve"> </v>
          </cell>
          <cell r="AJ143">
            <v>2.4867375927565938E-2</v>
          </cell>
          <cell r="AK143">
            <v>6.1603080293428647E-3</v>
          </cell>
        </row>
        <row r="144">
          <cell r="AF144">
            <v>46174</v>
          </cell>
          <cell r="AG144">
            <v>140.9508371397927</v>
          </cell>
          <cell r="AH144">
            <v>139.66168632293108</v>
          </cell>
          <cell r="AI144">
            <v>2.4867046746288812E-2</v>
          </cell>
          <cell r="AJ144">
            <v>2.4868451914034084E-2</v>
          </cell>
          <cell r="AK144">
            <v>6.1598609447186536E-3</v>
          </cell>
        </row>
        <row r="145">
          <cell r="AF145">
            <v>46266</v>
          </cell>
          <cell r="AG145">
            <v>141.81901270316456</v>
          </cell>
          <cell r="AH145" t="str">
            <v xml:space="preserve"> </v>
          </cell>
          <cell r="AI145" t="str">
            <v xml:space="preserve"> </v>
          </cell>
          <cell r="AJ145">
            <v>2.4868397915256191E-2</v>
          </cell>
          <cell r="AK145">
            <v>6.1594211214994754E-3</v>
          </cell>
        </row>
        <row r="146">
          <cell r="AF146">
            <v>46357</v>
          </cell>
          <cell r="AG146">
            <v>142.69252987705019</v>
          </cell>
          <cell r="AH146" t="str">
            <v xml:space="preserve"> </v>
          </cell>
          <cell r="AI146" t="str">
            <v xml:space="preserve"> </v>
          </cell>
          <cell r="AJ146">
            <v>2.4867560845943659E-2</v>
          </cell>
          <cell r="AK146">
            <v>6.1593798831045543E-3</v>
          </cell>
        </row>
        <row r="147">
          <cell r="AF147">
            <v>46447</v>
          </cell>
          <cell r="AG147">
            <v>143.57147264079094</v>
          </cell>
          <cell r="AH147" t="str">
            <v xml:space="preserve"> </v>
          </cell>
          <cell r="AI147" t="str">
            <v xml:space="preserve"> </v>
          </cell>
          <cell r="AJ147">
            <v>2.4866938566798114E-2</v>
          </cell>
          <cell r="AK147">
            <v>6.1596971088682118E-3</v>
          </cell>
        </row>
        <row r="148">
          <cell r="AF148">
            <v>46539</v>
          </cell>
          <cell r="AG148">
            <v>144.45586734099342</v>
          </cell>
          <cell r="AH148">
            <v>143.13472064049978</v>
          </cell>
          <cell r="AI148">
            <v>2.4867480903375538E-2</v>
          </cell>
          <cell r="AJ148">
            <v>2.4867040681173735E-2</v>
          </cell>
          <cell r="AK148">
            <v>6.1599611951825839E-3</v>
          </cell>
        </row>
        <row r="149">
          <cell r="AF149">
            <v>46631</v>
          </cell>
          <cell r="AG149">
            <v>145.34570796371864</v>
          </cell>
          <cell r="AH149" t="str">
            <v xml:space="preserve"> </v>
          </cell>
          <cell r="AI149" t="str">
            <v xml:space="preserve"> </v>
          </cell>
          <cell r="AJ149">
            <v>2.4867577296816101E-2</v>
          </cell>
          <cell r="AK149">
            <v>6.1599479419185421E-3</v>
          </cell>
        </row>
        <row r="150">
          <cell r="AF150">
            <v>46722</v>
          </cell>
          <cell r="AG150">
            <v>146.24100009746988</v>
          </cell>
          <cell r="AH150" t="str">
            <v xml:space="preserve"> </v>
          </cell>
          <cell r="AI150" t="str">
            <v xml:space="preserve"> </v>
          </cell>
          <cell r="AJ150">
            <v>2.4867946650586337E-2</v>
          </cell>
          <cell r="AK150">
            <v>6.1597424945958323E-3</v>
          </cell>
        </row>
        <row r="151">
          <cell r="AF151">
            <v>46813</v>
          </cell>
          <cell r="AG151">
            <v>147.1417846648246</v>
          </cell>
          <cell r="AH151" t="str">
            <v xml:space="preserve"> </v>
          </cell>
          <cell r="AI151" t="str">
            <v xml:space="preserve"> </v>
          </cell>
          <cell r="AJ151">
            <v>2.4867837310315943E-2</v>
          </cell>
          <cell r="AK151">
            <v>6.1595897645281283E-3</v>
          </cell>
        </row>
        <row r="152">
          <cell r="AF152">
            <v>46905</v>
          </cell>
          <cell r="AG152">
            <v>148.04812138333736</v>
          </cell>
          <cell r="AH152">
            <v>146.69415352733762</v>
          </cell>
          <cell r="AI152">
            <v>2.4867711138919057E-2</v>
          </cell>
          <cell r="AJ152">
            <v>2.4867484502130166E-2</v>
          </cell>
          <cell r="AK152">
            <v>6.1596148271363393E-3</v>
          </cell>
        </row>
        <row r="153">
          <cell r="AF153">
            <v>46997</v>
          </cell>
          <cell r="AG153">
            <v>148.96006028563312</v>
          </cell>
          <cell r="AH153" t="str">
            <v xml:space="preserve"> </v>
          </cell>
          <cell r="AI153" t="str">
            <v xml:space="preserve"> </v>
          </cell>
          <cell r="AJ153">
            <v>2.4867279347641214E-2</v>
          </cell>
          <cell r="AK153">
            <v>6.1597465322407174E-3</v>
          </cell>
        </row>
        <row r="154">
          <cell r="AF154">
            <v>47088</v>
          </cell>
          <cell r="AG154">
            <v>149.87763000408043</v>
          </cell>
          <cell r="AH154" t="str">
            <v xml:space="preserve"> </v>
          </cell>
          <cell r="AI154" t="str">
            <v xml:space="preserve"> </v>
          </cell>
          <cell r="AJ154">
            <v>2.4867375798761859E-2</v>
          </cell>
          <cell r="AK154">
            <v>6.1598371851343536E-3</v>
          </cell>
        </row>
        <row r="155">
          <cell r="AF155">
            <v>47178</v>
          </cell>
          <cell r="AG155">
            <v>150.80084778046984</v>
          </cell>
          <cell r="AH155" t="str">
            <v xml:space="preserve"> </v>
          </cell>
          <cell r="AI155" t="str">
            <v xml:space="preserve"> </v>
          </cell>
          <cell r="AJ155">
            <v>2.4867600484663521E-2</v>
          </cell>
          <cell r="AK155">
            <v>6.1598103490445588E-3</v>
          </cell>
        </row>
        <row r="156">
          <cell r="AF156">
            <v>47270</v>
          </cell>
          <cell r="AG156">
            <v>151.72973934512419</v>
          </cell>
          <cell r="AH156">
            <v>150.3420693538269</v>
          </cell>
          <cell r="AI156">
            <v>2.4867492935289004E-2</v>
          </cell>
          <cell r="AJ156">
            <v>2.4867711439945372E-2</v>
          </cell>
          <cell r="AK156">
            <v>6.159723757034774E-3</v>
          </cell>
        </row>
        <row r="157">
          <cell r="AF157">
            <v>47362</v>
          </cell>
          <cell r="AG157">
            <v>152.66434498525868</v>
          </cell>
          <cell r="AH157" t="str">
            <v xml:space="preserve"> </v>
          </cell>
          <cell r="AI157" t="str">
            <v xml:space="preserve"> </v>
          </cell>
          <cell r="AJ157">
            <v>2.486763695263372E-2</v>
          </cell>
          <cell r="AK157">
            <v>6.1596734046227564E-3</v>
          </cell>
        </row>
        <row r="158">
          <cell r="AF158">
            <v>47453</v>
          </cell>
          <cell r="AG158">
            <v>153.6047111048654</v>
          </cell>
          <cell r="AH158" t="str">
            <v xml:space="preserve"> </v>
          </cell>
          <cell r="AI158" t="str">
            <v xml:space="preserve"> </v>
          </cell>
          <cell r="AJ158">
            <v>2.4867494239690702E-2</v>
          </cell>
          <cell r="AK158">
            <v>6.1596970772548332E-3</v>
          </cell>
        </row>
        <row r="159">
          <cell r="AF159">
            <v>47543</v>
          </cell>
          <cell r="AG159">
            <v>154.55087806561608</v>
          </cell>
          <cell r="AH159" t="str">
            <v xml:space="preserve"> </v>
          </cell>
          <cell r="AI159" t="str">
            <v xml:space="preserve"> </v>
          </cell>
          <cell r="AJ159">
            <v>2.4867435033292251E-2</v>
          </cell>
          <cell r="AK159">
            <v>6.1597522233853841E-3</v>
          </cell>
        </row>
        <row r="160">
          <cell r="AF160">
            <v>47635</v>
          </cell>
          <cell r="AG160">
            <v>155.50287738921017</v>
          </cell>
          <cell r="AH160">
            <v>154.08070288623759</v>
          </cell>
          <cell r="AI160">
            <v>2.4867514119496947E-2</v>
          </cell>
          <cell r="AJ160">
            <v>2.4867491767738503E-2</v>
          </cell>
          <cell r="AK160">
            <v>6.1597794558625463E-3</v>
          </cell>
        </row>
        <row r="161">
          <cell r="AF161">
            <v>47727</v>
          </cell>
          <cell r="AG161">
            <v>156.46073797579083</v>
          </cell>
          <cell r="AH161" t="str">
            <v xml:space="preserve"> </v>
          </cell>
          <cell r="AI161" t="str">
            <v xml:space="preserve"> </v>
          </cell>
          <cell r="AJ161">
            <v>2.4867581168993569E-2</v>
          </cell>
          <cell r="AK161">
            <v>6.1597611739570013E-3</v>
          </cell>
        </row>
        <row r="162">
          <cell r="AF162">
            <v>47818</v>
          </cell>
          <cell r="AG162">
            <v>157.42449327447733</v>
          </cell>
          <cell r="AH162" t="str">
            <v xml:space="preserve"> </v>
          </cell>
          <cell r="AI162" t="str">
            <v xml:space="preserve"> </v>
          </cell>
          <cell r="AJ162">
            <v>2.4867610779230498E-2</v>
          </cell>
          <cell r="AK162">
            <v>6.1597261469878983E-3</v>
          </cell>
        </row>
        <row r="163">
          <cell r="AF163">
            <v>47908</v>
          </cell>
          <cell r="AG163">
            <v>158.39418275427599</v>
          </cell>
          <cell r="AH163" t="str">
            <v xml:space="preserve"> </v>
          </cell>
          <cell r="AI163" t="str">
            <v xml:space="preserve"> </v>
          </cell>
          <cell r="AJ163">
            <v>2.4867569416384683E-2</v>
          </cell>
          <cell r="AK163">
            <v>6.1597116155740483E-3</v>
          </cell>
        </row>
        <row r="164">
          <cell r="AF164">
            <v>48000</v>
          </cell>
          <cell r="AG164">
            <v>159.36984744721937</v>
          </cell>
          <cell r="AH164">
            <v>157.91231536294089</v>
          </cell>
          <cell r="AI164">
            <v>2.486756878005858E-2</v>
          </cell>
          <cell r="AJ164">
            <v>2.4867514498336352E-2</v>
          </cell>
          <cell r="AK164">
            <v>6.1597255402805473E-3</v>
          </cell>
        </row>
        <row r="165">
          <cell r="AF165">
            <v>48092</v>
          </cell>
          <cell r="AG165">
            <v>160.35152546383705</v>
          </cell>
          <cell r="AH165" t="str">
            <v xml:space="preserve"> </v>
          </cell>
          <cell r="AI165" t="str">
            <v xml:space="preserve"> </v>
          </cell>
          <cell r="AJ165">
            <v>2.4867500552427702E-2</v>
          </cell>
          <cell r="AK165">
            <v>6.1597474826144971E-3</v>
          </cell>
        </row>
        <row r="166">
          <cell r="AF166">
            <v>48183</v>
          </cell>
          <cell r="AG166">
            <v>161.33925153449036</v>
          </cell>
          <cell r="AH166" t="str">
            <v xml:space="preserve"> </v>
          </cell>
          <cell r="AI166" t="str">
            <v xml:space="preserve"> </v>
          </cell>
          <cell r="AJ166">
            <v>2.486752968731154E-2</v>
          </cell>
          <cell r="AK166">
            <v>6.159754750048041E-3</v>
          </cell>
        </row>
        <row r="167">
          <cell r="AF167">
            <v>48274</v>
          </cell>
          <cell r="AG167">
            <v>162.33306011759063</v>
          </cell>
          <cell r="AH167" t="str">
            <v xml:space="preserve"> </v>
          </cell>
          <cell r="AI167" t="str">
            <v xml:space="preserve"> </v>
          </cell>
          <cell r="AJ167">
            <v>2.4867563283085925E-2</v>
          </cell>
          <cell r="AK167">
            <v>6.159744598094985E-3</v>
          </cell>
        </row>
        <row r="168">
          <cell r="AF168">
            <v>48366</v>
          </cell>
          <cell r="AG168">
            <v>163.33298811967185</v>
          </cell>
          <cell r="AH168">
            <v>161.83920630889747</v>
          </cell>
          <cell r="AI168">
            <v>2.486754080535869E-2</v>
          </cell>
          <cell r="AJ168">
            <v>2.4867568965735609E-2</v>
          </cell>
          <cell r="AK168">
            <v>6.1597311191996518E-3</v>
          </cell>
        </row>
        <row r="169">
          <cell r="AF169">
            <v>48458</v>
          </cell>
          <cell r="AG169">
            <v>164.33907485032253</v>
          </cell>
          <cell r="AH169" t="str">
            <v xml:space="preserve"> </v>
          </cell>
          <cell r="AI169" t="str">
            <v xml:space="preserve"> </v>
          </cell>
          <cell r="AJ169">
            <v>2.4867548811593698E-2</v>
          </cell>
          <cell r="AK169">
            <v>6.1597276963643033E-3</v>
          </cell>
        </row>
        <row r="170">
          <cell r="AF170">
            <v>48549</v>
          </cell>
          <cell r="AG170">
            <v>165.35135997642303</v>
          </cell>
          <cell r="AH170" t="str">
            <v xml:space="preserve"> </v>
          </cell>
          <cell r="AI170" t="str">
            <v xml:space="preserve"> </v>
          </cell>
          <cell r="AJ170">
            <v>2.4867528538614625E-2</v>
          </cell>
          <cell r="AK170">
            <v>6.1597348471291724E-3</v>
          </cell>
        </row>
        <row r="171">
          <cell r="AF171">
            <v>48639</v>
          </cell>
          <cell r="AG171">
            <v>166.3698818739162</v>
          </cell>
          <cell r="AH171" t="str">
            <v xml:space="preserve"> </v>
          </cell>
          <cell r="AI171" t="str">
            <v xml:space="preserve"> </v>
          </cell>
          <cell r="AJ171">
            <v>2.4867527005290047E-2</v>
          </cell>
          <cell r="AK171">
            <v>6.1597430927595731E-3</v>
          </cell>
        </row>
        <row r="172">
          <cell r="AF172">
            <v>48731</v>
          </cell>
          <cell r="AG172">
            <v>167.39467783667328</v>
          </cell>
          <cell r="AH172">
            <v>165.86374863433377</v>
          </cell>
          <cell r="AI172">
            <v>2.4867536224533859E-2</v>
          </cell>
          <cell r="AJ172">
            <v>2.4867540622139916E-2</v>
          </cell>
          <cell r="AK172">
            <v>6.1597444874892382E-3</v>
          </cell>
        </row>
        <row r="173">
          <cell r="AF173">
            <v>48823</v>
          </cell>
          <cell r="AG173">
            <v>168.42578545268452</v>
          </cell>
          <cell r="AH173" t="str">
            <v xml:space="preserve"> </v>
          </cell>
          <cell r="AI173" t="str">
            <v xml:space="preserve"> </v>
          </cell>
          <cell r="AJ173">
            <v>2.4867552686931527E-2</v>
          </cell>
          <cell r="AK173">
            <v>6.1597395409267452E-3</v>
          </cell>
        </row>
        <row r="174">
          <cell r="AF174">
            <v>48914</v>
          </cell>
          <cell r="AG174">
            <v>169.46324358500786</v>
          </cell>
          <cell r="AH174" t="str">
            <v xml:space="preserve"> </v>
          </cell>
          <cell r="AI174" t="str">
            <v xml:space="preserve"> </v>
          </cell>
          <cell r="AJ174">
            <v>2.4867552399757242E-2</v>
          </cell>
          <cell r="AK174">
            <v>6.1597345651969171E-3</v>
          </cell>
        </row>
        <row r="175">
          <cell r="AF175">
            <v>49004</v>
          </cell>
          <cell r="AG175">
            <v>170.50709212027405</v>
          </cell>
          <cell r="AH175" t="str">
            <v xml:space="preserve"> </v>
          </cell>
          <cell r="AI175" t="str">
            <v xml:space="preserve"> </v>
          </cell>
          <cell r="AJ175">
            <v>2.4867543330308051E-2</v>
          </cell>
          <cell r="AK175">
            <v>6.1597341888630641E-3</v>
          </cell>
        </row>
        <row r="176">
          <cell r="AF176">
            <v>49096</v>
          </cell>
          <cell r="AG176">
            <v>171.55737105489797</v>
          </cell>
          <cell r="AH176">
            <v>169.98837305321609</v>
          </cell>
          <cell r="AI176">
            <v>2.4867546120493911E-2</v>
          </cell>
          <cell r="AJ176">
            <v>2.4867536244409294E-2</v>
          </cell>
          <cell r="AK176">
            <v>6.1597375309354607E-3</v>
          </cell>
        </row>
        <row r="177">
          <cell r="AF177">
            <v>49188</v>
          </cell>
          <cell r="AG177">
            <v>172.61411994009896</v>
          </cell>
          <cell r="AH177" t="str">
            <v xml:space="preserve"> </v>
          </cell>
          <cell r="AI177" t="str">
            <v xml:space="preserve"> </v>
          </cell>
          <cell r="AJ177">
            <v>2.486753721324364E-2</v>
          </cell>
          <cell r="AK177">
            <v>6.1597404920761267E-3</v>
          </cell>
        </row>
        <row r="178">
          <cell r="AF178">
            <v>49279</v>
          </cell>
          <cell r="AG178">
            <v>173.67737811203168</v>
          </cell>
          <cell r="AH178" t="str">
            <v xml:space="preserve"> </v>
          </cell>
          <cell r="AI178" t="str">
            <v xml:space="preserve"> </v>
          </cell>
          <cell r="AJ178">
            <v>2.4867543178529239E-2</v>
          </cell>
          <cell r="AK178">
            <v>6.1597404215929519E-3</v>
          </cell>
        </row>
        <row r="179">
          <cell r="AF179">
            <v>49369</v>
          </cell>
          <cell r="AG179">
            <v>174.74718529170329</v>
          </cell>
          <cell r="AH179" t="str">
            <v xml:space="preserve"> </v>
          </cell>
          <cell r="AI179" t="str">
            <v xml:space="preserve"> </v>
          </cell>
          <cell r="AJ179">
            <v>2.4867547259783906E-2</v>
          </cell>
          <cell r="AK179">
            <v>6.1597381956188801E-3</v>
          </cell>
        </row>
        <row r="180">
          <cell r="AF180">
            <v>49461</v>
          </cell>
          <cell r="AG180">
            <v>175.82358189961195</v>
          </cell>
          <cell r="AH180">
            <v>174.21556631086145</v>
          </cell>
          <cell r="AI180">
            <v>2.486754347794129E-2</v>
          </cell>
          <cell r="AJ180">
            <v>2.4867546165351362E-2</v>
          </cell>
          <cell r="AK180">
            <v>6.1597364564804913E-3</v>
          </cell>
        </row>
        <row r="181">
          <cell r="AF181">
            <v>49553</v>
          </cell>
          <cell r="AG181">
            <v>176.90660886875659</v>
          </cell>
          <cell r="AH181" t="str">
            <v xml:space="preserve"> </v>
          </cell>
          <cell r="AI181" t="str">
            <v xml:space="preserve"> </v>
          </cell>
          <cell r="AJ181">
            <v>2.4867542296929335E-2</v>
          </cell>
          <cell r="AK181">
            <v>6.1597366942678367E-3</v>
          </cell>
        </row>
        <row r="182">
          <cell r="AF182">
            <v>49644</v>
          </cell>
          <cell r="AG182">
            <v>177.99630725787276</v>
          </cell>
          <cell r="AH182" t="str">
            <v xml:space="preserve"> </v>
          </cell>
          <cell r="AI182" t="str">
            <v xml:space="preserve"> </v>
          </cell>
          <cell r="AJ182">
            <v>2.48675399916225E-2</v>
          </cell>
          <cell r="AK182">
            <v>6.1597381583669009E-3</v>
          </cell>
        </row>
        <row r="183">
          <cell r="AF183">
            <v>49735</v>
          </cell>
          <cell r="AG183">
            <v>179.09271808203442</v>
          </cell>
          <cell r="AH183" t="str">
            <v xml:space="preserve"> </v>
          </cell>
          <cell r="AI183" t="str">
            <v xml:space="preserve"> </v>
          </cell>
          <cell r="AJ183">
            <v>2.4867540973991575E-2</v>
          </cell>
          <cell r="AK183">
            <v>6.1597391600558549E-3</v>
          </cell>
        </row>
        <row r="184">
          <cell r="AF184">
            <v>49827</v>
          </cell>
          <cell r="AG184">
            <v>180.1958824627784</v>
          </cell>
          <cell r="AH184">
            <v>178.54787916786054</v>
          </cell>
          <cell r="AI184">
            <v>2.4867541682634275E-2</v>
          </cell>
          <cell r="AJ184">
            <v>2.4867543454227148E-2</v>
          </cell>
          <cell r="AK184">
            <v>6.159738891442057E-3</v>
          </cell>
        </row>
        <row r="185">
          <cell r="AF185">
            <v>49919</v>
          </cell>
          <cell r="AG185">
            <v>181.30584187697474</v>
          </cell>
          <cell r="AH185" t="str">
            <v xml:space="preserve"> </v>
          </cell>
          <cell r="AI185" t="str">
            <v xml:space="preserve"> </v>
          </cell>
          <cell r="AJ185">
            <v>2.4867544725148516E-2</v>
          </cell>
          <cell r="AK185">
            <v>6.1597379419899845E-3</v>
          </cell>
        </row>
        <row r="186">
          <cell r="AF186">
            <v>50010</v>
          </cell>
          <cell r="AG186">
            <v>182.42263824770475</v>
          </cell>
          <cell r="AH186" t="str">
            <v xml:space="preserve"> </v>
          </cell>
          <cell r="AI186" t="str">
            <v xml:space="preserve"> </v>
          </cell>
          <cell r="AJ186">
            <v>2.4867543928421609E-2</v>
          </cell>
          <cell r="AK186">
            <v>6.1597373761834717E-3</v>
          </cell>
        </row>
        <row r="187">
          <cell r="AF187">
            <v>50100</v>
          </cell>
          <cell r="AG187">
            <v>183.54631383476493</v>
          </cell>
          <cell r="AH187" t="str">
            <v xml:space="preserve"> </v>
          </cell>
          <cell r="AI187" t="str">
            <v xml:space="preserve"> </v>
          </cell>
          <cell r="AJ187">
            <v>2.4867542356973527E-2</v>
          </cell>
          <cell r="AK187">
            <v>6.1597376172928264E-3</v>
          </cell>
        </row>
        <row r="188">
          <cell r="AF188">
            <v>50192</v>
          </cell>
          <cell r="AG188">
            <v>184.67691108034043</v>
          </cell>
          <cell r="AH188">
            <v>182.98792625994622</v>
          </cell>
          <cell r="AI188">
            <v>2.4867543164214245E-2</v>
          </cell>
          <cell r="AJ188">
            <v>2.4867541679192584E-2</v>
          </cell>
          <cell r="AK188">
            <v>6.1597382260332179E-3</v>
          </cell>
        </row>
        <row r="189">
          <cell r="AF189">
            <v>50284</v>
          </cell>
          <cell r="AG189">
            <v>185.81447256659411</v>
          </cell>
          <cell r="AH189" t="str">
            <v xml:space="preserve"> </v>
          </cell>
          <cell r="AI189" t="str">
            <v xml:space="preserve"> </v>
          </cell>
          <cell r="AJ189">
            <v>2.4867542286247435E-2</v>
          </cell>
          <cell r="AK189">
            <v>6.1597385379636993E-3</v>
          </cell>
        </row>
        <row r="190">
          <cell r="AF190">
            <v>50375</v>
          </cell>
          <cell r="AG190">
            <v>186.95904109783871</v>
          </cell>
          <cell r="AH190" t="str">
            <v xml:space="preserve"> </v>
          </cell>
          <cell r="AI190" t="str">
            <v xml:space="preserve"> </v>
          </cell>
          <cell r="AJ190">
            <v>2.4867543270447268E-2</v>
          </cell>
          <cell r="AK190">
            <v>6.1597383424178975E-3</v>
          </cell>
        </row>
        <row r="191">
          <cell r="AF191">
            <v>50465</v>
          </cell>
          <cell r="AG191">
            <v>188.11065979964235</v>
          </cell>
          <cell r="AH191" t="str">
            <v xml:space="preserve"> </v>
          </cell>
          <cell r="AI191" t="str">
            <v xml:space="preserve"> </v>
          </cell>
          <cell r="AJ191">
            <v>2.48675436161927E-2</v>
          </cell>
          <cell r="AK191">
            <v>6.1597379567270849E-3</v>
          </cell>
        </row>
        <row r="192">
          <cell r="AF192">
            <v>50557</v>
          </cell>
          <cell r="AG192">
            <v>189.26937213958254</v>
          </cell>
          <cell r="AH192">
            <v>187.53838640091442</v>
          </cell>
          <cell r="AI192">
            <v>2.4867543088629596E-2</v>
          </cell>
          <cell r="AJ192">
            <v>2.4867543172433892E-2</v>
          </cell>
          <cell r="AK192">
            <v>6.1597377903748196E-3</v>
          </cell>
        </row>
        <row r="193">
          <cell r="AF193">
            <v>50649</v>
          </cell>
          <cell r="AG193">
            <v>190.43522187191115</v>
          </cell>
          <cell r="AH193" t="str">
            <v xml:space="preserve"> </v>
          </cell>
          <cell r="AI193" t="str">
            <v xml:space="preserve"> </v>
          </cell>
          <cell r="AJ193">
            <v>2.4867542562708733E-2</v>
          </cell>
          <cell r="AK193">
            <v>6.1597379393683038E-3</v>
          </cell>
        </row>
        <row r="194">
          <cell r="AF194">
            <v>50740</v>
          </cell>
          <cell r="AG194">
            <v>191.60825297906885</v>
          </cell>
          <cell r="AH194" t="str">
            <v xml:space="preserve"> </v>
          </cell>
          <cell r="AI194" t="str">
            <v xml:space="preserve"> </v>
          </cell>
          <cell r="AJ194">
            <v>2.4867542398215203E-2</v>
          </cell>
          <cell r="AK194">
            <v>6.1597381809268548E-3</v>
          </cell>
        </row>
        <row r="195">
          <cell r="AF195">
            <v>50830</v>
          </cell>
          <cell r="AG195">
            <v>192.78850966698431</v>
          </cell>
          <cell r="AH195" t="str">
            <v xml:space="preserve"> </v>
          </cell>
          <cell r="AI195" t="str">
            <v xml:space="preserve"> </v>
          </cell>
          <cell r="AJ195">
            <v>2.486754271301983E-2</v>
          </cell>
          <cell r="AK195">
            <v>6.1597382657854194E-3</v>
          </cell>
        </row>
        <row r="196">
          <cell r="AF196">
            <v>50922</v>
          </cell>
          <cell r="AG196">
            <v>193.9760364061863</v>
          </cell>
          <cell r="AH196">
            <v>192.20200523103765</v>
          </cell>
          <cell r="AI196">
            <v>2.4867542691518363E-2</v>
          </cell>
          <cell r="AJ196">
            <v>2.4867543086330324E-2</v>
          </cell>
          <cell r="AK196">
            <v>6.1597381568707643E-3</v>
          </cell>
        </row>
        <row r="197">
          <cell r="AF197">
            <v>51014</v>
          </cell>
          <cell r="AG197">
            <v>195.17087797012778</v>
          </cell>
          <cell r="AH197" t="str">
            <v xml:space="preserve"> </v>
          </cell>
          <cell r="AI197" t="str">
            <v xml:space="preserve"> </v>
          </cell>
          <cell r="AJ197">
            <v>2.4867543155445704E-2</v>
          </cell>
          <cell r="AK197">
            <v>6.1597380072220265E-3</v>
          </cell>
        </row>
        <row r="198">
          <cell r="AF198">
            <v>51105</v>
          </cell>
          <cell r="AG198">
            <v>196.37307943718366</v>
          </cell>
          <cell r="AH198" t="str">
            <v xml:space="preserve"> </v>
          </cell>
          <cell r="AI198" t="str">
            <v xml:space="preserve"> </v>
          </cell>
          <cell r="AJ198">
            <v>2.4867542937387466E-2</v>
          </cell>
          <cell r="AK198">
            <v>6.1597379668492103E-3</v>
          </cell>
        </row>
        <row r="199">
          <cell r="AF199">
            <v>51196</v>
          </cell>
          <cell r="AG199">
            <v>197.58268616543268</v>
          </cell>
          <cell r="AH199" t="str">
            <v xml:space="preserve"> </v>
          </cell>
          <cell r="AI199" t="str">
            <v xml:space="preserve"> </v>
          </cell>
          <cell r="AJ199">
            <v>2.4867542711594526E-2</v>
          </cell>
          <cell r="AK199">
            <v>6.1597380441138494E-3</v>
          </cell>
        </row>
        <row r="200">
          <cell r="AF200">
            <v>51288</v>
          </cell>
          <cell r="AG200">
            <v>198.79974377236744</v>
          </cell>
          <cell r="AH200">
            <v>196.9815968362779</v>
          </cell>
          <cell r="AI200">
            <v>2.4867542872380133E-2</v>
          </cell>
          <cell r="AJ200">
            <v>2.4867542690068634E-2</v>
          </cell>
          <cell r="AK200">
            <v>6.1597381357378911E-3</v>
          </cell>
        </row>
        <row r="201">
          <cell r="AF201">
            <v>51380</v>
          </cell>
          <cell r="AG201">
            <v>200.02429813882932</v>
          </cell>
          <cell r="AH201" t="str">
            <v xml:space="preserve"> </v>
          </cell>
          <cell r="AI201" t="str">
            <v xml:space="preserve"> </v>
          </cell>
          <cell r="AJ201">
            <v>2.4867542838252765E-2</v>
          </cell>
          <cell r="AK201">
            <v>6.1597381527012107E-3</v>
          </cell>
        </row>
        <row r="202">
          <cell r="AF202">
            <v>51471</v>
          </cell>
          <cell r="AG202">
            <v>201.25639542883718</v>
          </cell>
          <cell r="AH202" t="str">
            <v xml:space="preserve"> </v>
          </cell>
          <cell r="AI202" t="str">
            <v xml:space="preserve"> </v>
          </cell>
          <cell r="AJ202">
            <v>2.4867542973045831E-2</v>
          </cell>
          <cell r="AK202">
            <v>6.1597380991817996E-3</v>
          </cell>
        </row>
        <row r="203">
          <cell r="AF203">
            <v>51561</v>
          </cell>
          <cell r="AG203">
            <v>202.49608210431103</v>
          </cell>
          <cell r="AH203" t="str">
            <v xml:space="preserve"> </v>
          </cell>
          <cell r="AI203" t="str">
            <v xml:space="preserve"> </v>
          </cell>
          <cell r="AJ203">
            <v>2.4867542972689671E-2</v>
          </cell>
          <cell r="AK203">
            <v>6.1597380437641291E-3</v>
          </cell>
        </row>
        <row r="204">
          <cell r="AF204">
            <v>51653</v>
          </cell>
          <cell r="AG204">
            <v>203.74340492389229</v>
          </cell>
          <cell r="AH204">
            <v>201.88004514896744</v>
          </cell>
          <cell r="AI204">
            <v>2.4867542914483121E-2</v>
          </cell>
          <cell r="AJ204">
            <v>2.4867542873624249E-2</v>
          </cell>
          <cell r="AK204">
            <v>6.1597380384807998E-3</v>
          </cell>
        </row>
        <row r="205">
          <cell r="AF205">
            <v>51745</v>
          </cell>
          <cell r="AG205">
            <v>204.99841093270169</v>
          </cell>
          <cell r="AH205" t="str">
            <v xml:space="preserve"> </v>
          </cell>
          <cell r="AI205" t="str">
            <v xml:space="preserve"> </v>
          </cell>
          <cell r="AJ205">
            <v>2.4867542794326125E-2</v>
          </cell>
          <cell r="AK205">
            <v>6.1597380748505959E-3</v>
          </cell>
        </row>
        <row r="206">
          <cell r="AF206">
            <v>51836</v>
          </cell>
          <cell r="AG206">
            <v>206.2611474565897</v>
          </cell>
          <cell r="AH206" t="str">
            <v xml:space="preserve"> </v>
          </cell>
          <cell r="AI206" t="str">
            <v xml:space="preserve"> </v>
          </cell>
          <cell r="AJ206">
            <v>2.486754280324055E-2</v>
          </cell>
          <cell r="AK206">
            <v>6.1597381079336877E-3</v>
          </cell>
        </row>
        <row r="207">
          <cell r="AF207">
            <v>51926</v>
          </cell>
          <cell r="AG207">
            <v>207.53166210674613</v>
          </cell>
          <cell r="AH207" t="str">
            <v xml:space="preserve"> </v>
          </cell>
          <cell r="AI207" t="str">
            <v xml:space="preserve"> </v>
          </cell>
          <cell r="AJ207">
            <v>2.4867542868514114E-2</v>
          </cell>
          <cell r="AK207">
            <v>6.1597381078462021E-3</v>
          </cell>
        </row>
        <row r="208">
          <cell r="AF208">
            <v>52018</v>
          </cell>
          <cell r="AG208">
            <v>208.81000278936375</v>
          </cell>
          <cell r="AH208">
            <v>206.90030582135034</v>
          </cell>
          <cell r="AI208">
            <v>2.4867542845447899E-2</v>
          </cell>
          <cell r="AJ208">
            <v>2.4867542914402962E-2</v>
          </cell>
          <cell r="AK208">
            <v>6.1597380835320958E-3</v>
          </cell>
        </row>
        <row r="209">
          <cell r="AF209">
            <v>52110</v>
          </cell>
          <cell r="AG209">
            <v>210.09621771170384</v>
          </cell>
          <cell r="AH209" t="str">
            <v xml:space="preserve"> </v>
          </cell>
          <cell r="AI209" t="str">
            <v xml:space="preserve"> </v>
          </cell>
          <cell r="AJ209">
            <v>2.4867542903421302E-2</v>
          </cell>
          <cell r="AK209">
            <v>6.1597380640694421E-3</v>
          </cell>
        </row>
        <row r="210">
          <cell r="AF210">
            <v>52201</v>
          </cell>
          <cell r="AG210">
            <v>211.3903553815193</v>
          </cell>
          <cell r="AH210" t="str">
            <v xml:space="preserve"> </v>
          </cell>
          <cell r="AI210" t="str">
            <v xml:space="preserve"> </v>
          </cell>
          <cell r="AJ210">
            <v>2.4867542860969927E-2</v>
          </cell>
          <cell r="AK210">
            <v>6.1597380662572476E-3</v>
          </cell>
        </row>
        <row r="211">
          <cell r="AF211">
            <v>52291</v>
          </cell>
          <cell r="AG211">
            <v>212.69246460378906</v>
          </cell>
          <cell r="AH211" t="str">
            <v xml:space="preserve"> </v>
          </cell>
          <cell r="AI211" t="str">
            <v xml:space="preserve"> </v>
          </cell>
          <cell r="AJ211">
            <v>2.4867542834926093E-2</v>
          </cell>
          <cell r="AK211">
            <v>6.1597380822777659E-3</v>
          </cell>
        </row>
        <row r="212">
          <cell r="AF212">
            <v>52383</v>
          </cell>
          <cell r="AG212">
            <v>214.00259448021805</v>
          </cell>
          <cell r="AH212">
            <v>212.04540804430755</v>
          </cell>
          <cell r="AI212">
            <v>2.4867542860955272E-2</v>
          </cell>
          <cell r="AJ212">
            <v>2.4867542845120827E-2</v>
          </cell>
          <cell r="AK212">
            <v>6.1597380935405344E-3</v>
          </cell>
        </row>
        <row r="213">
          <cell r="AF213">
            <v>52475</v>
          </cell>
          <cell r="AG213">
            <v>215.32079441297759</v>
          </cell>
          <cell r="AH213" t="str">
            <v xml:space="preserve"> </v>
          </cell>
          <cell r="AI213" t="str">
            <v xml:space="preserve"> </v>
          </cell>
          <cell r="AJ213">
            <v>2.4867542872394566E-2</v>
          </cell>
          <cell r="AK213">
            <v>6.159738090845357E-3</v>
          </cell>
        </row>
        <row r="214">
          <cell r="AF214">
            <v>52566</v>
          </cell>
          <cell r="AG214">
            <v>216.64711410983082</v>
          </cell>
          <cell r="AH214" t="str">
            <v xml:space="preserve"> </v>
          </cell>
          <cell r="AI214" t="str">
            <v xml:space="preserve"> </v>
          </cell>
          <cell r="AJ214">
            <v>2.4867542886827021E-2</v>
          </cell>
          <cell r="AK214">
            <v>6.1597380804261359E-3</v>
          </cell>
        </row>
        <row r="215">
          <cell r="AF215">
            <v>52657</v>
          </cell>
          <cell r="AG215">
            <v>217.98160358724277</v>
          </cell>
          <cell r="AH215" t="str">
            <v xml:space="preserve"> </v>
          </cell>
          <cell r="AI215" t="str">
            <v xml:space="preserve"> </v>
          </cell>
          <cell r="AJ215">
            <v>2.4867542878430182E-2</v>
          </cell>
          <cell r="AK215">
            <v>6.1597380740341379E-3</v>
          </cell>
        </row>
        <row r="216">
          <cell r="AF216">
            <v>52749</v>
          </cell>
          <cell r="AG216">
            <v>219.32431317084357</v>
          </cell>
          <cell r="AH216">
            <v>217.3184563202237</v>
          </cell>
          <cell r="AI216">
            <v>2.4867542874657866E-2</v>
          </cell>
          <cell r="AJ216">
            <v>2.4867542861109815E-2</v>
          </cell>
          <cell r="AK216">
            <v>6.1597380765363585E-3</v>
          </cell>
        </row>
        <row r="217">
          <cell r="AF217">
            <v>52841</v>
          </cell>
          <cell r="AG217">
            <v>220.67529349526029</v>
          </cell>
          <cell r="AH217" t="str">
            <v xml:space="preserve"> </v>
          </cell>
          <cell r="AI217" t="str">
            <v xml:space="preserve"> </v>
          </cell>
          <cell r="AJ217">
            <v>2.4867542853352909E-2</v>
          </cell>
          <cell r="AK217">
            <v>6.1597380832301152E-3</v>
          </cell>
        </row>
        <row r="218">
          <cell r="AF218">
            <v>52932</v>
          </cell>
          <cell r="AG218">
            <v>222.03459550541271</v>
          </cell>
          <cell r="AH218" t="str">
            <v xml:space="preserve"> </v>
          </cell>
          <cell r="AI218" t="str">
            <v xml:space="preserve"> </v>
          </cell>
          <cell r="AJ218">
            <v>2.4867542859817071E-2</v>
          </cell>
          <cell r="AK218">
            <v>6.1597380867723928E-3</v>
          </cell>
        </row>
        <row r="219">
          <cell r="AF219">
            <v>53022</v>
          </cell>
          <cell r="AG219">
            <v>223.40227045947094</v>
          </cell>
          <cell r="AH219" t="str">
            <v xml:space="preserve"> </v>
          </cell>
          <cell r="AI219" t="str">
            <v xml:space="preserve"> </v>
          </cell>
          <cell r="AJ219">
            <v>2.4867542870693038E-2</v>
          </cell>
          <cell r="AK219">
            <v>6.1597380847115968E-3</v>
          </cell>
        </row>
        <row r="220">
          <cell r="AF220">
            <v>53114</v>
          </cell>
          <cell r="AG220">
            <v>224.77836993208149</v>
          </cell>
          <cell r="AH220">
            <v>222.72263234805638</v>
          </cell>
          <cell r="AI220">
            <v>2.4867542864695835E-2</v>
          </cell>
          <cell r="AJ220">
            <v>2.4867542874690063E-2</v>
          </cell>
          <cell r="AK220">
            <v>6.1597380804605528E-3</v>
          </cell>
        </row>
        <row r="221">
          <cell r="AF221">
            <v>53206</v>
          </cell>
          <cell r="AG221">
            <v>226.16294581658804</v>
          </cell>
          <cell r="AH221" t="str">
            <v xml:space="preserve"> </v>
          </cell>
          <cell r="AI221" t="str">
            <v xml:space="preserve"> </v>
          </cell>
          <cell r="AJ221">
            <v>2.4867542869929871E-2</v>
          </cell>
          <cell r="AK221">
            <v>6.1597380785567424E-3</v>
          </cell>
        </row>
        <row r="222">
          <cell r="AF222">
            <v>53297</v>
          </cell>
          <cell r="AG222">
            <v>227.55605032625184</v>
          </cell>
          <cell r="AH222" t="str">
            <v xml:space="preserve"> </v>
          </cell>
          <cell r="AI222" t="str">
            <v xml:space="preserve"> </v>
          </cell>
          <cell r="AJ222">
            <v>2.4867542863177494E-2</v>
          </cell>
          <cell r="AK222">
            <v>6.1597380801432511E-3</v>
          </cell>
        </row>
        <row r="223">
          <cell r="AF223">
            <v>53387</v>
          </cell>
          <cell r="AG223">
            <v>228.95773599542088</v>
          </cell>
          <cell r="AH223" t="str">
            <v xml:space="preserve"> </v>
          </cell>
          <cell r="AI223" t="str">
            <v xml:space="preserve"> </v>
          </cell>
          <cell r="AJ223">
            <v>2.4867542861243264E-2</v>
          </cell>
          <cell r="AK223">
            <v>6.1597380828126713E-3</v>
          </cell>
        </row>
        <row r="224">
          <cell r="AF224">
            <v>53479</v>
          </cell>
          <cell r="AG224">
            <v>230.36805568141105</v>
          </cell>
          <cell r="AH224">
            <v>228.26119695491795</v>
          </cell>
          <cell r="AI224">
            <v>2.4867542864733583E-2</v>
          </cell>
          <cell r="AJ224">
            <v>2.4867542864638326E-2</v>
          </cell>
          <cell r="AK224">
            <v>6.1597380837936644E-3</v>
          </cell>
        </row>
        <row r="225">
          <cell r="AF225">
            <v>53571</v>
          </cell>
          <cell r="AG225">
            <v>231.78706256701219</v>
          </cell>
          <cell r="AH225" t="str">
            <v xml:space="preserve"> </v>
          </cell>
          <cell r="AI225" t="str">
            <v xml:space="preserve"> </v>
          </cell>
          <cell r="AJ225">
            <v>2.4867542868782566E-2</v>
          </cell>
          <cell r="AK225">
            <v>6.1597380826252657E-3</v>
          </cell>
        </row>
        <row r="226">
          <cell r="AF226">
            <v>53662</v>
          </cell>
          <cell r="AG226">
            <v>233.21481016298191</v>
          </cell>
          <cell r="AH226" t="str">
            <v xml:space="preserve"> </v>
          </cell>
          <cell r="AI226" t="str">
            <v xml:space="preserve"> </v>
          </cell>
          <cell r="AJ226">
            <v>2.4867542869622561E-2</v>
          </cell>
          <cell r="AK226">
            <v>6.1597380809679247E-3</v>
          </cell>
        </row>
        <row r="227">
          <cell r="AF227">
            <v>53752</v>
          </cell>
          <cell r="AG227">
            <v>234.65135231007781</v>
          </cell>
          <cell r="AH227" t="str">
            <v xml:space="preserve"> </v>
          </cell>
          <cell r="AI227" t="str">
            <v xml:space="preserve"> </v>
          </cell>
          <cell r="AJ227">
            <v>2.4867542867260006E-2</v>
          </cell>
          <cell r="AK227">
            <v>6.1597380804931934E-3</v>
          </cell>
        </row>
        <row r="228">
          <cell r="AF228">
            <v>53844</v>
          </cell>
          <cell r="AG228">
            <v>236.09674318073698</v>
          </cell>
          <cell r="AH228">
            <v>233.93749205520223</v>
          </cell>
          <cell r="AI228">
            <v>2.4867542867591963E-2</v>
          </cell>
          <cell r="AJ228">
            <v>2.4867542864747127E-2</v>
          </cell>
          <cell r="AK228">
            <v>6.1597380813265268E-3</v>
          </cell>
        </row>
        <row r="229">
          <cell r="AF229">
            <v>53936</v>
          </cell>
          <cell r="AG229">
            <v>237.55103728082469</v>
          </cell>
          <cell r="AH229" t="str">
            <v xml:space="preserve"> </v>
          </cell>
          <cell r="AI229" t="str">
            <v xml:space="preserve"> </v>
          </cell>
          <cell r="AJ229">
            <v>2.4867542864460246E-2</v>
          </cell>
          <cell r="AK229">
            <v>6.1597380823437131E-3</v>
          </cell>
        </row>
        <row r="230">
          <cell r="AF230">
            <v>54027</v>
          </cell>
          <cell r="AG230">
            <v>239.01428945171259</v>
          </cell>
          <cell r="AH230" t="str">
            <v xml:space="preserve"> </v>
          </cell>
          <cell r="AI230" t="str">
            <v xml:space="preserve"> </v>
          </cell>
          <cell r="AJ230">
            <v>2.4867542866071402E-2</v>
          </cell>
          <cell r="AK230">
            <v>6.1597380825497705E-3</v>
          </cell>
        </row>
        <row r="231">
          <cell r="AF231">
            <v>54118</v>
          </cell>
          <cell r="AG231">
            <v>240.4865548725833</v>
          </cell>
          <cell r="AH231" t="str">
            <v xml:space="preserve"> </v>
          </cell>
          <cell r="AI231" t="str">
            <v xml:space="preserve"> </v>
          </cell>
          <cell r="AJ231">
            <v>2.4867542867575754E-2</v>
          </cell>
          <cell r="AK231">
            <v>6.159738081970012E-3</v>
          </cell>
        </row>
        <row r="232">
          <cell r="AF232">
            <v>54210</v>
          </cell>
          <cell r="AG232">
            <v>241.96788906268537</v>
          </cell>
          <cell r="AH232">
            <v>239.75494266695148</v>
          </cell>
          <cell r="AI232">
            <v>2.4867542866435999E-2</v>
          </cell>
          <cell r="AJ232">
            <v>2.4867542867602843E-2</v>
          </cell>
          <cell r="AK232">
            <v>6.1597380813531721E-3</v>
          </cell>
        </row>
        <row r="233">
          <cell r="AF233">
            <v>54302</v>
          </cell>
          <cell r="AG233">
            <v>243.45834788339241</v>
          </cell>
          <cell r="AH233" t="str">
            <v xml:space="preserve"> </v>
          </cell>
          <cell r="AI233" t="str">
            <v xml:space="preserve"> </v>
          </cell>
          <cell r="AJ233">
            <v>2.4867542866522152E-2</v>
          </cell>
          <cell r="AK233">
            <v>6.159738081282784E-3</v>
          </cell>
        </row>
        <row r="234">
          <cell r="AF234">
            <v>54393</v>
          </cell>
          <cell r="AG234">
            <v>244.9579875401522</v>
          </cell>
          <cell r="AH234" t="str">
            <v xml:space="preserve"> </v>
          </cell>
          <cell r="AI234" t="str">
            <v xml:space="preserve"> </v>
          </cell>
          <cell r="AJ234">
            <v>2.4867542865634418E-2</v>
          </cell>
          <cell r="AK234">
            <v>6.1597380816782454E-3</v>
          </cell>
        </row>
        <row r="235">
          <cell r="AF235">
            <v>54483</v>
          </cell>
          <cell r="AG235">
            <v>246.466864584505</v>
          </cell>
          <cell r="AH235" t="str">
            <v xml:space="preserve"> </v>
          </cell>
          <cell r="AI235" t="str">
            <v xml:space="preserve"> </v>
          </cell>
          <cell r="AJ235">
            <v>2.4867542865713466E-2</v>
          </cell>
          <cell r="AK235">
            <v>6.1597380820475056E-3</v>
          </cell>
        </row>
        <row r="236">
          <cell r="AF236">
            <v>54575</v>
          </cell>
          <cell r="AG236">
            <v>247.98503591625067</v>
          </cell>
          <cell r="AH236">
            <v>245.7170589810751</v>
          </cell>
          <cell r="AI236">
            <v>2.4867542866074288E-2</v>
          </cell>
          <cell r="AJ236">
            <v>2.4867542866427561E-2</v>
          </cell>
          <cell r="AK236">
            <v>6.159738082054167E-3</v>
          </cell>
        </row>
        <row r="237">
          <cell r="AF237">
            <v>54667</v>
          </cell>
          <cell r="AG237">
            <v>249.51255878569776</v>
          </cell>
          <cell r="AH237" t="str">
            <v xml:space="preserve"> </v>
          </cell>
          <cell r="AI237" t="str">
            <v xml:space="preserve"> </v>
          </cell>
          <cell r="AJ237">
            <v>2.4867542866942927E-2</v>
          </cell>
          <cell r="AK237">
            <v>6.1597380817888236E-3</v>
          </cell>
        </row>
        <row r="238">
          <cell r="AF238">
            <v>54758</v>
          </cell>
          <cell r="AG238">
            <v>251.04949079588025</v>
          </cell>
          <cell r="AH238" t="str">
            <v xml:space="preserve"> </v>
          </cell>
          <cell r="AI238" t="str">
            <v xml:space="preserve"> </v>
          </cell>
          <cell r="AJ238">
            <v>2.4867542866833681E-2</v>
          </cell>
          <cell r="AK238">
            <v>6.1597380815709979E-3</v>
          </cell>
        </row>
        <row r="239">
          <cell r="AF239">
            <v>54848</v>
          </cell>
          <cell r="AG239">
            <v>252.59588990469953</v>
          </cell>
          <cell r="AH239" t="str">
            <v xml:space="preserve"> </v>
          </cell>
          <cell r="AI239" t="str">
            <v xml:space="preserve"> </v>
          </cell>
          <cell r="AJ239">
            <v>2.4867542866368053E-2</v>
          </cell>
          <cell r="AK239">
            <v>6.1597380815905378E-3</v>
          </cell>
        </row>
        <row r="240">
          <cell r="AF240">
            <v>54940</v>
          </cell>
          <cell r="AG240">
            <v>254.15181442704301</v>
          </cell>
          <cell r="AH240">
            <v>251.82743847833012</v>
          </cell>
          <cell r="AI240">
            <v>2.4867542866552128E-2</v>
          </cell>
          <cell r="AJ240">
            <v>2.4867542866074288E-2</v>
          </cell>
          <cell r="AK240">
            <v>6.159738081765731E-3</v>
          </cell>
        </row>
        <row r="241">
          <cell r="AF241">
            <v>55032</v>
          </cell>
          <cell r="AG241">
            <v>255.71732303695129</v>
          </cell>
          <cell r="AH241" t="str">
            <v xml:space="preserve"> </v>
          </cell>
          <cell r="AI241" t="str">
            <v xml:space="preserve"> </v>
          </cell>
          <cell r="AJ241">
            <v>2.4867542866179759E-2</v>
          </cell>
          <cell r="AK241">
            <v>6.1597380818922964E-3</v>
          </cell>
        </row>
        <row r="242">
          <cell r="AF242">
            <v>55123</v>
          </cell>
          <cell r="AG242">
            <v>257.29247476985466</v>
          </cell>
          <cell r="AH242" t="str">
            <v xml:space="preserve"> </v>
          </cell>
          <cell r="AI242" t="str">
            <v xml:space="preserve"> </v>
          </cell>
          <cell r="AJ242">
            <v>2.486754286647952E-2</v>
          </cell>
          <cell r="AK242">
            <v>6.159738081865429E-3</v>
          </cell>
        </row>
        <row r="243">
          <cell r="AF243">
            <v>55213</v>
          </cell>
          <cell r="AG243">
            <v>258.87732902484254</v>
          </cell>
          <cell r="AH243" t="str">
            <v xml:space="preserve"> </v>
          </cell>
          <cell r="AI243" t="str">
            <v xml:space="preserve"> </v>
          </cell>
          <cell r="AJ243">
            <v>2.4867542866643166E-2</v>
          </cell>
          <cell r="AK243">
            <v>6.1597380817510761E-3</v>
          </cell>
        </row>
        <row r="244">
          <cell r="AF244">
            <v>55305</v>
          </cell>
          <cell r="AG244">
            <v>260.47194556692017</v>
          </cell>
          <cell r="AH244">
            <v>258.08976809964219</v>
          </cell>
          <cell r="AI244">
            <v>2.4867542866465531E-2</v>
          </cell>
          <cell r="AJ244">
            <v>2.4867542866554793E-2</v>
          </cell>
          <cell r="AK244">
            <v>6.1597380816789116E-3</v>
          </cell>
        </row>
      </sheetData>
      <sheetData sheetId="23" refreshError="1"/>
      <sheetData sheetId="24" refreshError="1"/>
      <sheetData sheetId="25" refreshError="1"/>
      <sheetData sheetId="26" refreshError="1"/>
      <sheetData sheetId="27" refreshError="1"/>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2.xml.rels><?xml version="1.0" encoding="UTF-8" standalone="yes"?>
<Relationships xmlns="http://schemas.openxmlformats.org/package/2006/relationships"><Relationship Id="rId3" Type="http://schemas.openxmlformats.org/officeDocument/2006/relationships/printerSettings" Target="../printerSettings/printerSettings3.bin"/><Relationship Id="rId2" Type="http://schemas.openxmlformats.org/officeDocument/2006/relationships/printerSettings" Target="../printerSettings/printerSettings2.bin"/><Relationship Id="rId1" Type="http://schemas.openxmlformats.org/officeDocument/2006/relationships/printerSettings" Target="../printerSettings/printerSettings1.bin"/><Relationship Id="rId6" Type="http://schemas.openxmlformats.org/officeDocument/2006/relationships/comments" Target="../comments2.xml"/><Relationship Id="rId5" Type="http://schemas.openxmlformats.org/officeDocument/2006/relationships/vmlDrawing" Target="../drawings/vmlDrawing2.vml"/><Relationship Id="rId4" Type="http://schemas.openxmlformats.org/officeDocument/2006/relationships/printerSettings" Target="../printerSettings/printerSettings4.bin"/></Relationships>
</file>

<file path=xl/worksheets/_rels/sheet3.xml.rels><?xml version="1.0" encoding="UTF-8" standalone="yes"?>
<Relationships xmlns="http://schemas.openxmlformats.org/package/2006/relationships"><Relationship Id="rId3" Type="http://schemas.openxmlformats.org/officeDocument/2006/relationships/printerSettings" Target="../printerSettings/printerSettings7.bin"/><Relationship Id="rId2" Type="http://schemas.openxmlformats.org/officeDocument/2006/relationships/printerSettings" Target="../printerSettings/printerSettings6.bin"/><Relationship Id="rId1" Type="http://schemas.openxmlformats.org/officeDocument/2006/relationships/printerSettings" Target="../printerSettings/printerSettings5.bin"/><Relationship Id="rId6" Type="http://schemas.openxmlformats.org/officeDocument/2006/relationships/comments" Target="../comments3.xml"/><Relationship Id="rId5" Type="http://schemas.openxmlformats.org/officeDocument/2006/relationships/vmlDrawing" Target="../drawings/vmlDrawing3.vml"/><Relationship Id="rId4" Type="http://schemas.openxmlformats.org/officeDocument/2006/relationships/printerSettings" Target="../printerSettings/printerSettings8.bin"/></Relationships>
</file>

<file path=xl/worksheets/_rels/sheet4.xml.rels><?xml version="1.0" encoding="UTF-8" standalone="yes"?>
<Relationships xmlns="http://schemas.openxmlformats.org/package/2006/relationships"><Relationship Id="rId3" Type="http://schemas.openxmlformats.org/officeDocument/2006/relationships/printerSettings" Target="../printerSettings/printerSettings11.bin"/><Relationship Id="rId2" Type="http://schemas.openxmlformats.org/officeDocument/2006/relationships/printerSettings" Target="../printerSettings/printerSettings10.bin"/><Relationship Id="rId1" Type="http://schemas.openxmlformats.org/officeDocument/2006/relationships/printerSettings" Target="../printerSettings/printerSettings9.bin"/><Relationship Id="rId6" Type="http://schemas.openxmlformats.org/officeDocument/2006/relationships/comments" Target="../comments4.xml"/><Relationship Id="rId5" Type="http://schemas.openxmlformats.org/officeDocument/2006/relationships/vmlDrawing" Target="../drawings/vmlDrawing4.vml"/><Relationship Id="rId4" Type="http://schemas.openxmlformats.org/officeDocument/2006/relationships/printerSettings" Target="../printerSettings/printerSettings12.bin"/></Relationships>
</file>

<file path=xl/worksheets/_rels/sheet5.xml.rels><?xml version="1.0" encoding="UTF-8" standalone="yes"?>
<Relationships xmlns="http://schemas.openxmlformats.org/package/2006/relationships"><Relationship Id="rId3" Type="http://schemas.openxmlformats.org/officeDocument/2006/relationships/printerSettings" Target="../printerSettings/printerSettings15.bin"/><Relationship Id="rId2" Type="http://schemas.openxmlformats.org/officeDocument/2006/relationships/printerSettings" Target="../printerSettings/printerSettings14.bin"/><Relationship Id="rId1" Type="http://schemas.openxmlformats.org/officeDocument/2006/relationships/printerSettings" Target="../printerSettings/printerSettings13.bin"/><Relationship Id="rId6" Type="http://schemas.openxmlformats.org/officeDocument/2006/relationships/comments" Target="../comments5.xml"/><Relationship Id="rId5" Type="http://schemas.openxmlformats.org/officeDocument/2006/relationships/vmlDrawing" Target="../drawings/vmlDrawing5.vml"/><Relationship Id="rId4" Type="http://schemas.openxmlformats.org/officeDocument/2006/relationships/printerSettings" Target="../printerSettings/printerSettings16.bin"/></Relationships>
</file>

<file path=xl/worksheets/_rels/sheet6.xml.rels><?xml version="1.0" encoding="UTF-8" standalone="yes"?>
<Relationships xmlns="http://schemas.openxmlformats.org/package/2006/relationships"><Relationship Id="rId2" Type="http://schemas.openxmlformats.org/officeDocument/2006/relationships/comments" Target="../comments6.xml"/><Relationship Id="rId1" Type="http://schemas.openxmlformats.org/officeDocument/2006/relationships/vmlDrawing" Target="../drawings/vmlDrawing6.vml"/></Relationships>
</file>

<file path=xl/worksheets/_rels/sheet7.xml.rels><?xml version="1.0" encoding="UTF-8" standalone="yes"?>
<Relationships xmlns="http://schemas.openxmlformats.org/package/2006/relationships"><Relationship Id="rId2" Type="http://schemas.openxmlformats.org/officeDocument/2006/relationships/comments" Target="../comments7.xml"/><Relationship Id="rId1" Type="http://schemas.openxmlformats.org/officeDocument/2006/relationships/vmlDrawing" Target="../drawings/vmlDrawing7.vml"/></Relationships>
</file>

<file path=xl/worksheets/_rels/sheet8.xml.rels><?xml version="1.0" encoding="UTF-8" standalone="yes"?>
<Relationships xmlns="http://schemas.openxmlformats.org/package/2006/relationships"><Relationship Id="rId3" Type="http://schemas.openxmlformats.org/officeDocument/2006/relationships/printerSettings" Target="../printerSettings/printerSettings19.bin"/><Relationship Id="rId2" Type="http://schemas.openxmlformats.org/officeDocument/2006/relationships/printerSettings" Target="../printerSettings/printerSettings18.bin"/><Relationship Id="rId1" Type="http://schemas.openxmlformats.org/officeDocument/2006/relationships/printerSettings" Target="../printerSettings/printerSettings17.bin"/><Relationship Id="rId6" Type="http://schemas.openxmlformats.org/officeDocument/2006/relationships/comments" Target="../comments8.xml"/><Relationship Id="rId5" Type="http://schemas.openxmlformats.org/officeDocument/2006/relationships/vmlDrawing" Target="../drawings/vmlDrawing8.vml"/><Relationship Id="rId4" Type="http://schemas.openxmlformats.org/officeDocument/2006/relationships/printerSettings" Target="../printerSettings/printerSettings20.bin"/></Relationships>
</file>

<file path=xl/worksheets/_rels/sheet9.xml.rels><?xml version="1.0" encoding="UTF-8" standalone="yes"?>
<Relationships xmlns="http://schemas.openxmlformats.org/package/2006/relationships"><Relationship Id="rId3" Type="http://schemas.openxmlformats.org/officeDocument/2006/relationships/printerSettings" Target="../printerSettings/printerSettings23.bin"/><Relationship Id="rId2" Type="http://schemas.openxmlformats.org/officeDocument/2006/relationships/printerSettings" Target="../printerSettings/printerSettings22.bin"/><Relationship Id="rId1" Type="http://schemas.openxmlformats.org/officeDocument/2006/relationships/printerSettings" Target="../printerSettings/printerSettings21.bin"/><Relationship Id="rId6" Type="http://schemas.openxmlformats.org/officeDocument/2006/relationships/comments" Target="../comments9.xml"/><Relationship Id="rId5" Type="http://schemas.openxmlformats.org/officeDocument/2006/relationships/vmlDrawing" Target="../drawings/vmlDrawing9.vml"/><Relationship Id="rId4" Type="http://schemas.openxmlformats.org/officeDocument/2006/relationships/printerSettings" Target="../printerSettings/printerSettings24.bin"/></Relationships>
</file>

<file path=xl/worksheets/_rels/sheet10.xml.rels><?xml version="1.0" encoding="UTF-8" standalone="yes"?>
<Relationships xmlns="http://schemas.openxmlformats.org/package/2006/relationships"><Relationship Id="rId3" Type="http://schemas.openxmlformats.org/officeDocument/2006/relationships/printerSettings" Target="../printerSettings/printerSettings27.bin"/><Relationship Id="rId2" Type="http://schemas.openxmlformats.org/officeDocument/2006/relationships/printerSettings" Target="../printerSettings/printerSettings26.bin"/><Relationship Id="rId1" Type="http://schemas.openxmlformats.org/officeDocument/2006/relationships/printerSettings" Target="../printerSettings/printerSettings25.bin"/><Relationship Id="rId6" Type="http://schemas.openxmlformats.org/officeDocument/2006/relationships/comments" Target="../comments10.xml"/><Relationship Id="rId5" Type="http://schemas.openxmlformats.org/officeDocument/2006/relationships/vmlDrawing" Target="../drawings/vmlDrawing10.vml"/><Relationship Id="rId4" Type="http://schemas.openxmlformats.org/officeDocument/2006/relationships/printerSettings" Target="../printerSettings/printerSettings28.bin"/></Relationships>
</file>

<file path=xl/worksheets/_rels/sheet11.xml.rels><?xml version="1.0" encoding="UTF-8" standalone="yes"?>
<Relationships xmlns="http://schemas.openxmlformats.org/package/2006/relationships"><Relationship Id="rId3" Type="http://schemas.openxmlformats.org/officeDocument/2006/relationships/printerSettings" Target="../printerSettings/printerSettings31.bin"/><Relationship Id="rId2" Type="http://schemas.openxmlformats.org/officeDocument/2006/relationships/printerSettings" Target="../printerSettings/printerSettings30.bin"/><Relationship Id="rId1" Type="http://schemas.openxmlformats.org/officeDocument/2006/relationships/printerSettings" Target="../printerSettings/printerSettings29.bin"/><Relationship Id="rId6" Type="http://schemas.openxmlformats.org/officeDocument/2006/relationships/comments" Target="../comments11.xml"/><Relationship Id="rId5" Type="http://schemas.openxmlformats.org/officeDocument/2006/relationships/vmlDrawing" Target="../drawings/vmlDrawing11.vml"/><Relationship Id="rId4" Type="http://schemas.openxmlformats.org/officeDocument/2006/relationships/printerSettings" Target="../printerSettings/printerSettings32.bin"/></Relationships>
</file>

<file path=xl/worksheets/_rels/sheet12.xml.rels><?xml version="1.0" encoding="UTF-8" standalone="yes"?>
<Relationships xmlns="http://schemas.openxmlformats.org/package/2006/relationships"><Relationship Id="rId2" Type="http://schemas.openxmlformats.org/officeDocument/2006/relationships/comments" Target="../comments12.xml"/><Relationship Id="rId1" Type="http://schemas.openxmlformats.org/officeDocument/2006/relationships/vmlDrawing" Target="../drawings/vmlDrawing12.vml"/></Relationships>
</file>

<file path=xl/worksheets/_rels/sheet13.xml.rels><?xml version="1.0" encoding="UTF-8" standalone="yes"?>
<Relationships xmlns="http://schemas.openxmlformats.org/package/2006/relationships"><Relationship Id="rId2" Type="http://schemas.openxmlformats.org/officeDocument/2006/relationships/comments" Target="../comments13.xml"/><Relationship Id="rId1" Type="http://schemas.openxmlformats.org/officeDocument/2006/relationships/vmlDrawing" Target="../drawings/vmlDrawing13.vml"/></Relationships>
</file>

<file path=xl/worksheets/_rels/sheet14.xml.rels><?xml version="1.0" encoding="UTF-8" standalone="yes"?>
<Relationships xmlns="http://schemas.openxmlformats.org/package/2006/relationships"><Relationship Id="rId3" Type="http://schemas.openxmlformats.org/officeDocument/2006/relationships/printerSettings" Target="../printerSettings/printerSettings35.bin"/><Relationship Id="rId2" Type="http://schemas.openxmlformats.org/officeDocument/2006/relationships/printerSettings" Target="../printerSettings/printerSettings34.bin"/><Relationship Id="rId1" Type="http://schemas.openxmlformats.org/officeDocument/2006/relationships/printerSettings" Target="../printerSettings/printerSettings33.bin"/><Relationship Id="rId6" Type="http://schemas.openxmlformats.org/officeDocument/2006/relationships/comments" Target="../comments14.xml"/><Relationship Id="rId5" Type="http://schemas.openxmlformats.org/officeDocument/2006/relationships/vmlDrawing" Target="../drawings/vmlDrawing14.vml"/><Relationship Id="rId4" Type="http://schemas.openxmlformats.org/officeDocument/2006/relationships/printerSettings" Target="../printerSettings/printerSettings36.bin"/></Relationships>
</file>

<file path=xl/worksheets/_rels/sheet15.xml.rels><?xml version="1.0" encoding="UTF-8" standalone="yes"?>
<Relationships xmlns="http://schemas.openxmlformats.org/package/2006/relationships"><Relationship Id="rId3" Type="http://schemas.openxmlformats.org/officeDocument/2006/relationships/printerSettings" Target="../printerSettings/printerSettings39.bin"/><Relationship Id="rId2" Type="http://schemas.openxmlformats.org/officeDocument/2006/relationships/printerSettings" Target="../printerSettings/printerSettings38.bin"/><Relationship Id="rId1" Type="http://schemas.openxmlformats.org/officeDocument/2006/relationships/printerSettings" Target="../printerSettings/printerSettings37.bin"/><Relationship Id="rId6" Type="http://schemas.openxmlformats.org/officeDocument/2006/relationships/comments" Target="../comments15.xml"/><Relationship Id="rId5" Type="http://schemas.openxmlformats.org/officeDocument/2006/relationships/vmlDrawing" Target="../drawings/vmlDrawing15.vml"/><Relationship Id="rId4" Type="http://schemas.openxmlformats.org/officeDocument/2006/relationships/printerSettings" Target="../printerSettings/printerSettings40.bin"/></Relationships>
</file>

<file path=xl/worksheets/_rels/sheet16.xml.rels><?xml version="1.0" encoding="UTF-8" standalone="yes"?>
<Relationships xmlns="http://schemas.openxmlformats.org/package/2006/relationships"><Relationship Id="rId3" Type="http://schemas.openxmlformats.org/officeDocument/2006/relationships/printerSettings" Target="../printerSettings/printerSettings43.bin"/><Relationship Id="rId2" Type="http://schemas.openxmlformats.org/officeDocument/2006/relationships/printerSettings" Target="../printerSettings/printerSettings42.bin"/><Relationship Id="rId1" Type="http://schemas.openxmlformats.org/officeDocument/2006/relationships/printerSettings" Target="../printerSettings/printerSettings41.bin"/><Relationship Id="rId6" Type="http://schemas.openxmlformats.org/officeDocument/2006/relationships/comments" Target="../comments16.xml"/><Relationship Id="rId5" Type="http://schemas.openxmlformats.org/officeDocument/2006/relationships/vmlDrawing" Target="../drawings/vmlDrawing16.vml"/><Relationship Id="rId4" Type="http://schemas.openxmlformats.org/officeDocument/2006/relationships/printerSettings" Target="../printerSettings/printerSettings44.bin"/></Relationships>
</file>

<file path=xl/worksheets/_rels/sheet17.xml.rels><?xml version="1.0" encoding="UTF-8" standalone="yes"?>
<Relationships xmlns="http://schemas.openxmlformats.org/package/2006/relationships"><Relationship Id="rId2" Type="http://schemas.openxmlformats.org/officeDocument/2006/relationships/comments" Target="../comments17.xml"/><Relationship Id="rId1" Type="http://schemas.openxmlformats.org/officeDocument/2006/relationships/vmlDrawing" Target="../drawings/vmlDrawing17.vml"/></Relationships>
</file>

<file path=xl/worksheets/_rels/sheet18.xml.rels><?xml version="1.0" encoding="UTF-8" standalone="yes"?>
<Relationships xmlns="http://schemas.openxmlformats.org/package/2006/relationships"><Relationship Id="rId3" Type="http://schemas.openxmlformats.org/officeDocument/2006/relationships/printerSettings" Target="../printerSettings/printerSettings47.bin"/><Relationship Id="rId2" Type="http://schemas.openxmlformats.org/officeDocument/2006/relationships/printerSettings" Target="../printerSettings/printerSettings46.bin"/><Relationship Id="rId1" Type="http://schemas.openxmlformats.org/officeDocument/2006/relationships/printerSettings" Target="../printerSettings/printerSettings45.bin"/><Relationship Id="rId6" Type="http://schemas.openxmlformats.org/officeDocument/2006/relationships/comments" Target="../comments18.xml"/><Relationship Id="rId5" Type="http://schemas.openxmlformats.org/officeDocument/2006/relationships/vmlDrawing" Target="../drawings/vmlDrawing18.vml"/><Relationship Id="rId4" Type="http://schemas.openxmlformats.org/officeDocument/2006/relationships/printerSettings" Target="../printerSettings/printerSettings48.bin"/></Relationships>
</file>

<file path=xl/worksheets/_rels/sheet19.xml.rels><?xml version="1.0" encoding="UTF-8" standalone="yes"?>
<Relationships xmlns="http://schemas.openxmlformats.org/package/2006/relationships"><Relationship Id="rId3" Type="http://schemas.openxmlformats.org/officeDocument/2006/relationships/printerSettings" Target="../printerSettings/printerSettings51.bin"/><Relationship Id="rId2" Type="http://schemas.openxmlformats.org/officeDocument/2006/relationships/printerSettings" Target="../printerSettings/printerSettings50.bin"/><Relationship Id="rId1" Type="http://schemas.openxmlformats.org/officeDocument/2006/relationships/printerSettings" Target="../printerSettings/printerSettings49.bin"/><Relationship Id="rId6" Type="http://schemas.openxmlformats.org/officeDocument/2006/relationships/comments" Target="../comments19.xml"/><Relationship Id="rId5" Type="http://schemas.openxmlformats.org/officeDocument/2006/relationships/vmlDrawing" Target="../drawings/vmlDrawing19.vml"/><Relationship Id="rId4" Type="http://schemas.openxmlformats.org/officeDocument/2006/relationships/printerSettings" Target="../printerSettings/printerSettings52.bin"/></Relationships>
</file>

<file path=xl/worksheets/_rels/sheet20.xml.rels><?xml version="1.0" encoding="UTF-8" standalone="yes"?>
<Relationships xmlns="http://schemas.openxmlformats.org/package/2006/relationships"><Relationship Id="rId3" Type="http://schemas.openxmlformats.org/officeDocument/2006/relationships/printerSettings" Target="../printerSettings/printerSettings55.bin"/><Relationship Id="rId2" Type="http://schemas.openxmlformats.org/officeDocument/2006/relationships/printerSettings" Target="../printerSettings/printerSettings54.bin"/><Relationship Id="rId1" Type="http://schemas.openxmlformats.org/officeDocument/2006/relationships/printerSettings" Target="../printerSettings/printerSettings53.bin"/><Relationship Id="rId6" Type="http://schemas.openxmlformats.org/officeDocument/2006/relationships/comments" Target="../comments20.xml"/><Relationship Id="rId5" Type="http://schemas.openxmlformats.org/officeDocument/2006/relationships/vmlDrawing" Target="../drawings/vmlDrawing20.vml"/><Relationship Id="rId4" Type="http://schemas.openxmlformats.org/officeDocument/2006/relationships/printerSettings" Target="../printerSettings/printerSettings56.bin"/></Relationships>
</file>

<file path=xl/worksheets/_rels/sheet21.xml.rels><?xml version="1.0" encoding="UTF-8" standalone="yes"?>
<Relationships xmlns="http://schemas.openxmlformats.org/package/2006/relationships"><Relationship Id="rId2" Type="http://schemas.openxmlformats.org/officeDocument/2006/relationships/comments" Target="../comments21.xml"/><Relationship Id="rId1" Type="http://schemas.openxmlformats.org/officeDocument/2006/relationships/vmlDrawing" Target="../drawings/vmlDrawing21.vml"/></Relationships>
</file>

<file path=xl/worksheets/_rels/sheet22.xml.rels><?xml version="1.0" encoding="UTF-8" standalone="yes"?>
<Relationships xmlns="http://schemas.openxmlformats.org/package/2006/relationships"><Relationship Id="rId3" Type="http://schemas.openxmlformats.org/officeDocument/2006/relationships/printerSettings" Target="../printerSettings/printerSettings59.bin"/><Relationship Id="rId2" Type="http://schemas.openxmlformats.org/officeDocument/2006/relationships/printerSettings" Target="../printerSettings/printerSettings58.bin"/><Relationship Id="rId1" Type="http://schemas.openxmlformats.org/officeDocument/2006/relationships/printerSettings" Target="../printerSettings/printerSettings57.bin"/><Relationship Id="rId6" Type="http://schemas.openxmlformats.org/officeDocument/2006/relationships/comments" Target="../comments22.xml"/><Relationship Id="rId5" Type="http://schemas.openxmlformats.org/officeDocument/2006/relationships/vmlDrawing" Target="../drawings/vmlDrawing22.vml"/><Relationship Id="rId4" Type="http://schemas.openxmlformats.org/officeDocument/2006/relationships/printerSettings" Target="../printerSettings/printerSettings60.bin"/></Relationships>
</file>

<file path=xl/worksheets/_rels/sheet23.xml.rels><?xml version="1.0" encoding="UTF-8" standalone="yes"?>
<Relationships xmlns="http://schemas.openxmlformats.org/package/2006/relationships"><Relationship Id="rId2" Type="http://schemas.openxmlformats.org/officeDocument/2006/relationships/comments" Target="../comments23.xml"/><Relationship Id="rId1" Type="http://schemas.openxmlformats.org/officeDocument/2006/relationships/vmlDrawing" Target="../drawings/vmlDrawing23.vml"/></Relationships>
</file>

<file path=xl/worksheets/_rels/sheet24.xml.rels><?xml version="1.0" encoding="UTF-8" standalone="yes"?>
<Relationships xmlns="http://schemas.openxmlformats.org/package/2006/relationships"><Relationship Id="rId3" Type="http://schemas.openxmlformats.org/officeDocument/2006/relationships/comments" Target="../comments24.xml"/><Relationship Id="rId2" Type="http://schemas.openxmlformats.org/officeDocument/2006/relationships/vmlDrawing" Target="../drawings/vmlDrawing24.vml"/><Relationship Id="rId1" Type="http://schemas.openxmlformats.org/officeDocument/2006/relationships/printerSettings" Target="../printerSettings/printerSettings61.bin"/></Relationships>
</file>

<file path=xl/worksheets/_rels/sheet25.xml.rels><?xml version="1.0" encoding="UTF-8" standalone="yes"?>
<Relationships xmlns="http://schemas.openxmlformats.org/package/2006/relationships"><Relationship Id="rId2" Type="http://schemas.openxmlformats.org/officeDocument/2006/relationships/comments" Target="../comments25.xml"/><Relationship Id="rId1" Type="http://schemas.openxmlformats.org/officeDocument/2006/relationships/vmlDrawing" Target="../drawings/vmlDrawing25.vml"/></Relationships>
</file>

<file path=xl/worksheets/_rels/sheet26.xml.rels><?xml version="1.0" encoding="UTF-8" standalone="yes"?>
<Relationships xmlns="http://schemas.openxmlformats.org/package/2006/relationships"><Relationship Id="rId3" Type="http://schemas.openxmlformats.org/officeDocument/2006/relationships/printerSettings" Target="../printerSettings/printerSettings64.bin"/><Relationship Id="rId2" Type="http://schemas.openxmlformats.org/officeDocument/2006/relationships/printerSettings" Target="../printerSettings/printerSettings63.bin"/><Relationship Id="rId1" Type="http://schemas.openxmlformats.org/officeDocument/2006/relationships/printerSettings" Target="../printerSettings/printerSettings62.bin"/><Relationship Id="rId6" Type="http://schemas.openxmlformats.org/officeDocument/2006/relationships/comments" Target="../comments26.xml"/><Relationship Id="rId5" Type="http://schemas.openxmlformats.org/officeDocument/2006/relationships/vmlDrawing" Target="../drawings/vmlDrawing26.vml"/><Relationship Id="rId4" Type="http://schemas.openxmlformats.org/officeDocument/2006/relationships/printerSettings" Target="../printerSettings/printerSettings65.bin"/></Relationships>
</file>

<file path=xl/worksheets/_rels/sheet27.xml.rels><?xml version="1.0" encoding="UTF-8" standalone="yes"?>
<Relationships xmlns="http://schemas.openxmlformats.org/package/2006/relationships"><Relationship Id="rId2" Type="http://schemas.openxmlformats.org/officeDocument/2006/relationships/comments" Target="../comments27.xml"/><Relationship Id="rId1" Type="http://schemas.openxmlformats.org/officeDocument/2006/relationships/vmlDrawing" Target="../drawings/vmlDrawing27.vml"/></Relationships>
</file>

<file path=xl/worksheets/_rels/sheet28.xml.rels><?xml version="1.0" encoding="UTF-8" standalone="yes"?>
<Relationships xmlns="http://schemas.openxmlformats.org/package/2006/relationships"><Relationship Id="rId3" Type="http://schemas.openxmlformats.org/officeDocument/2006/relationships/printerSettings" Target="../printerSettings/printerSettings68.bin"/><Relationship Id="rId2" Type="http://schemas.openxmlformats.org/officeDocument/2006/relationships/printerSettings" Target="../printerSettings/printerSettings67.bin"/><Relationship Id="rId1" Type="http://schemas.openxmlformats.org/officeDocument/2006/relationships/printerSettings" Target="../printerSettings/printerSettings66.bin"/><Relationship Id="rId6" Type="http://schemas.openxmlformats.org/officeDocument/2006/relationships/comments" Target="../comments28.xml"/><Relationship Id="rId5" Type="http://schemas.openxmlformats.org/officeDocument/2006/relationships/vmlDrawing" Target="../drawings/vmlDrawing28.vml"/><Relationship Id="rId4" Type="http://schemas.openxmlformats.org/officeDocument/2006/relationships/printerSettings" Target="../printerSettings/printerSettings69.bin"/></Relationships>
</file>

<file path=xl/worksheets/_rels/sheet29.xml.rels><?xml version="1.0" encoding="UTF-8" standalone="yes"?>
<Relationships xmlns="http://schemas.openxmlformats.org/package/2006/relationships"><Relationship Id="rId3" Type="http://schemas.openxmlformats.org/officeDocument/2006/relationships/printerSettings" Target="../printerSettings/printerSettings72.bin"/><Relationship Id="rId2" Type="http://schemas.openxmlformats.org/officeDocument/2006/relationships/printerSettings" Target="../printerSettings/printerSettings71.bin"/><Relationship Id="rId1" Type="http://schemas.openxmlformats.org/officeDocument/2006/relationships/printerSettings" Target="../printerSettings/printerSettings70.bin"/><Relationship Id="rId6" Type="http://schemas.openxmlformats.org/officeDocument/2006/relationships/comments" Target="../comments29.xml"/><Relationship Id="rId5" Type="http://schemas.openxmlformats.org/officeDocument/2006/relationships/vmlDrawing" Target="../drawings/vmlDrawing29.vml"/><Relationship Id="rId4" Type="http://schemas.openxmlformats.org/officeDocument/2006/relationships/printerSettings" Target="../printerSettings/printerSettings73.bin"/></Relationships>
</file>

<file path=xl/worksheets/_rels/sheet30.xml.rels><?xml version="1.0" encoding="UTF-8" standalone="yes"?>
<Relationships xmlns="http://schemas.openxmlformats.org/package/2006/relationships"><Relationship Id="rId2" Type="http://schemas.openxmlformats.org/officeDocument/2006/relationships/comments" Target="../comments30.xml"/><Relationship Id="rId1" Type="http://schemas.openxmlformats.org/officeDocument/2006/relationships/vmlDrawing" Target="../drawings/vmlDrawing30.vml"/></Relationships>
</file>

<file path=xl/worksheets/_rels/sheet31.xml.rels><?xml version="1.0" encoding="UTF-8" standalone="yes"?>
<Relationships xmlns="http://schemas.openxmlformats.org/package/2006/relationships"><Relationship Id="rId3" Type="http://schemas.openxmlformats.org/officeDocument/2006/relationships/printerSettings" Target="../printerSettings/printerSettings76.bin"/><Relationship Id="rId2" Type="http://schemas.openxmlformats.org/officeDocument/2006/relationships/printerSettings" Target="../printerSettings/printerSettings75.bin"/><Relationship Id="rId1" Type="http://schemas.openxmlformats.org/officeDocument/2006/relationships/printerSettings" Target="../printerSettings/printerSettings74.bin"/><Relationship Id="rId6" Type="http://schemas.openxmlformats.org/officeDocument/2006/relationships/comments" Target="../comments31.xml"/><Relationship Id="rId5" Type="http://schemas.openxmlformats.org/officeDocument/2006/relationships/vmlDrawing" Target="../drawings/vmlDrawing31.vml"/><Relationship Id="rId4" Type="http://schemas.openxmlformats.org/officeDocument/2006/relationships/printerSettings" Target="../printerSettings/printerSettings77.bin"/></Relationships>
</file>

<file path=xl/worksheets/_rels/sheet32.xml.rels><?xml version="1.0" encoding="UTF-8" standalone="yes"?>
<Relationships xmlns="http://schemas.openxmlformats.org/package/2006/relationships"><Relationship Id="rId2" Type="http://schemas.openxmlformats.org/officeDocument/2006/relationships/comments" Target="../comments32.xml"/><Relationship Id="rId1" Type="http://schemas.openxmlformats.org/officeDocument/2006/relationships/vmlDrawing" Target="../drawings/vmlDrawing32.vml"/></Relationships>
</file>

<file path=xl/worksheets/_rels/sheet33.xml.rels><?xml version="1.0" encoding="UTF-8" standalone="yes"?>
<Relationships xmlns="http://schemas.openxmlformats.org/package/2006/relationships"><Relationship Id="rId2" Type="http://schemas.openxmlformats.org/officeDocument/2006/relationships/comments" Target="../comments33.xml"/><Relationship Id="rId1" Type="http://schemas.openxmlformats.org/officeDocument/2006/relationships/vmlDrawing" Target="../drawings/vmlDrawing33.vml"/></Relationships>
</file>

<file path=xl/worksheets/_rels/sheet34.xml.rels><?xml version="1.0" encoding="UTF-8" standalone="yes"?>
<Relationships xmlns="http://schemas.openxmlformats.org/package/2006/relationships"><Relationship Id="rId3" Type="http://schemas.openxmlformats.org/officeDocument/2006/relationships/printerSettings" Target="../printerSettings/printerSettings80.bin"/><Relationship Id="rId2" Type="http://schemas.openxmlformats.org/officeDocument/2006/relationships/printerSettings" Target="../printerSettings/printerSettings79.bin"/><Relationship Id="rId1" Type="http://schemas.openxmlformats.org/officeDocument/2006/relationships/printerSettings" Target="../printerSettings/printerSettings78.bin"/><Relationship Id="rId6" Type="http://schemas.openxmlformats.org/officeDocument/2006/relationships/comments" Target="../comments34.xml"/><Relationship Id="rId5" Type="http://schemas.openxmlformats.org/officeDocument/2006/relationships/vmlDrawing" Target="../drawings/vmlDrawing34.vml"/><Relationship Id="rId4" Type="http://schemas.openxmlformats.org/officeDocument/2006/relationships/printerSettings" Target="../printerSettings/printerSettings81.bin"/></Relationships>
</file>

<file path=xl/worksheets/_rels/sheet35.xml.rels><?xml version="1.0" encoding="UTF-8" standalone="yes"?>
<Relationships xmlns="http://schemas.openxmlformats.org/package/2006/relationships"><Relationship Id="rId3" Type="http://schemas.openxmlformats.org/officeDocument/2006/relationships/printerSettings" Target="../printerSettings/printerSettings84.bin"/><Relationship Id="rId2" Type="http://schemas.openxmlformats.org/officeDocument/2006/relationships/printerSettings" Target="../printerSettings/printerSettings83.bin"/><Relationship Id="rId1" Type="http://schemas.openxmlformats.org/officeDocument/2006/relationships/printerSettings" Target="../printerSettings/printerSettings82.bin"/><Relationship Id="rId6" Type="http://schemas.openxmlformats.org/officeDocument/2006/relationships/comments" Target="../comments35.xml"/><Relationship Id="rId5" Type="http://schemas.openxmlformats.org/officeDocument/2006/relationships/vmlDrawing" Target="../drawings/vmlDrawing35.vml"/><Relationship Id="rId4" Type="http://schemas.openxmlformats.org/officeDocument/2006/relationships/printerSettings" Target="../printerSettings/printerSettings85.bin"/></Relationships>
</file>

<file path=xl/worksheets/_rels/sheet36.xml.rels><?xml version="1.0" encoding="UTF-8" standalone="yes"?>
<Relationships xmlns="http://schemas.openxmlformats.org/package/2006/relationships"><Relationship Id="rId3" Type="http://schemas.openxmlformats.org/officeDocument/2006/relationships/comments" Target="../comments36.xml"/><Relationship Id="rId2" Type="http://schemas.openxmlformats.org/officeDocument/2006/relationships/vmlDrawing" Target="../drawings/vmlDrawing36.vml"/><Relationship Id="rId1" Type="http://schemas.openxmlformats.org/officeDocument/2006/relationships/printerSettings" Target="../printerSettings/printerSettings86.bin"/></Relationships>
</file>

<file path=xl/worksheets/_rels/sheet37.xml.rels><?xml version="1.0" encoding="UTF-8" standalone="yes"?>
<Relationships xmlns="http://schemas.openxmlformats.org/package/2006/relationships"><Relationship Id="rId2" Type="http://schemas.openxmlformats.org/officeDocument/2006/relationships/comments" Target="../comments37.xml"/><Relationship Id="rId1" Type="http://schemas.openxmlformats.org/officeDocument/2006/relationships/vmlDrawing" Target="../drawings/vmlDrawing37.vml"/></Relationships>
</file>

<file path=xl/worksheets/_rels/sheet38.xml.rels><?xml version="1.0" encoding="UTF-8" standalone="yes"?>
<Relationships xmlns="http://schemas.openxmlformats.org/package/2006/relationships"><Relationship Id="rId2" Type="http://schemas.openxmlformats.org/officeDocument/2006/relationships/comments" Target="../comments38.xml"/><Relationship Id="rId1" Type="http://schemas.openxmlformats.org/officeDocument/2006/relationships/vmlDrawing" Target="../drawings/vmlDrawing38.vml"/></Relationships>
</file>

<file path=xl/worksheets/_rels/sheet39.xml.rels><?xml version="1.0" encoding="UTF-8" standalone="yes"?>
<Relationships xmlns="http://schemas.openxmlformats.org/package/2006/relationships"><Relationship Id="rId2" Type="http://schemas.openxmlformats.org/officeDocument/2006/relationships/comments" Target="../comments39.xml"/><Relationship Id="rId1" Type="http://schemas.openxmlformats.org/officeDocument/2006/relationships/vmlDrawing" Target="../drawings/vmlDrawing39.vml"/></Relationships>
</file>

<file path=xl/worksheets/_rels/sheet40.xml.rels><?xml version="1.0" encoding="UTF-8" standalone="yes"?>
<Relationships xmlns="http://schemas.openxmlformats.org/package/2006/relationships"><Relationship Id="rId3" Type="http://schemas.openxmlformats.org/officeDocument/2006/relationships/printerSettings" Target="../printerSettings/printerSettings89.bin"/><Relationship Id="rId2" Type="http://schemas.openxmlformats.org/officeDocument/2006/relationships/printerSettings" Target="../printerSettings/printerSettings88.bin"/><Relationship Id="rId1" Type="http://schemas.openxmlformats.org/officeDocument/2006/relationships/printerSettings" Target="../printerSettings/printerSettings87.bin"/><Relationship Id="rId6" Type="http://schemas.openxmlformats.org/officeDocument/2006/relationships/comments" Target="../comments40.xml"/><Relationship Id="rId5" Type="http://schemas.openxmlformats.org/officeDocument/2006/relationships/vmlDrawing" Target="../drawings/vmlDrawing40.vml"/><Relationship Id="rId4" Type="http://schemas.openxmlformats.org/officeDocument/2006/relationships/printerSettings" Target="../printerSettings/printerSettings90.bin"/></Relationships>
</file>

<file path=xl/worksheets/_rels/sheet41.xml.rels><?xml version="1.0" encoding="UTF-8" standalone="yes"?>
<Relationships xmlns="http://schemas.openxmlformats.org/package/2006/relationships"><Relationship Id="rId3" Type="http://schemas.openxmlformats.org/officeDocument/2006/relationships/printerSettings" Target="../printerSettings/printerSettings93.bin"/><Relationship Id="rId2" Type="http://schemas.openxmlformats.org/officeDocument/2006/relationships/printerSettings" Target="../printerSettings/printerSettings92.bin"/><Relationship Id="rId1" Type="http://schemas.openxmlformats.org/officeDocument/2006/relationships/printerSettings" Target="../printerSettings/printerSettings91.bin"/><Relationship Id="rId6" Type="http://schemas.openxmlformats.org/officeDocument/2006/relationships/comments" Target="../comments41.xml"/><Relationship Id="rId5" Type="http://schemas.openxmlformats.org/officeDocument/2006/relationships/vmlDrawing" Target="../drawings/vmlDrawing41.vml"/><Relationship Id="rId4" Type="http://schemas.openxmlformats.org/officeDocument/2006/relationships/printerSettings" Target="../printerSettings/printerSettings94.bin"/></Relationships>
</file>

<file path=xl/worksheets/_rels/sheet42.xml.rels><?xml version="1.0" encoding="UTF-8" standalone="yes"?>
<Relationships xmlns="http://schemas.openxmlformats.org/package/2006/relationships"><Relationship Id="rId3" Type="http://schemas.openxmlformats.org/officeDocument/2006/relationships/printerSettings" Target="../printerSettings/printerSettings97.bin"/><Relationship Id="rId2" Type="http://schemas.openxmlformats.org/officeDocument/2006/relationships/printerSettings" Target="../printerSettings/printerSettings96.bin"/><Relationship Id="rId1" Type="http://schemas.openxmlformats.org/officeDocument/2006/relationships/printerSettings" Target="../printerSettings/printerSettings95.bin"/><Relationship Id="rId6" Type="http://schemas.openxmlformats.org/officeDocument/2006/relationships/comments" Target="../comments42.xml"/><Relationship Id="rId5" Type="http://schemas.openxmlformats.org/officeDocument/2006/relationships/vmlDrawing" Target="../drawings/vmlDrawing42.vml"/><Relationship Id="rId4" Type="http://schemas.openxmlformats.org/officeDocument/2006/relationships/printerSettings" Target="../printerSettings/printerSettings98.bin"/></Relationships>
</file>

<file path=xl/worksheets/_rels/sheet43.xml.rels><?xml version="1.0" encoding="UTF-8" standalone="yes"?>
<Relationships xmlns="http://schemas.openxmlformats.org/package/2006/relationships"><Relationship Id="rId3" Type="http://schemas.openxmlformats.org/officeDocument/2006/relationships/printerSettings" Target="../printerSettings/printerSettings101.bin"/><Relationship Id="rId2" Type="http://schemas.openxmlformats.org/officeDocument/2006/relationships/printerSettings" Target="../printerSettings/printerSettings100.bin"/><Relationship Id="rId1" Type="http://schemas.openxmlformats.org/officeDocument/2006/relationships/printerSettings" Target="../printerSettings/printerSettings99.bin"/><Relationship Id="rId6" Type="http://schemas.openxmlformats.org/officeDocument/2006/relationships/comments" Target="../comments43.xml"/><Relationship Id="rId5" Type="http://schemas.openxmlformats.org/officeDocument/2006/relationships/vmlDrawing" Target="../drawings/vmlDrawing43.vml"/><Relationship Id="rId4" Type="http://schemas.openxmlformats.org/officeDocument/2006/relationships/printerSettings" Target="../printerSettings/printerSettings102.bin"/></Relationships>
</file>

<file path=xl/worksheets/_rels/sheet44.xml.rels><?xml version="1.0" encoding="UTF-8" standalone="yes"?>
<Relationships xmlns="http://schemas.openxmlformats.org/package/2006/relationships"><Relationship Id="rId3" Type="http://schemas.openxmlformats.org/officeDocument/2006/relationships/printerSettings" Target="../printerSettings/printerSettings105.bin"/><Relationship Id="rId2" Type="http://schemas.openxmlformats.org/officeDocument/2006/relationships/printerSettings" Target="../printerSettings/printerSettings104.bin"/><Relationship Id="rId1" Type="http://schemas.openxmlformats.org/officeDocument/2006/relationships/printerSettings" Target="../printerSettings/printerSettings103.bin"/><Relationship Id="rId6" Type="http://schemas.openxmlformats.org/officeDocument/2006/relationships/comments" Target="../comments44.xml"/><Relationship Id="rId5" Type="http://schemas.openxmlformats.org/officeDocument/2006/relationships/vmlDrawing" Target="../drawings/vmlDrawing44.vml"/><Relationship Id="rId4" Type="http://schemas.openxmlformats.org/officeDocument/2006/relationships/printerSettings" Target="../printerSettings/printerSettings106.bin"/></Relationships>
</file>

<file path=xl/worksheets/_rels/sheet45.xml.rels><?xml version="1.0" encoding="UTF-8" standalone="yes"?>
<Relationships xmlns="http://schemas.openxmlformats.org/package/2006/relationships"><Relationship Id="rId2" Type="http://schemas.openxmlformats.org/officeDocument/2006/relationships/comments" Target="../comments45.xml"/><Relationship Id="rId1" Type="http://schemas.openxmlformats.org/officeDocument/2006/relationships/vmlDrawing" Target="../drawings/vmlDrawing45.vml"/></Relationships>
</file>

<file path=xl/worksheets/_rels/sheet46.xml.rels><?xml version="1.0" encoding="UTF-8" standalone="yes"?>
<Relationships xmlns="http://schemas.openxmlformats.org/package/2006/relationships"><Relationship Id="rId3" Type="http://schemas.openxmlformats.org/officeDocument/2006/relationships/printerSettings" Target="../printerSettings/printerSettings109.bin"/><Relationship Id="rId2" Type="http://schemas.openxmlformats.org/officeDocument/2006/relationships/printerSettings" Target="../printerSettings/printerSettings108.bin"/><Relationship Id="rId1" Type="http://schemas.openxmlformats.org/officeDocument/2006/relationships/printerSettings" Target="../printerSettings/printerSettings107.bin"/><Relationship Id="rId6" Type="http://schemas.openxmlformats.org/officeDocument/2006/relationships/comments" Target="../comments46.xml"/><Relationship Id="rId5" Type="http://schemas.openxmlformats.org/officeDocument/2006/relationships/vmlDrawing" Target="../drawings/vmlDrawing46.vml"/><Relationship Id="rId4" Type="http://schemas.openxmlformats.org/officeDocument/2006/relationships/printerSettings" Target="../printerSettings/printerSettings110.bin"/></Relationships>
</file>

<file path=xl/worksheets/_rels/sheet47.xml.rels><?xml version="1.0" encoding="UTF-8" standalone="yes"?>
<Relationships xmlns="http://schemas.openxmlformats.org/package/2006/relationships"><Relationship Id="rId2" Type="http://schemas.openxmlformats.org/officeDocument/2006/relationships/comments" Target="../comments47.xml"/><Relationship Id="rId1" Type="http://schemas.openxmlformats.org/officeDocument/2006/relationships/vmlDrawing" Target="../drawings/vmlDrawing47.vml"/></Relationships>
</file>

<file path=xl/worksheets/_rels/sheet48.xml.rels><?xml version="1.0" encoding="UTF-8" standalone="yes"?>
<Relationships xmlns="http://schemas.openxmlformats.org/package/2006/relationships"><Relationship Id="rId3" Type="http://schemas.openxmlformats.org/officeDocument/2006/relationships/printerSettings" Target="../printerSettings/printerSettings113.bin"/><Relationship Id="rId2" Type="http://schemas.openxmlformats.org/officeDocument/2006/relationships/printerSettings" Target="../printerSettings/printerSettings112.bin"/><Relationship Id="rId1" Type="http://schemas.openxmlformats.org/officeDocument/2006/relationships/printerSettings" Target="../printerSettings/printerSettings111.bin"/><Relationship Id="rId6" Type="http://schemas.openxmlformats.org/officeDocument/2006/relationships/comments" Target="../comments48.xml"/><Relationship Id="rId5" Type="http://schemas.openxmlformats.org/officeDocument/2006/relationships/vmlDrawing" Target="../drawings/vmlDrawing48.vml"/><Relationship Id="rId4" Type="http://schemas.openxmlformats.org/officeDocument/2006/relationships/printerSettings" Target="../printerSettings/printerSettings114.bin"/></Relationships>
</file>

<file path=xl/worksheets/_rels/sheet49.xml.rels><?xml version="1.0" encoding="UTF-8" standalone="yes"?>
<Relationships xmlns="http://schemas.openxmlformats.org/package/2006/relationships"><Relationship Id="rId2" Type="http://schemas.openxmlformats.org/officeDocument/2006/relationships/comments" Target="../comments49.xml"/><Relationship Id="rId1" Type="http://schemas.openxmlformats.org/officeDocument/2006/relationships/vmlDrawing" Target="../drawings/vmlDrawing49.vml"/></Relationships>
</file>

<file path=xl/worksheets/_rels/sheet50.xml.rels><?xml version="1.0" encoding="UTF-8" standalone="yes"?>
<Relationships xmlns="http://schemas.openxmlformats.org/package/2006/relationships"><Relationship Id="rId3" Type="http://schemas.openxmlformats.org/officeDocument/2006/relationships/printerSettings" Target="../printerSettings/printerSettings117.bin"/><Relationship Id="rId2" Type="http://schemas.openxmlformats.org/officeDocument/2006/relationships/printerSettings" Target="../printerSettings/printerSettings116.bin"/><Relationship Id="rId1" Type="http://schemas.openxmlformats.org/officeDocument/2006/relationships/printerSettings" Target="../printerSettings/printerSettings115.bin"/><Relationship Id="rId6" Type="http://schemas.openxmlformats.org/officeDocument/2006/relationships/comments" Target="../comments50.xml"/><Relationship Id="rId5" Type="http://schemas.openxmlformats.org/officeDocument/2006/relationships/vmlDrawing" Target="../drawings/vmlDrawing50.vml"/><Relationship Id="rId4" Type="http://schemas.openxmlformats.org/officeDocument/2006/relationships/printerSettings" Target="../printerSettings/printerSettings118.bin"/></Relationships>
</file>

<file path=xl/worksheets/_rels/sheet51.xml.rels><?xml version="1.0" encoding="UTF-8" standalone="yes"?>
<Relationships xmlns="http://schemas.openxmlformats.org/package/2006/relationships"><Relationship Id="rId3" Type="http://schemas.openxmlformats.org/officeDocument/2006/relationships/printerSettings" Target="../printerSettings/printerSettings121.bin"/><Relationship Id="rId2" Type="http://schemas.openxmlformats.org/officeDocument/2006/relationships/printerSettings" Target="../printerSettings/printerSettings120.bin"/><Relationship Id="rId1" Type="http://schemas.openxmlformats.org/officeDocument/2006/relationships/printerSettings" Target="../printerSettings/printerSettings119.bin"/><Relationship Id="rId6" Type="http://schemas.openxmlformats.org/officeDocument/2006/relationships/comments" Target="../comments51.xml"/><Relationship Id="rId5" Type="http://schemas.openxmlformats.org/officeDocument/2006/relationships/vmlDrawing" Target="../drawings/vmlDrawing51.vml"/><Relationship Id="rId4" Type="http://schemas.openxmlformats.org/officeDocument/2006/relationships/printerSettings" Target="../printerSettings/printerSettings122.bin"/></Relationships>
</file>

<file path=xl/worksheets/_rels/sheet52.xml.rels><?xml version="1.0" encoding="UTF-8" standalone="yes"?>
<Relationships xmlns="http://schemas.openxmlformats.org/package/2006/relationships"><Relationship Id="rId3" Type="http://schemas.openxmlformats.org/officeDocument/2006/relationships/printerSettings" Target="../printerSettings/printerSettings125.bin"/><Relationship Id="rId2" Type="http://schemas.openxmlformats.org/officeDocument/2006/relationships/printerSettings" Target="../printerSettings/printerSettings124.bin"/><Relationship Id="rId1" Type="http://schemas.openxmlformats.org/officeDocument/2006/relationships/printerSettings" Target="../printerSettings/printerSettings123.bin"/><Relationship Id="rId6" Type="http://schemas.openxmlformats.org/officeDocument/2006/relationships/comments" Target="../comments52.xml"/><Relationship Id="rId5" Type="http://schemas.openxmlformats.org/officeDocument/2006/relationships/vmlDrawing" Target="../drawings/vmlDrawing52.vml"/><Relationship Id="rId4" Type="http://schemas.openxmlformats.org/officeDocument/2006/relationships/printerSettings" Target="../printerSettings/printerSettings126.bin"/></Relationships>
</file>

<file path=xl/worksheets/_rels/sheet53.xml.rels><?xml version="1.0" encoding="UTF-8" standalone="yes"?>
<Relationships xmlns="http://schemas.openxmlformats.org/package/2006/relationships"><Relationship Id="rId3" Type="http://schemas.openxmlformats.org/officeDocument/2006/relationships/printerSettings" Target="../printerSettings/printerSettings129.bin"/><Relationship Id="rId2" Type="http://schemas.openxmlformats.org/officeDocument/2006/relationships/printerSettings" Target="../printerSettings/printerSettings128.bin"/><Relationship Id="rId1" Type="http://schemas.openxmlformats.org/officeDocument/2006/relationships/printerSettings" Target="../printerSettings/printerSettings127.bin"/><Relationship Id="rId6" Type="http://schemas.openxmlformats.org/officeDocument/2006/relationships/comments" Target="../comments53.xml"/><Relationship Id="rId5" Type="http://schemas.openxmlformats.org/officeDocument/2006/relationships/vmlDrawing" Target="../drawings/vmlDrawing53.vml"/><Relationship Id="rId4" Type="http://schemas.openxmlformats.org/officeDocument/2006/relationships/printerSettings" Target="../printerSettings/printerSettings130.bin"/></Relationships>
</file>

<file path=xl/worksheets/_rels/sheet54.xml.rels><?xml version="1.0" encoding="UTF-8" standalone="yes"?>
<Relationships xmlns="http://schemas.openxmlformats.org/package/2006/relationships"><Relationship Id="rId3" Type="http://schemas.openxmlformats.org/officeDocument/2006/relationships/printerSettings" Target="../printerSettings/printerSettings133.bin"/><Relationship Id="rId2" Type="http://schemas.openxmlformats.org/officeDocument/2006/relationships/printerSettings" Target="../printerSettings/printerSettings132.bin"/><Relationship Id="rId1" Type="http://schemas.openxmlformats.org/officeDocument/2006/relationships/printerSettings" Target="../printerSettings/printerSettings131.bin"/><Relationship Id="rId6" Type="http://schemas.openxmlformats.org/officeDocument/2006/relationships/comments" Target="../comments54.xml"/><Relationship Id="rId5" Type="http://schemas.openxmlformats.org/officeDocument/2006/relationships/vmlDrawing" Target="../drawings/vmlDrawing54.vml"/><Relationship Id="rId4" Type="http://schemas.openxmlformats.org/officeDocument/2006/relationships/printerSettings" Target="../printerSettings/printerSettings134.bin"/></Relationships>
</file>

<file path=xl/worksheets/_rels/sheet55.xml.rels><?xml version="1.0" encoding="UTF-8" standalone="yes"?>
<Relationships xmlns="http://schemas.openxmlformats.org/package/2006/relationships"><Relationship Id="rId3" Type="http://schemas.openxmlformats.org/officeDocument/2006/relationships/printerSettings" Target="../printerSettings/printerSettings137.bin"/><Relationship Id="rId2" Type="http://schemas.openxmlformats.org/officeDocument/2006/relationships/printerSettings" Target="../printerSettings/printerSettings136.bin"/><Relationship Id="rId1" Type="http://schemas.openxmlformats.org/officeDocument/2006/relationships/printerSettings" Target="../printerSettings/printerSettings135.bin"/><Relationship Id="rId6" Type="http://schemas.openxmlformats.org/officeDocument/2006/relationships/comments" Target="../comments55.xml"/><Relationship Id="rId5" Type="http://schemas.openxmlformats.org/officeDocument/2006/relationships/vmlDrawing" Target="../drawings/vmlDrawing55.vml"/><Relationship Id="rId4" Type="http://schemas.openxmlformats.org/officeDocument/2006/relationships/printerSettings" Target="../printerSettings/printerSettings138.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I59"/>
  <sheetViews>
    <sheetView workbookViewId="0">
      <selection activeCell="C35" sqref="C35"/>
    </sheetView>
  </sheetViews>
  <sheetFormatPr defaultRowHeight="15" x14ac:dyDescent="0.25"/>
  <cols>
    <col min="1" max="1" width="14.28515625" style="999" customWidth="1"/>
    <col min="2" max="2" width="26.5703125" style="999" customWidth="1"/>
    <col min="3" max="3" width="28.42578125" style="999" customWidth="1"/>
    <col min="4" max="4" width="119.28515625" style="999" customWidth="1"/>
    <col min="5" max="5" width="9.85546875" style="999" bestFit="1" customWidth="1"/>
    <col min="6" max="6" width="9.140625" style="999"/>
    <col min="7" max="7" width="11" style="999" bestFit="1" customWidth="1"/>
    <col min="8" max="8" width="9.140625" style="999"/>
    <col min="9" max="9" width="11.28515625" style="999" bestFit="1" customWidth="1"/>
    <col min="10" max="16384" width="9.140625" style="999"/>
  </cols>
  <sheetData>
    <row r="1" spans="1:4" ht="28.5" customHeight="1" x14ac:dyDescent="0.25">
      <c r="A1" s="1110" t="s">
        <v>890</v>
      </c>
      <c r="B1" s="1110" t="s">
        <v>891</v>
      </c>
      <c r="C1" s="1110" t="s">
        <v>892</v>
      </c>
      <c r="D1" s="1110" t="s">
        <v>893</v>
      </c>
    </row>
    <row r="2" spans="1:4" x14ac:dyDescent="0.25">
      <c r="A2" s="1133" t="s">
        <v>894</v>
      </c>
      <c r="B2" s="1111" t="s">
        <v>895</v>
      </c>
      <c r="C2" s="1111" t="s">
        <v>896</v>
      </c>
      <c r="D2" s="1112" t="s">
        <v>897</v>
      </c>
    </row>
    <row r="3" spans="1:4" x14ac:dyDescent="0.25">
      <c r="A3" s="1134"/>
      <c r="B3" s="1113" t="s">
        <v>898</v>
      </c>
      <c r="C3" s="1113" t="s">
        <v>899</v>
      </c>
      <c r="D3" s="1114" t="s">
        <v>900</v>
      </c>
    </row>
    <row r="4" spans="1:4" x14ac:dyDescent="0.25">
      <c r="A4" s="1134"/>
      <c r="B4" s="1113" t="s">
        <v>901</v>
      </c>
      <c r="C4" s="1113" t="s">
        <v>902</v>
      </c>
      <c r="D4" s="1114" t="s">
        <v>903</v>
      </c>
    </row>
    <row r="5" spans="1:4" x14ac:dyDescent="0.25">
      <c r="A5" s="1115" t="s">
        <v>904</v>
      </c>
      <c r="B5" s="1116" t="s">
        <v>905</v>
      </c>
      <c r="C5" s="1116" t="s">
        <v>906</v>
      </c>
      <c r="D5" s="1117" t="s">
        <v>907</v>
      </c>
    </row>
    <row r="6" spans="1:4" x14ac:dyDescent="0.25">
      <c r="A6" s="1135" t="s">
        <v>908</v>
      </c>
      <c r="B6" s="1118" t="s">
        <v>909</v>
      </c>
      <c r="C6" s="1118" t="s">
        <v>910</v>
      </c>
      <c r="D6" s="1119" t="s">
        <v>911</v>
      </c>
    </row>
    <row r="7" spans="1:4" x14ac:dyDescent="0.25">
      <c r="A7" s="1136"/>
      <c r="B7" s="1118" t="s">
        <v>912</v>
      </c>
      <c r="C7" s="1118" t="s">
        <v>913</v>
      </c>
      <c r="D7" s="1119" t="s">
        <v>914</v>
      </c>
    </row>
    <row r="8" spans="1:4" x14ac:dyDescent="0.25">
      <c r="A8" s="1136"/>
      <c r="B8" s="1118" t="s">
        <v>915</v>
      </c>
      <c r="C8" s="1118" t="s">
        <v>916</v>
      </c>
      <c r="D8" s="1119" t="s">
        <v>917</v>
      </c>
    </row>
    <row r="9" spans="1:4" x14ac:dyDescent="0.25">
      <c r="A9" s="1136"/>
      <c r="B9" s="1118" t="s">
        <v>918</v>
      </c>
      <c r="C9" s="1118" t="s">
        <v>919</v>
      </c>
      <c r="D9" s="1119" t="s">
        <v>920</v>
      </c>
    </row>
    <row r="10" spans="1:4" x14ac:dyDescent="0.25">
      <c r="A10" s="1136"/>
      <c r="B10" s="1118" t="s">
        <v>921</v>
      </c>
      <c r="C10" s="1118" t="s">
        <v>922</v>
      </c>
      <c r="D10" s="1119" t="s">
        <v>923</v>
      </c>
    </row>
    <row r="11" spans="1:4" x14ac:dyDescent="0.25">
      <c r="A11" s="1136"/>
      <c r="B11" s="1118" t="s">
        <v>924</v>
      </c>
      <c r="C11" s="1118" t="s">
        <v>925</v>
      </c>
      <c r="D11" s="1119" t="s">
        <v>926</v>
      </c>
    </row>
    <row r="12" spans="1:4" x14ac:dyDescent="0.25">
      <c r="A12" s="1136"/>
      <c r="B12" s="1118" t="s">
        <v>927</v>
      </c>
      <c r="C12" s="1118" t="s">
        <v>928</v>
      </c>
      <c r="D12" s="1119" t="s">
        <v>929</v>
      </c>
    </row>
    <row r="13" spans="1:4" x14ac:dyDescent="0.25">
      <c r="A13" s="1136"/>
      <c r="B13" s="1118" t="s">
        <v>930</v>
      </c>
      <c r="C13" s="1118" t="s">
        <v>931</v>
      </c>
      <c r="D13" s="1119" t="s">
        <v>932</v>
      </c>
    </row>
    <row r="14" spans="1:4" x14ac:dyDescent="0.25">
      <c r="A14" s="1136"/>
      <c r="B14" s="1118" t="s">
        <v>933</v>
      </c>
      <c r="C14" s="1118" t="s">
        <v>934</v>
      </c>
      <c r="D14" s="1119" t="s">
        <v>935</v>
      </c>
    </row>
    <row r="15" spans="1:4" x14ac:dyDescent="0.25">
      <c r="A15" s="1136"/>
      <c r="B15" s="1118" t="s">
        <v>936</v>
      </c>
      <c r="C15" s="1118" t="s">
        <v>937</v>
      </c>
      <c r="D15" s="1119" t="s">
        <v>938</v>
      </c>
    </row>
    <row r="16" spans="1:4" x14ac:dyDescent="0.25">
      <c r="A16" s="1136"/>
      <c r="B16" s="1118" t="s">
        <v>939</v>
      </c>
      <c r="C16" s="1118" t="s">
        <v>940</v>
      </c>
      <c r="D16" s="1119" t="s">
        <v>941</v>
      </c>
    </row>
    <row r="17" spans="1:4" s="27" customFormat="1" x14ac:dyDescent="0.25">
      <c r="A17" s="1136"/>
      <c r="B17" s="1118" t="s">
        <v>942</v>
      </c>
      <c r="C17" s="1118" t="s">
        <v>943</v>
      </c>
      <c r="D17" s="1119" t="s">
        <v>944</v>
      </c>
    </row>
    <row r="18" spans="1:4" x14ac:dyDescent="0.25">
      <c r="A18" s="1136"/>
      <c r="B18" s="1118" t="s">
        <v>945</v>
      </c>
      <c r="C18" s="1118" t="s">
        <v>946</v>
      </c>
      <c r="D18" s="1119" t="s">
        <v>947</v>
      </c>
    </row>
    <row r="19" spans="1:4" s="27" customFormat="1" x14ac:dyDescent="0.25">
      <c r="A19" s="1137"/>
      <c r="B19" s="1118" t="s">
        <v>948</v>
      </c>
      <c r="C19" s="1118" t="s">
        <v>949</v>
      </c>
      <c r="D19" s="1119" t="s">
        <v>950</v>
      </c>
    </row>
    <row r="20" spans="1:4" ht="15" customHeight="1" x14ac:dyDescent="0.25">
      <c r="A20" s="1138" t="s">
        <v>951</v>
      </c>
      <c r="B20" s="1120" t="s">
        <v>952</v>
      </c>
      <c r="C20" s="1120" t="s">
        <v>953</v>
      </c>
      <c r="D20" s="1121" t="s">
        <v>954</v>
      </c>
    </row>
    <row r="21" spans="1:4" x14ac:dyDescent="0.25">
      <c r="A21" s="1139"/>
      <c r="B21" s="1122" t="s">
        <v>955</v>
      </c>
      <c r="C21" s="1122" t="s">
        <v>956</v>
      </c>
      <c r="D21" s="29" t="s">
        <v>957</v>
      </c>
    </row>
    <row r="22" spans="1:4" x14ac:dyDescent="0.25">
      <c r="A22" s="1139"/>
      <c r="B22" s="1122" t="s">
        <v>958</v>
      </c>
      <c r="C22" s="1122" t="s">
        <v>959</v>
      </c>
      <c r="D22" s="29" t="s">
        <v>960</v>
      </c>
    </row>
    <row r="23" spans="1:4" x14ac:dyDescent="0.25">
      <c r="A23" s="1139"/>
      <c r="B23" s="1122" t="s">
        <v>961</v>
      </c>
      <c r="C23" s="1122" t="s">
        <v>962</v>
      </c>
      <c r="D23" s="29" t="s">
        <v>963</v>
      </c>
    </row>
    <row r="24" spans="1:4" x14ac:dyDescent="0.25">
      <c r="A24" s="1139"/>
      <c r="B24" s="1122" t="s">
        <v>964</v>
      </c>
      <c r="C24" s="1122" t="s">
        <v>965</v>
      </c>
      <c r="D24" s="29" t="s">
        <v>966</v>
      </c>
    </row>
    <row r="25" spans="1:4" x14ac:dyDescent="0.25">
      <c r="A25" s="1140"/>
      <c r="B25" s="1123" t="s">
        <v>967</v>
      </c>
      <c r="C25" s="1123" t="s">
        <v>968</v>
      </c>
      <c r="D25" s="1124" t="s">
        <v>969</v>
      </c>
    </row>
    <row r="26" spans="1:4" x14ac:dyDescent="0.25">
      <c r="A26" s="1141" t="s">
        <v>970</v>
      </c>
      <c r="B26" s="1125"/>
      <c r="C26" s="1126" t="s">
        <v>971</v>
      </c>
      <c r="D26" s="1125" t="s">
        <v>972</v>
      </c>
    </row>
    <row r="27" spans="1:4" x14ac:dyDescent="0.25">
      <c r="A27" s="1142"/>
      <c r="B27" s="1127"/>
      <c r="C27" s="1128" t="s">
        <v>973</v>
      </c>
      <c r="D27" s="1127" t="s">
        <v>974</v>
      </c>
    </row>
    <row r="28" spans="1:4" x14ac:dyDescent="0.25">
      <c r="A28" s="1142"/>
      <c r="B28" s="1127"/>
      <c r="C28" s="1128" t="s">
        <v>975</v>
      </c>
      <c r="D28" s="1127" t="s">
        <v>976</v>
      </c>
    </row>
    <row r="29" spans="1:4" x14ac:dyDescent="0.25">
      <c r="A29" s="1130" t="s">
        <v>977</v>
      </c>
      <c r="B29" s="1131"/>
      <c r="C29" s="1132" t="s">
        <v>978</v>
      </c>
      <c r="D29" s="1131" t="s">
        <v>979</v>
      </c>
    </row>
    <row r="31" spans="1:4" x14ac:dyDescent="0.25">
      <c r="C31" s="44"/>
      <c r="D31" s="44"/>
    </row>
    <row r="32" spans="1:4" x14ac:dyDescent="0.25">
      <c r="A32" s="44"/>
      <c r="B32" s="44"/>
      <c r="C32" s="44"/>
      <c r="D32" s="44"/>
    </row>
    <row r="33" spans="1:4" x14ac:dyDescent="0.25">
      <c r="A33" s="44"/>
      <c r="B33" s="44"/>
      <c r="C33" s="44"/>
      <c r="D33" s="44"/>
    </row>
    <row r="34" spans="1:4" ht="15" customHeight="1" x14ac:dyDescent="0.25">
      <c r="A34" s="1129"/>
      <c r="B34" s="1129"/>
      <c r="C34" s="1129"/>
      <c r="D34" s="1129"/>
    </row>
    <row r="35" spans="1:4" x14ac:dyDescent="0.25">
      <c r="A35" s="1129"/>
      <c r="B35" s="1129"/>
      <c r="C35" s="1129"/>
      <c r="D35" s="1129"/>
    </row>
    <row r="59" spans="5:9" x14ac:dyDescent="0.25"/>
  </sheetData>
  <mergeCells count="4">
    <mergeCell ref="A2:A4"/>
    <mergeCell ref="A6:A19"/>
    <mergeCell ref="A20:A25"/>
    <mergeCell ref="A26:A28"/>
  </mergeCells>
  <hyperlinks>
    <hyperlink ref="B2" location="CPI!A1" display="CPI" xr:uid="{00000000-0004-0000-0000-000000000000}"/>
    <hyperlink ref="B3" location="AWE!A1" display="AWE" xr:uid="{00000000-0004-0000-0000-000001000000}"/>
    <hyperlink ref="B4" location="PBLCI!A1" display="PBLCI" xr:uid="{00000000-0004-0000-0000-000002000000}"/>
    <hyperlink ref="C2" location="CPI_A!A1" display="CPI_A" xr:uid="{00000000-0004-0000-0000-000003000000}"/>
    <hyperlink ref="C3" location="AWE_A!A1" display="AWE_A" xr:uid="{00000000-0004-0000-0000-000004000000}"/>
    <hyperlink ref="C4" location="PBLCI_A!A1" display="PBLCI_A" xr:uid="{00000000-0004-0000-0000-000005000000}"/>
    <hyperlink ref="B5" location="DVA!A1" display="DVA" xr:uid="{00000000-0004-0000-0000-000006000000}"/>
    <hyperlink ref="C5" location="DVA_A!A1" display="DVA_A" xr:uid="{00000000-0004-0000-0000-000007000000}"/>
    <hyperlink ref="B6" location="Pensions!A1" display="Pensions" xr:uid="{00000000-0004-0000-0000-000008000000}"/>
    <hyperlink ref="B7" location="Carers!A1" display="Carers" xr:uid="{00000000-0004-0000-0000-000009000000}"/>
    <hyperlink ref="B8" location="PPS!A1" display="Parenting payment single" xr:uid="{00000000-0004-0000-0000-00000A000000}"/>
    <hyperlink ref="B9" location="YouthDSP!A1" display="Youth DSP" xr:uid="{00000000-0004-0000-0000-00000B000000}"/>
    <hyperlink ref="B10" location="Unemployment!A1" display="Unemployment" xr:uid="{00000000-0004-0000-0000-00000C000000}"/>
    <hyperlink ref="B11" location="YouthStudents!A1" display="Youth &amp; Students" xr:uid="{00000000-0004-0000-0000-00000D000000}"/>
    <hyperlink ref="C6" location="Pensions_A!A1" display="Pensions_A" xr:uid="{00000000-0004-0000-0000-00000E000000}"/>
    <hyperlink ref="C7" location="Carers_A!A1" display="Carers_A" xr:uid="{00000000-0004-0000-0000-00000F000000}"/>
    <hyperlink ref="C8" location="YouthDSP_A!A1" display="Parenting payment single_A" xr:uid="{00000000-0004-0000-0000-000010000000}"/>
    <hyperlink ref="C9" location="YouthDSP_A!A1" display="Youth DSP_A" xr:uid="{00000000-0004-0000-0000-000011000000}"/>
    <hyperlink ref="C10" location="Unemployment_A!A1" display="Unemployment_A" xr:uid="{00000000-0004-0000-0000-000012000000}"/>
    <hyperlink ref="C11" location="YouthStudents_A!A1" display="Youth &amp; Students_A" xr:uid="{00000000-0004-0000-0000-000013000000}"/>
    <hyperlink ref="B12" location="PenEdSup!A1" display="Pensioner Education Sup" xr:uid="{00000000-0004-0000-0000-000014000000}"/>
    <hyperlink ref="C12" location="PenEdSup_A!A1" display="Pensioner Education Sup_A" xr:uid="{00000000-0004-0000-0000-000015000000}"/>
    <hyperlink ref="B13" location="SSDepIncLimit!A1" display="SS Dependency Income Limit" xr:uid="{00000000-0004-0000-0000-000016000000}"/>
    <hyperlink ref="B14" location="PharmA!A1" display="Pharm Allowance" xr:uid="{00000000-0004-0000-0000-000017000000}"/>
    <hyperlink ref="B15" location="TelephoneUtility!A1" display="Telephone &amp; Utitlity" xr:uid="{00000000-0004-0000-0000-000018000000}"/>
    <hyperlink ref="B16" location="SeniorSup!A1" display="Senior Supplement" xr:uid="{00000000-0004-0000-0000-000019000000}"/>
    <hyperlink ref="B17" location="RentA!A1" display="Rent Assistance" xr:uid="{00000000-0004-0000-0000-00001A000000}"/>
    <hyperlink ref="B18" location="LIS!A1" display="Low income supplements" xr:uid="{00000000-0004-0000-0000-00001B000000}"/>
    <hyperlink ref="B19" location="IncomeSupportBonus!A1" display="IncomeSupportBonus" xr:uid="{00000000-0004-0000-0000-00001C000000}"/>
    <hyperlink ref="C13" location="SSDepIncLimit_A!A1" display="SS Dependency Income Limit_A" xr:uid="{00000000-0004-0000-0000-00001D000000}"/>
    <hyperlink ref="C14" location="PharmA_A!A1" display="Pharm Allowance_A" xr:uid="{00000000-0004-0000-0000-00001E000000}"/>
    <hyperlink ref="C15" location="TelephoneUtility_A!A1" display="Telephone &amp; Utility_A" xr:uid="{00000000-0004-0000-0000-00001F000000}"/>
    <hyperlink ref="C16" location="SeniorSup_A!A1" display="Senior Supplement_A" xr:uid="{00000000-0004-0000-0000-000020000000}"/>
    <hyperlink ref="C17" location="RentA_A!A1" display="Rent Assistance_A" xr:uid="{00000000-0004-0000-0000-000021000000}"/>
    <hyperlink ref="C18" location="LIS_A!A1" display="Low income supplements_A" xr:uid="{00000000-0004-0000-0000-000022000000}"/>
    <hyperlink ref="C19" location="IncomeSupportBonus_A!A1" display="IncomeSupportBonus_A" xr:uid="{00000000-0004-0000-0000-000023000000}"/>
    <hyperlink ref="B20" location="Childcare!A1" display="Childcare" xr:uid="{00000000-0004-0000-0000-000024000000}"/>
    <hyperlink ref="B21" location="FTBA!A1" display="FTB-A" xr:uid="{00000000-0004-0000-0000-000025000000}"/>
    <hyperlink ref="B22" location="FTBB!A1" display="FTB-B" xr:uid="{00000000-0004-0000-0000-000026000000}"/>
    <hyperlink ref="B23" location="BabyBonus!A1" display="Baby Bonus" xr:uid="{00000000-0004-0000-0000-000027000000}"/>
    <hyperlink ref="B24" location="SchoolKidsBonus!A1" display="SchoolKidsBonus" xr:uid="{00000000-0004-0000-0000-000028000000}"/>
    <hyperlink ref="B25" location="SIFS!A1" display="SIFS" xr:uid="{00000000-0004-0000-0000-000029000000}"/>
    <hyperlink ref="C20" location="Childcare_A!A1" display="Childcare_A" xr:uid="{00000000-0004-0000-0000-00002A000000}"/>
    <hyperlink ref="C21" location="FTBA_A!A1" display="FTB-A_A" xr:uid="{00000000-0004-0000-0000-00002B000000}"/>
    <hyperlink ref="C22" location="FTBB_A!A1" display="FTB-B_A" xr:uid="{00000000-0004-0000-0000-00002C000000}"/>
    <hyperlink ref="C23" location="BabyBonus_A!A1" display="Baby Bonus_A" xr:uid="{00000000-0004-0000-0000-00002D000000}"/>
    <hyperlink ref="C24" location="SchoolKidsBonus_A!A1" display="SchoolKidsBonus_A" xr:uid="{00000000-0004-0000-0000-00002E000000}"/>
    <hyperlink ref="C25" location="SIFS_A!A1" display="SIFS_A" xr:uid="{00000000-0004-0000-0000-00002F000000}"/>
    <hyperlink ref="C26" location="TaxSchedule!A1" display="TaxSchedule" xr:uid="{00000000-0004-0000-0000-000030000000}"/>
    <hyperlink ref="C27" location="MedicareAndLevies!A1" display="Medicare" xr:uid="{00000000-0004-0000-0000-000031000000}"/>
    <hyperlink ref="C28" location="RebatesOffsets!A1" display="RebatesOffsets" xr:uid="{00000000-0004-0000-0000-000032000000}"/>
  </hyperlinks>
  <pageMargins left="0.7" right="0.7" top="0.75" bottom="0.75" header="0.3" footer="0.3"/>
  <legacy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2">
    <tabColor rgb="FF00B050"/>
  </sheetPr>
  <dimension ref="A1:Z127"/>
  <sheetViews>
    <sheetView topLeftCell="A4" zoomScale="85" zoomScaleNormal="85" workbookViewId="0">
      <pane xSplit="1" ySplit="4" topLeftCell="B93" activePane="bottomRight" state="frozen"/>
      <selection activeCell="A4" sqref="A4"/>
      <selection pane="topRight" activeCell="B4" sqref="B4"/>
      <selection pane="bottomLeft" activeCell="A8" sqref="A8"/>
      <selection pane="bottomRight" activeCell="I119" sqref="I119"/>
    </sheetView>
  </sheetViews>
  <sheetFormatPr defaultRowHeight="15" x14ac:dyDescent="0.25"/>
  <cols>
    <col min="1" max="5" width="18.140625" style="28" customWidth="1"/>
    <col min="6" max="6" width="17" style="28" customWidth="1"/>
    <col min="7" max="7" width="17.7109375" style="28" customWidth="1"/>
    <col min="8" max="8" width="10.85546875" style="28" customWidth="1"/>
    <col min="9" max="9" width="11.5703125" style="28" bestFit="1" customWidth="1"/>
    <col min="10" max="15" width="9.140625" style="28"/>
    <col min="16" max="16" width="9.140625" style="16"/>
    <col min="17" max="16384" width="9.140625" style="28"/>
  </cols>
  <sheetData>
    <row r="1" spans="1:16" s="502" customFormat="1" hidden="1" x14ac:dyDescent="0.25">
      <c r="P1" s="16"/>
    </row>
    <row r="2" spans="1:16" s="502" customFormat="1" hidden="1" x14ac:dyDescent="0.25">
      <c r="P2" s="16"/>
    </row>
    <row r="3" spans="1:16" s="502" customFormat="1" ht="15.75" hidden="1" thickBot="1" x14ac:dyDescent="0.3">
      <c r="P3" s="16"/>
    </row>
    <row r="4" spans="1:16" ht="30" customHeight="1" thickBot="1" x14ac:dyDescent="0.3">
      <c r="A4" s="1143" t="s">
        <v>0</v>
      </c>
      <c r="B4" s="1146" t="s">
        <v>328</v>
      </c>
      <c r="C4" s="1147"/>
      <c r="D4" s="1146" t="s">
        <v>330</v>
      </c>
      <c r="E4" s="1148"/>
      <c r="F4" s="1146" t="s">
        <v>326</v>
      </c>
      <c r="G4" s="1147"/>
      <c r="P4" s="28"/>
    </row>
    <row r="5" spans="1:16" ht="35.1" customHeight="1" x14ac:dyDescent="0.25">
      <c r="A5" s="1144"/>
      <c r="B5" s="46" t="s">
        <v>1</v>
      </c>
      <c r="C5" s="480" t="s">
        <v>329</v>
      </c>
      <c r="D5" s="354" t="s">
        <v>1</v>
      </c>
      <c r="E5" s="480" t="s">
        <v>329</v>
      </c>
      <c r="F5" s="46" t="s">
        <v>1</v>
      </c>
      <c r="G5" s="47" t="s">
        <v>7</v>
      </c>
      <c r="P5" s="28"/>
    </row>
    <row r="6" spans="1:16" s="502" customFormat="1" ht="35.1" customHeight="1" thickBot="1" x14ac:dyDescent="0.3">
      <c r="A6" s="1145"/>
      <c r="B6" s="603" t="s">
        <v>343</v>
      </c>
      <c r="C6" s="604">
        <v>2.5000000000000001E-2</v>
      </c>
      <c r="D6" s="603" t="s">
        <v>343</v>
      </c>
      <c r="E6" s="604">
        <v>2.5000000000000001E-2</v>
      </c>
      <c r="F6" s="603" t="s">
        <v>343</v>
      </c>
      <c r="G6" s="604">
        <v>2.5000000000000001E-2</v>
      </c>
    </row>
    <row r="7" spans="1:16" ht="18" customHeight="1" thickBot="1" x14ac:dyDescent="0.3">
      <c r="A7" s="41" t="s">
        <v>550</v>
      </c>
      <c r="B7" s="997" t="s">
        <v>193</v>
      </c>
      <c r="C7" s="998" t="s">
        <v>194</v>
      </c>
      <c r="D7" s="997" t="s">
        <v>442</v>
      </c>
      <c r="E7" s="998" t="s">
        <v>331</v>
      </c>
      <c r="F7" s="357" t="s">
        <v>332</v>
      </c>
      <c r="G7" s="245" t="s">
        <v>333</v>
      </c>
      <c r="P7" s="28"/>
    </row>
    <row r="8" spans="1:16" ht="18" customHeight="1" x14ac:dyDescent="0.25">
      <c r="A8" s="341">
        <v>33482</v>
      </c>
      <c r="B8" s="500">
        <v>59.3</v>
      </c>
      <c r="C8" s="50"/>
      <c r="D8" s="499">
        <v>59.3</v>
      </c>
      <c r="E8" s="355"/>
      <c r="F8" s="286">
        <v>106.6</v>
      </c>
      <c r="G8" s="52"/>
      <c r="P8" s="28"/>
    </row>
    <row r="9" spans="1:16" ht="18" customHeight="1" x14ac:dyDescent="0.25">
      <c r="A9" s="342">
        <v>33573</v>
      </c>
      <c r="B9" s="500">
        <v>59.9</v>
      </c>
      <c r="C9" s="50">
        <f t="shared" ref="C9:C72" si="0">B9/B8-1</f>
        <v>1.0118043844856706E-2</v>
      </c>
      <c r="D9" s="500">
        <v>59.9</v>
      </c>
      <c r="E9" s="355">
        <f t="shared" ref="E9:E72" si="1">D9/D8-1</f>
        <v>1.0118043844856706E-2</v>
      </c>
      <c r="F9" s="269">
        <v>107.6</v>
      </c>
      <c r="G9" s="50">
        <f t="shared" ref="G9:G72" si="2">F9/F8-1</f>
        <v>9.3808630393996673E-3</v>
      </c>
      <c r="J9" s="697"/>
      <c r="P9" s="28"/>
    </row>
    <row r="10" spans="1:16" ht="18" customHeight="1" x14ac:dyDescent="0.25">
      <c r="A10" s="342">
        <v>33664</v>
      </c>
      <c r="B10" s="500">
        <v>59.9</v>
      </c>
      <c r="C10" s="50">
        <f t="shared" si="0"/>
        <v>0</v>
      </c>
      <c r="D10" s="500">
        <v>59.9</v>
      </c>
      <c r="E10" s="355">
        <f t="shared" si="1"/>
        <v>0</v>
      </c>
      <c r="F10" s="269">
        <v>107.6</v>
      </c>
      <c r="G10" s="50">
        <f t="shared" si="2"/>
        <v>0</v>
      </c>
      <c r="J10" s="697"/>
      <c r="P10" s="28"/>
    </row>
    <row r="11" spans="1:16" ht="18" customHeight="1" thickBot="1" x14ac:dyDescent="0.3">
      <c r="A11" s="343">
        <v>33756</v>
      </c>
      <c r="B11" s="501">
        <v>59.7</v>
      </c>
      <c r="C11" s="51">
        <f t="shared" si="0"/>
        <v>-3.3388981636058856E-3</v>
      </c>
      <c r="D11" s="501">
        <v>59.7</v>
      </c>
      <c r="E11" s="356">
        <f t="shared" si="1"/>
        <v>-3.3388981636058856E-3</v>
      </c>
      <c r="F11" s="285">
        <v>107.3</v>
      </c>
      <c r="G11" s="51">
        <f t="shared" si="2"/>
        <v>-2.7881040892192566E-3</v>
      </c>
      <c r="J11" s="697"/>
      <c r="P11" s="28"/>
    </row>
    <row r="12" spans="1:16" ht="18" customHeight="1" x14ac:dyDescent="0.25">
      <c r="A12" s="341">
        <v>33848</v>
      </c>
      <c r="B12" s="500">
        <v>59.8</v>
      </c>
      <c r="C12" s="52">
        <f t="shared" si="0"/>
        <v>1.6750418760467234E-3</v>
      </c>
      <c r="D12" s="500">
        <v>59.8</v>
      </c>
      <c r="E12" s="52">
        <f t="shared" si="1"/>
        <v>1.6750418760467234E-3</v>
      </c>
      <c r="F12" s="286">
        <v>107.4</v>
      </c>
      <c r="G12" s="52">
        <f t="shared" si="2"/>
        <v>9.3196644920801042E-4</v>
      </c>
      <c r="J12" s="697"/>
      <c r="P12" s="28"/>
    </row>
    <row r="13" spans="1:16" ht="18" customHeight="1" x14ac:dyDescent="0.25">
      <c r="A13" s="342">
        <v>33939</v>
      </c>
      <c r="B13" s="500">
        <v>60.1</v>
      </c>
      <c r="C13" s="50">
        <f t="shared" si="0"/>
        <v>5.0167224080268635E-3</v>
      </c>
      <c r="D13" s="500">
        <v>60.1</v>
      </c>
      <c r="E13" s="50">
        <f t="shared" si="1"/>
        <v>5.0167224080268635E-3</v>
      </c>
      <c r="F13" s="269">
        <v>107.9</v>
      </c>
      <c r="G13" s="50">
        <f t="shared" si="2"/>
        <v>4.6554934823090921E-3</v>
      </c>
      <c r="J13" s="697"/>
      <c r="P13" s="28"/>
    </row>
    <row r="14" spans="1:16" ht="18" customHeight="1" x14ac:dyDescent="0.25">
      <c r="A14" s="342">
        <v>34029</v>
      </c>
      <c r="B14" s="500">
        <v>60.6</v>
      </c>
      <c r="C14" s="50">
        <f t="shared" si="0"/>
        <v>8.3194675540765317E-3</v>
      </c>
      <c r="D14" s="500">
        <v>60.6</v>
      </c>
      <c r="E14" s="50">
        <f t="shared" si="1"/>
        <v>8.3194675540765317E-3</v>
      </c>
      <c r="F14" s="269">
        <v>108.9</v>
      </c>
      <c r="G14" s="50">
        <f t="shared" si="2"/>
        <v>9.2678405931418961E-3</v>
      </c>
      <c r="J14" s="697"/>
      <c r="P14" s="28"/>
    </row>
    <row r="15" spans="1:16" ht="18" customHeight="1" thickBot="1" x14ac:dyDescent="0.3">
      <c r="A15" s="343">
        <v>34121</v>
      </c>
      <c r="B15" s="501">
        <v>60.8</v>
      </c>
      <c r="C15" s="51">
        <f t="shared" si="0"/>
        <v>3.3003300330032292E-3</v>
      </c>
      <c r="D15" s="501">
        <v>60.8</v>
      </c>
      <c r="E15" s="51">
        <f t="shared" si="1"/>
        <v>3.3003300330032292E-3</v>
      </c>
      <c r="F15" s="285">
        <v>109.3</v>
      </c>
      <c r="G15" s="51">
        <f t="shared" si="2"/>
        <v>3.6730945821854544E-3</v>
      </c>
      <c r="J15" s="697"/>
      <c r="P15" s="28"/>
    </row>
    <row r="16" spans="1:16" ht="18" customHeight="1" x14ac:dyDescent="0.25">
      <c r="A16" s="341">
        <v>34213</v>
      </c>
      <c r="B16" s="500">
        <v>61.1</v>
      </c>
      <c r="C16" s="52">
        <f t="shared" si="0"/>
        <v>4.9342105263159297E-3</v>
      </c>
      <c r="D16" s="500">
        <v>61.1</v>
      </c>
      <c r="E16" s="52">
        <f t="shared" si="1"/>
        <v>4.9342105263159297E-3</v>
      </c>
      <c r="F16" s="286">
        <v>109.8</v>
      </c>
      <c r="G16" s="52">
        <f t="shared" si="2"/>
        <v>4.5745654162854255E-3</v>
      </c>
      <c r="J16" s="697"/>
      <c r="P16" s="28"/>
    </row>
    <row r="17" spans="1:16" ht="18" customHeight="1" x14ac:dyDescent="0.25">
      <c r="A17" s="342">
        <v>34304</v>
      </c>
      <c r="B17" s="500">
        <v>61.2</v>
      </c>
      <c r="C17" s="50">
        <f t="shared" si="0"/>
        <v>1.6366612111293755E-3</v>
      </c>
      <c r="D17" s="500">
        <v>61.2</v>
      </c>
      <c r="E17" s="50">
        <f t="shared" si="1"/>
        <v>1.6366612111293755E-3</v>
      </c>
      <c r="F17" s="269">
        <v>110</v>
      </c>
      <c r="G17" s="50">
        <f t="shared" si="2"/>
        <v>1.8214936247722413E-3</v>
      </c>
      <c r="J17" s="697"/>
      <c r="P17" s="28"/>
    </row>
    <row r="18" spans="1:16" ht="18" customHeight="1" x14ac:dyDescent="0.25">
      <c r="A18" s="342">
        <v>34394</v>
      </c>
      <c r="B18" s="500">
        <v>61.5</v>
      </c>
      <c r="C18" s="50">
        <f t="shared" si="0"/>
        <v>4.9019607843137081E-3</v>
      </c>
      <c r="D18" s="500">
        <v>61.5</v>
      </c>
      <c r="E18" s="50">
        <f t="shared" si="1"/>
        <v>4.9019607843137081E-3</v>
      </c>
      <c r="F18" s="269">
        <v>110.4</v>
      </c>
      <c r="G18" s="50">
        <f t="shared" si="2"/>
        <v>3.6363636363636598E-3</v>
      </c>
      <c r="J18" s="697"/>
      <c r="P18" s="28"/>
    </row>
    <row r="19" spans="1:16" ht="18" customHeight="1" thickBot="1" x14ac:dyDescent="0.3">
      <c r="A19" s="343">
        <v>34486</v>
      </c>
      <c r="B19" s="501">
        <v>61.9</v>
      </c>
      <c r="C19" s="51">
        <f t="shared" si="0"/>
        <v>6.5040650406504863E-3</v>
      </c>
      <c r="D19" s="501">
        <v>61.9</v>
      </c>
      <c r="E19" s="51">
        <f t="shared" si="1"/>
        <v>6.5040650406504863E-3</v>
      </c>
      <c r="F19" s="285">
        <v>111.2</v>
      </c>
      <c r="G19" s="51">
        <f t="shared" si="2"/>
        <v>7.2463768115942351E-3</v>
      </c>
      <c r="J19" s="697"/>
      <c r="P19" s="28"/>
    </row>
    <row r="20" spans="1:16" ht="18" customHeight="1" x14ac:dyDescent="0.25">
      <c r="A20" s="341">
        <v>34578</v>
      </c>
      <c r="B20" s="500">
        <v>62.3</v>
      </c>
      <c r="C20" s="52">
        <f t="shared" si="0"/>
        <v>6.4620355411955099E-3</v>
      </c>
      <c r="D20" s="500">
        <v>62.3</v>
      </c>
      <c r="E20" s="52">
        <f t="shared" si="1"/>
        <v>6.4620355411955099E-3</v>
      </c>
      <c r="F20" s="286">
        <v>111.9</v>
      </c>
      <c r="G20" s="52">
        <f t="shared" si="2"/>
        <v>6.2949640287770503E-3</v>
      </c>
      <c r="J20" s="697"/>
      <c r="P20" s="28"/>
    </row>
    <row r="21" spans="1:16" ht="18" customHeight="1" x14ac:dyDescent="0.25">
      <c r="A21" s="342">
        <v>34669</v>
      </c>
      <c r="B21" s="500">
        <v>62.8</v>
      </c>
      <c r="C21" s="50">
        <f t="shared" si="0"/>
        <v>8.0256821829856051E-3</v>
      </c>
      <c r="D21" s="500">
        <v>62.8</v>
      </c>
      <c r="E21" s="50">
        <f t="shared" si="1"/>
        <v>8.0256821829856051E-3</v>
      </c>
      <c r="F21" s="269">
        <v>112.8</v>
      </c>
      <c r="G21" s="50">
        <f t="shared" si="2"/>
        <v>8.0428954423592547E-3</v>
      </c>
      <c r="J21" s="697"/>
      <c r="P21" s="28"/>
    </row>
    <row r="22" spans="1:16" ht="18" customHeight="1" x14ac:dyDescent="0.25">
      <c r="A22" s="342">
        <v>34759</v>
      </c>
      <c r="B22" s="500">
        <v>63.8</v>
      </c>
      <c r="C22" s="50">
        <f t="shared" si="0"/>
        <v>1.5923566878980999E-2</v>
      </c>
      <c r="D22" s="500">
        <v>63.8</v>
      </c>
      <c r="E22" s="50">
        <f t="shared" si="1"/>
        <v>1.5923566878980999E-2</v>
      </c>
      <c r="F22" s="269">
        <v>114.7</v>
      </c>
      <c r="G22" s="50">
        <f t="shared" si="2"/>
        <v>1.6843971631205656E-2</v>
      </c>
      <c r="J22" s="697"/>
      <c r="P22" s="28"/>
    </row>
    <row r="23" spans="1:16" ht="18" customHeight="1" thickBot="1" x14ac:dyDescent="0.3">
      <c r="A23" s="343">
        <v>34851</v>
      </c>
      <c r="B23" s="501">
        <v>64.7</v>
      </c>
      <c r="C23" s="51">
        <f t="shared" si="0"/>
        <v>1.4106583072100332E-2</v>
      </c>
      <c r="D23" s="501">
        <v>64.7</v>
      </c>
      <c r="E23" s="51">
        <f t="shared" si="1"/>
        <v>1.4106583072100332E-2</v>
      </c>
      <c r="F23" s="285">
        <v>116.2</v>
      </c>
      <c r="G23" s="51">
        <f t="shared" si="2"/>
        <v>1.3077593722754965E-2</v>
      </c>
      <c r="J23" s="697"/>
      <c r="P23" s="28"/>
    </row>
    <row r="24" spans="1:16" ht="18" customHeight="1" x14ac:dyDescent="0.25">
      <c r="A24" s="341">
        <v>34943</v>
      </c>
      <c r="B24" s="500">
        <v>65.5</v>
      </c>
      <c r="C24" s="52">
        <f t="shared" si="0"/>
        <v>1.2364760432766575E-2</v>
      </c>
      <c r="D24" s="500">
        <v>65.5</v>
      </c>
      <c r="E24" s="52">
        <f t="shared" si="1"/>
        <v>1.2364760432766575E-2</v>
      </c>
      <c r="F24" s="286">
        <v>117.6</v>
      </c>
      <c r="G24" s="52">
        <f t="shared" si="2"/>
        <v>1.2048192771084265E-2</v>
      </c>
      <c r="J24" s="697"/>
      <c r="P24" s="28"/>
    </row>
    <row r="25" spans="1:16" ht="18" customHeight="1" x14ac:dyDescent="0.25">
      <c r="A25" s="342">
        <v>35034</v>
      </c>
      <c r="B25" s="500">
        <v>66</v>
      </c>
      <c r="C25" s="50">
        <f t="shared" si="0"/>
        <v>7.6335877862594437E-3</v>
      </c>
      <c r="D25" s="500">
        <v>66</v>
      </c>
      <c r="E25" s="50">
        <f t="shared" si="1"/>
        <v>7.6335877862594437E-3</v>
      </c>
      <c r="F25" s="269">
        <v>118.5</v>
      </c>
      <c r="G25" s="50">
        <f t="shared" si="2"/>
        <v>7.6530612244898322E-3</v>
      </c>
      <c r="J25" s="697"/>
      <c r="P25" s="28"/>
    </row>
    <row r="26" spans="1:16" ht="18" customHeight="1" x14ac:dyDescent="0.25">
      <c r="A26" s="342">
        <v>35125</v>
      </c>
      <c r="B26" s="500">
        <v>66.2</v>
      </c>
      <c r="C26" s="50">
        <f t="shared" si="0"/>
        <v>3.0303030303031608E-3</v>
      </c>
      <c r="D26" s="500">
        <v>66.2</v>
      </c>
      <c r="E26" s="50">
        <f t="shared" si="1"/>
        <v>3.0303030303031608E-3</v>
      </c>
      <c r="F26" s="269">
        <v>119</v>
      </c>
      <c r="G26" s="50">
        <f t="shared" si="2"/>
        <v>4.2194092827003704E-3</v>
      </c>
      <c r="J26" s="697"/>
      <c r="P26" s="28"/>
    </row>
    <row r="27" spans="1:16" ht="18" customHeight="1" thickBot="1" x14ac:dyDescent="0.3">
      <c r="A27" s="343">
        <v>35217</v>
      </c>
      <c r="B27" s="501">
        <v>66.7</v>
      </c>
      <c r="C27" s="51">
        <f t="shared" si="0"/>
        <v>7.5528700906344337E-3</v>
      </c>
      <c r="D27" s="501">
        <v>66.7</v>
      </c>
      <c r="E27" s="51">
        <f t="shared" si="1"/>
        <v>7.5528700906344337E-3</v>
      </c>
      <c r="F27" s="285">
        <v>119.8</v>
      </c>
      <c r="G27" s="51">
        <f t="shared" si="2"/>
        <v>6.7226890756302282E-3</v>
      </c>
      <c r="J27" s="697"/>
      <c r="P27" s="28"/>
    </row>
    <row r="28" spans="1:16" ht="18" customHeight="1" x14ac:dyDescent="0.25">
      <c r="A28" s="341">
        <v>35309</v>
      </c>
      <c r="B28" s="500">
        <v>66.900000000000006</v>
      </c>
      <c r="C28" s="52">
        <f t="shared" si="0"/>
        <v>2.9985007496251548E-3</v>
      </c>
      <c r="D28" s="500">
        <v>66.900000000000006</v>
      </c>
      <c r="E28" s="52">
        <f t="shared" si="1"/>
        <v>2.9985007496251548E-3</v>
      </c>
      <c r="F28" s="286">
        <v>120.1</v>
      </c>
      <c r="G28" s="52">
        <f t="shared" si="2"/>
        <v>2.5041736227044975E-3</v>
      </c>
      <c r="J28" s="697"/>
      <c r="P28" s="28"/>
    </row>
    <row r="29" spans="1:16" ht="18" customHeight="1" x14ac:dyDescent="0.25">
      <c r="A29" s="342">
        <v>35400</v>
      </c>
      <c r="B29" s="500">
        <v>67</v>
      </c>
      <c r="C29" s="50">
        <f t="shared" si="0"/>
        <v>1.494768310911665E-3</v>
      </c>
      <c r="D29" s="500">
        <v>67</v>
      </c>
      <c r="E29" s="50">
        <f t="shared" si="1"/>
        <v>1.494768310911665E-3</v>
      </c>
      <c r="F29" s="269">
        <v>120.3</v>
      </c>
      <c r="G29" s="50">
        <f t="shared" si="2"/>
        <v>1.6652789342215257E-3</v>
      </c>
      <c r="J29" s="697"/>
      <c r="P29" s="28"/>
    </row>
    <row r="30" spans="1:16" ht="18" customHeight="1" x14ac:dyDescent="0.25">
      <c r="A30" s="342">
        <v>35490</v>
      </c>
      <c r="B30" s="500">
        <v>67.099999999999994</v>
      </c>
      <c r="C30" s="50">
        <f t="shared" si="0"/>
        <v>1.4925373134326847E-3</v>
      </c>
      <c r="D30" s="500">
        <v>67.099999999999994</v>
      </c>
      <c r="E30" s="50">
        <f t="shared" si="1"/>
        <v>1.4925373134326847E-3</v>
      </c>
      <c r="F30" s="269">
        <v>120.5</v>
      </c>
      <c r="G30" s="50">
        <f t="shared" si="2"/>
        <v>1.6625103906899863E-3</v>
      </c>
      <c r="J30" s="697"/>
      <c r="P30" s="28"/>
    </row>
    <row r="31" spans="1:16" ht="18" customHeight="1" thickBot="1" x14ac:dyDescent="0.3">
      <c r="A31" s="343">
        <v>35582</v>
      </c>
      <c r="B31" s="501">
        <v>66.900000000000006</v>
      </c>
      <c r="C31" s="51">
        <f t="shared" si="0"/>
        <v>-2.9806259314454353E-3</v>
      </c>
      <c r="D31" s="501">
        <v>66.900000000000006</v>
      </c>
      <c r="E31" s="51">
        <f t="shared" si="1"/>
        <v>-2.9806259314454353E-3</v>
      </c>
      <c r="F31" s="285">
        <v>120.2</v>
      </c>
      <c r="G31" s="51">
        <f t="shared" si="2"/>
        <v>-2.4896265560165887E-3</v>
      </c>
      <c r="J31" s="697"/>
      <c r="P31" s="28"/>
    </row>
    <row r="32" spans="1:16" ht="18" customHeight="1" x14ac:dyDescent="0.25">
      <c r="A32" s="341">
        <v>35674</v>
      </c>
      <c r="B32" s="500">
        <v>66.599999999999994</v>
      </c>
      <c r="C32" s="52">
        <f t="shared" si="0"/>
        <v>-4.48430493273555E-3</v>
      </c>
      <c r="D32" s="500">
        <v>66.599999999999994</v>
      </c>
      <c r="E32" s="52">
        <f t="shared" si="1"/>
        <v>-4.48430493273555E-3</v>
      </c>
      <c r="F32" s="286">
        <v>119.7</v>
      </c>
      <c r="G32" s="52">
        <f t="shared" si="2"/>
        <v>-4.1597337770382659E-3</v>
      </c>
      <c r="J32" s="697"/>
      <c r="P32" s="28"/>
    </row>
    <row r="33" spans="1:16" ht="18" customHeight="1" x14ac:dyDescent="0.25">
      <c r="A33" s="342">
        <v>35765</v>
      </c>
      <c r="B33" s="500">
        <v>66.8</v>
      </c>
      <c r="C33" s="50">
        <f t="shared" si="0"/>
        <v>3.0030030030030463E-3</v>
      </c>
      <c r="D33" s="500">
        <v>66.8</v>
      </c>
      <c r="E33" s="50">
        <f t="shared" si="1"/>
        <v>3.0030030030030463E-3</v>
      </c>
      <c r="F33" s="269">
        <v>120</v>
      </c>
      <c r="G33" s="50">
        <f t="shared" si="2"/>
        <v>2.5062656641603454E-3</v>
      </c>
      <c r="J33" s="697"/>
      <c r="P33" s="28"/>
    </row>
    <row r="34" spans="1:16" ht="18" customHeight="1" x14ac:dyDescent="0.25">
      <c r="A34" s="342">
        <v>35855</v>
      </c>
      <c r="B34" s="500">
        <v>67</v>
      </c>
      <c r="C34" s="50">
        <f t="shared" si="0"/>
        <v>2.9940119760478723E-3</v>
      </c>
      <c r="D34" s="500">
        <v>67</v>
      </c>
      <c r="E34" s="50">
        <f t="shared" si="1"/>
        <v>2.9940119760478723E-3</v>
      </c>
      <c r="F34" s="269">
        <v>120.3</v>
      </c>
      <c r="G34" s="50">
        <f t="shared" si="2"/>
        <v>2.4999999999999467E-3</v>
      </c>
      <c r="J34" s="697"/>
      <c r="P34" s="28"/>
    </row>
    <row r="35" spans="1:16" ht="18" customHeight="1" thickBot="1" x14ac:dyDescent="0.3">
      <c r="A35" s="343">
        <v>35947</v>
      </c>
      <c r="B35" s="501">
        <v>67.400000000000006</v>
      </c>
      <c r="C35" s="51">
        <f t="shared" si="0"/>
        <v>5.9701492537314049E-3</v>
      </c>
      <c r="D35" s="501">
        <v>67.400000000000006</v>
      </c>
      <c r="E35" s="51">
        <f t="shared" si="1"/>
        <v>5.9701492537314049E-3</v>
      </c>
      <c r="F35" s="285">
        <v>121</v>
      </c>
      <c r="G35" s="51">
        <f t="shared" si="2"/>
        <v>5.818786367414841E-3</v>
      </c>
      <c r="J35" s="697"/>
      <c r="P35" s="28"/>
    </row>
    <row r="36" spans="1:16" ht="18" customHeight="1" x14ac:dyDescent="0.25">
      <c r="A36" s="341">
        <v>36039</v>
      </c>
      <c r="B36" s="500">
        <v>67.5</v>
      </c>
      <c r="C36" s="52">
        <f t="shared" si="0"/>
        <v>1.4836795252224366E-3</v>
      </c>
      <c r="D36" s="500">
        <v>67.5</v>
      </c>
      <c r="E36" s="52">
        <f t="shared" si="1"/>
        <v>1.4836795252224366E-3</v>
      </c>
      <c r="F36" s="286">
        <v>121.3</v>
      </c>
      <c r="G36" s="52">
        <f t="shared" si="2"/>
        <v>2.4793388429751317E-3</v>
      </c>
      <c r="J36" s="697"/>
      <c r="P36" s="28"/>
    </row>
    <row r="37" spans="1:16" ht="18" customHeight="1" x14ac:dyDescent="0.25">
      <c r="A37" s="342">
        <v>36130</v>
      </c>
      <c r="B37" s="500">
        <v>67.8</v>
      </c>
      <c r="C37" s="50">
        <f t="shared" si="0"/>
        <v>4.4444444444444731E-3</v>
      </c>
      <c r="D37" s="500">
        <v>67.8</v>
      </c>
      <c r="E37" s="50">
        <f t="shared" si="1"/>
        <v>4.4444444444444731E-3</v>
      </c>
      <c r="F37" s="269">
        <v>121.9</v>
      </c>
      <c r="G37" s="50">
        <f t="shared" si="2"/>
        <v>4.9464138499588639E-3</v>
      </c>
      <c r="J37" s="697"/>
      <c r="P37" s="28"/>
    </row>
    <row r="38" spans="1:16" ht="18" customHeight="1" x14ac:dyDescent="0.25">
      <c r="A38" s="342">
        <v>36220</v>
      </c>
      <c r="B38" s="500">
        <v>67.8</v>
      </c>
      <c r="C38" s="50">
        <f t="shared" si="0"/>
        <v>0</v>
      </c>
      <c r="D38" s="500">
        <v>67.8</v>
      </c>
      <c r="E38" s="50">
        <f t="shared" si="1"/>
        <v>0</v>
      </c>
      <c r="F38" s="269">
        <v>121.8</v>
      </c>
      <c r="G38" s="50">
        <f t="shared" si="2"/>
        <v>-8.2034454470880647E-4</v>
      </c>
      <c r="J38" s="697"/>
      <c r="P38" s="28"/>
    </row>
    <row r="39" spans="1:16" ht="18" customHeight="1" thickBot="1" x14ac:dyDescent="0.3">
      <c r="A39" s="342">
        <v>36312</v>
      </c>
      <c r="B39" s="501">
        <v>68.099999999999994</v>
      </c>
      <c r="C39" s="50">
        <f t="shared" si="0"/>
        <v>4.4247787610618428E-3</v>
      </c>
      <c r="D39" s="501">
        <v>68.099999999999994</v>
      </c>
      <c r="E39" s="50">
        <f t="shared" si="1"/>
        <v>4.4247787610618428E-3</v>
      </c>
      <c r="F39" s="285">
        <v>122.3</v>
      </c>
      <c r="G39" s="51">
        <f t="shared" si="2"/>
        <v>4.1050903119868032E-3</v>
      </c>
      <c r="J39" s="697"/>
      <c r="P39" s="28"/>
    </row>
    <row r="40" spans="1:16" ht="18" customHeight="1" x14ac:dyDescent="0.25">
      <c r="A40" s="344">
        <v>36404</v>
      </c>
      <c r="B40" s="500">
        <v>68.7</v>
      </c>
      <c r="C40" s="52">
        <f t="shared" si="0"/>
        <v>8.8105726872247381E-3</v>
      </c>
      <c r="D40" s="500">
        <v>68.7</v>
      </c>
      <c r="E40" s="52">
        <f t="shared" si="1"/>
        <v>8.8105726872247381E-3</v>
      </c>
      <c r="F40" s="286">
        <v>123.4</v>
      </c>
      <c r="G40" s="52">
        <f t="shared" si="2"/>
        <v>8.9942763695831651E-3</v>
      </c>
      <c r="J40" s="697"/>
      <c r="P40" s="28"/>
    </row>
    <row r="41" spans="1:16" ht="18" customHeight="1" x14ac:dyDescent="0.25">
      <c r="A41" s="345">
        <v>36495</v>
      </c>
      <c r="B41" s="500">
        <v>69.099999999999994</v>
      </c>
      <c r="C41" s="50">
        <f t="shared" si="0"/>
        <v>5.8224163027655873E-3</v>
      </c>
      <c r="D41" s="500">
        <v>69.099999999999994</v>
      </c>
      <c r="E41" s="50">
        <f t="shared" si="1"/>
        <v>5.8224163027655873E-3</v>
      </c>
      <c r="F41" s="269">
        <v>124.1</v>
      </c>
      <c r="G41" s="50">
        <f t="shared" si="2"/>
        <v>5.6726094003241023E-3</v>
      </c>
      <c r="J41" s="697"/>
      <c r="P41" s="28"/>
    </row>
    <row r="42" spans="1:16" ht="18" customHeight="1" x14ac:dyDescent="0.25">
      <c r="A42" s="345">
        <v>36586</v>
      </c>
      <c r="B42" s="500">
        <v>69.7</v>
      </c>
      <c r="C42" s="50">
        <f t="shared" si="0"/>
        <v>8.6830680173661801E-3</v>
      </c>
      <c r="D42" s="500">
        <v>69.7</v>
      </c>
      <c r="E42" s="50">
        <f t="shared" si="1"/>
        <v>8.6830680173661801E-3</v>
      </c>
      <c r="F42" s="269">
        <v>125.2</v>
      </c>
      <c r="G42" s="50">
        <f t="shared" si="2"/>
        <v>8.8638195004029363E-3</v>
      </c>
      <c r="J42" s="697"/>
      <c r="P42" s="28"/>
    </row>
    <row r="43" spans="1:16" ht="18" customHeight="1" thickBot="1" x14ac:dyDescent="0.3">
      <c r="A43" s="346">
        <v>36678</v>
      </c>
      <c r="B43" s="501">
        <v>70.2</v>
      </c>
      <c r="C43" s="51">
        <f t="shared" si="0"/>
        <v>7.1736011477760986E-3</v>
      </c>
      <c r="D43" s="501">
        <v>70.2</v>
      </c>
      <c r="E43" s="51">
        <f t="shared" si="1"/>
        <v>7.1736011477760986E-3</v>
      </c>
      <c r="F43" s="285">
        <v>126.2</v>
      </c>
      <c r="G43" s="51">
        <f t="shared" si="2"/>
        <v>7.9872204472843933E-3</v>
      </c>
      <c r="J43" s="697"/>
      <c r="P43" s="28"/>
    </row>
    <row r="44" spans="1:16" ht="18" customHeight="1" x14ac:dyDescent="0.25">
      <c r="A44" s="342">
        <v>36770</v>
      </c>
      <c r="B44" s="500">
        <v>72.900000000000006</v>
      </c>
      <c r="C44" s="50">
        <f t="shared" si="0"/>
        <v>3.8461538461538547E-2</v>
      </c>
      <c r="D44" s="500">
        <v>72.900000000000006</v>
      </c>
      <c r="E44" s="50">
        <f t="shared" si="1"/>
        <v>3.8461538461538547E-2</v>
      </c>
      <c r="F44" s="286">
        <v>130.9</v>
      </c>
      <c r="G44" s="52">
        <f t="shared" si="2"/>
        <v>3.7242472266244109E-2</v>
      </c>
      <c r="J44" s="697"/>
      <c r="P44" s="28"/>
    </row>
    <row r="45" spans="1:16" ht="18" customHeight="1" x14ac:dyDescent="0.25">
      <c r="A45" s="342">
        <v>36861</v>
      </c>
      <c r="B45" s="500">
        <v>73.099999999999994</v>
      </c>
      <c r="C45" s="50">
        <f t="shared" si="0"/>
        <v>2.7434842249656199E-3</v>
      </c>
      <c r="D45" s="500">
        <v>73.099999999999994</v>
      </c>
      <c r="E45" s="50">
        <f t="shared" si="1"/>
        <v>2.7434842249656199E-3</v>
      </c>
      <c r="F45" s="269">
        <v>131.30000000000001</v>
      </c>
      <c r="G45" s="50">
        <f t="shared" si="2"/>
        <v>3.0557677616500634E-3</v>
      </c>
      <c r="J45" s="697"/>
      <c r="P45" s="28"/>
    </row>
    <row r="46" spans="1:16" ht="18" customHeight="1" x14ac:dyDescent="0.25">
      <c r="A46" s="342">
        <v>36951</v>
      </c>
      <c r="B46" s="500">
        <v>73.900000000000006</v>
      </c>
      <c r="C46" s="50">
        <f t="shared" si="0"/>
        <v>1.0943912448700521E-2</v>
      </c>
      <c r="D46" s="500">
        <v>73.900000000000006</v>
      </c>
      <c r="E46" s="50">
        <f t="shared" si="1"/>
        <v>1.0943912448700521E-2</v>
      </c>
      <c r="F46" s="269">
        <v>132.69999999999999</v>
      </c>
      <c r="G46" s="50">
        <f t="shared" si="2"/>
        <v>1.0662604722010416E-2</v>
      </c>
      <c r="J46" s="697"/>
      <c r="P46" s="28"/>
    </row>
    <row r="47" spans="1:16" ht="18" customHeight="1" thickBot="1" x14ac:dyDescent="0.3">
      <c r="A47" s="343">
        <v>37043</v>
      </c>
      <c r="B47" s="501">
        <v>74.5</v>
      </c>
      <c r="C47" s="51">
        <f t="shared" si="0"/>
        <v>8.1190798376182816E-3</v>
      </c>
      <c r="D47" s="501">
        <v>74.5</v>
      </c>
      <c r="E47" s="51">
        <f t="shared" si="1"/>
        <v>8.1190798376182816E-3</v>
      </c>
      <c r="F47" s="285">
        <v>133.80000000000001</v>
      </c>
      <c r="G47" s="51">
        <f t="shared" si="2"/>
        <v>8.2893745290129051E-3</v>
      </c>
      <c r="J47" s="697"/>
      <c r="P47" s="28"/>
    </row>
    <row r="48" spans="1:16" ht="18" customHeight="1" x14ac:dyDescent="0.25">
      <c r="A48" s="341">
        <v>37135</v>
      </c>
      <c r="B48" s="500">
        <v>74.7</v>
      </c>
      <c r="C48" s="52">
        <f t="shared" si="0"/>
        <v>2.6845637583892135E-3</v>
      </c>
      <c r="D48" s="500">
        <v>74.7</v>
      </c>
      <c r="E48" s="52">
        <f t="shared" si="1"/>
        <v>2.6845637583892135E-3</v>
      </c>
      <c r="F48" s="286">
        <v>134.19999999999999</v>
      </c>
      <c r="G48" s="52">
        <f t="shared" si="2"/>
        <v>2.989536621823552E-3</v>
      </c>
      <c r="J48" s="697"/>
      <c r="P48" s="28"/>
    </row>
    <row r="49" spans="1:16" ht="18" customHeight="1" x14ac:dyDescent="0.25">
      <c r="A49" s="342">
        <v>37226</v>
      </c>
      <c r="B49" s="500">
        <v>75.400000000000006</v>
      </c>
      <c r="C49" s="50">
        <f t="shared" si="0"/>
        <v>9.3708165997323789E-3</v>
      </c>
      <c r="D49" s="500">
        <v>75.400000000000006</v>
      </c>
      <c r="E49" s="50">
        <f t="shared" si="1"/>
        <v>9.3708165997323789E-3</v>
      </c>
      <c r="F49" s="269">
        <v>135.4</v>
      </c>
      <c r="G49" s="50">
        <f t="shared" si="2"/>
        <v>8.941877794336861E-3</v>
      </c>
      <c r="J49" s="697"/>
      <c r="P49" s="28"/>
    </row>
    <row r="50" spans="1:16" ht="18" customHeight="1" x14ac:dyDescent="0.25">
      <c r="A50" s="342">
        <v>37316</v>
      </c>
      <c r="B50" s="500">
        <v>76.099999999999994</v>
      </c>
      <c r="C50" s="50">
        <f t="shared" si="0"/>
        <v>9.2838196286471053E-3</v>
      </c>
      <c r="D50" s="500">
        <v>76.099999999999994</v>
      </c>
      <c r="E50" s="50">
        <f t="shared" si="1"/>
        <v>9.2838196286471053E-3</v>
      </c>
      <c r="F50" s="269">
        <v>136.6</v>
      </c>
      <c r="G50" s="50">
        <f t="shared" si="2"/>
        <v>8.8626292466764678E-3</v>
      </c>
      <c r="J50" s="697"/>
      <c r="P50" s="28"/>
    </row>
    <row r="51" spans="1:16" ht="18" customHeight="1" thickBot="1" x14ac:dyDescent="0.3">
      <c r="A51" s="343">
        <v>37408</v>
      </c>
      <c r="B51" s="501">
        <v>76.599999999999994</v>
      </c>
      <c r="C51" s="51">
        <f t="shared" si="0"/>
        <v>6.5703022339027584E-3</v>
      </c>
      <c r="D51" s="501">
        <v>76.599999999999994</v>
      </c>
      <c r="E51" s="51">
        <f t="shared" si="1"/>
        <v>6.5703022339027584E-3</v>
      </c>
      <c r="F51" s="285">
        <v>137.6</v>
      </c>
      <c r="G51" s="51">
        <f t="shared" si="2"/>
        <v>7.3206442166910968E-3</v>
      </c>
      <c r="J51" s="697"/>
      <c r="P51" s="28"/>
    </row>
    <row r="52" spans="1:16" ht="18" customHeight="1" x14ac:dyDescent="0.25">
      <c r="A52" s="341">
        <v>37500</v>
      </c>
      <c r="B52" s="500">
        <v>77.099999999999994</v>
      </c>
      <c r="C52" s="52">
        <f t="shared" si="0"/>
        <v>6.5274151436032213E-3</v>
      </c>
      <c r="D52" s="500">
        <v>77.099999999999994</v>
      </c>
      <c r="E52" s="52">
        <f t="shared" si="1"/>
        <v>6.5274151436032213E-3</v>
      </c>
      <c r="F52" s="286">
        <v>138.5</v>
      </c>
      <c r="G52" s="52">
        <f t="shared" si="2"/>
        <v>6.5406976744186718E-3</v>
      </c>
      <c r="J52" s="697"/>
      <c r="P52" s="28"/>
    </row>
    <row r="53" spans="1:16" ht="18" customHeight="1" x14ac:dyDescent="0.25">
      <c r="A53" s="342">
        <v>37591</v>
      </c>
      <c r="B53" s="500">
        <v>77.599999999999994</v>
      </c>
      <c r="C53" s="50">
        <f t="shared" si="0"/>
        <v>6.4850843060959562E-3</v>
      </c>
      <c r="D53" s="500">
        <v>77.599999999999994</v>
      </c>
      <c r="E53" s="50">
        <f t="shared" si="1"/>
        <v>6.4850843060959562E-3</v>
      </c>
      <c r="F53" s="269">
        <v>139.5</v>
      </c>
      <c r="G53" s="50">
        <f t="shared" si="2"/>
        <v>7.2202166064982976E-3</v>
      </c>
      <c r="J53" s="697"/>
      <c r="P53" s="28"/>
    </row>
    <row r="54" spans="1:16" ht="18" customHeight="1" x14ac:dyDescent="0.25">
      <c r="A54" s="342">
        <v>37681</v>
      </c>
      <c r="B54" s="500">
        <v>78.599999999999994</v>
      </c>
      <c r="C54" s="50">
        <f t="shared" si="0"/>
        <v>1.2886597938144284E-2</v>
      </c>
      <c r="D54" s="500">
        <v>78.599999999999994</v>
      </c>
      <c r="E54" s="50">
        <f t="shared" si="1"/>
        <v>1.2886597938144284E-2</v>
      </c>
      <c r="F54" s="269">
        <v>141.30000000000001</v>
      </c>
      <c r="G54" s="50">
        <f t="shared" si="2"/>
        <v>1.2903225806451646E-2</v>
      </c>
      <c r="J54" s="697"/>
      <c r="P54" s="28"/>
    </row>
    <row r="55" spans="1:16" ht="18" customHeight="1" thickBot="1" x14ac:dyDescent="0.3">
      <c r="A55" s="343">
        <v>37773</v>
      </c>
      <c r="B55" s="501">
        <v>78.599999999999994</v>
      </c>
      <c r="C55" s="51">
        <f t="shared" si="0"/>
        <v>0</v>
      </c>
      <c r="D55" s="501">
        <v>78.599999999999994</v>
      </c>
      <c r="E55" s="51">
        <f t="shared" si="1"/>
        <v>0</v>
      </c>
      <c r="F55" s="285">
        <v>141.30000000000001</v>
      </c>
      <c r="G55" s="51">
        <f t="shared" si="2"/>
        <v>0</v>
      </c>
      <c r="J55" s="697"/>
      <c r="P55" s="28"/>
    </row>
    <row r="56" spans="1:16" ht="18" customHeight="1" x14ac:dyDescent="0.25">
      <c r="A56" s="341">
        <v>37865</v>
      </c>
      <c r="B56" s="500">
        <v>79.099999999999994</v>
      </c>
      <c r="C56" s="52">
        <f t="shared" si="0"/>
        <v>6.3613231552162031E-3</v>
      </c>
      <c r="D56" s="500">
        <v>79.099999999999994</v>
      </c>
      <c r="E56" s="52">
        <f t="shared" si="1"/>
        <v>6.3613231552162031E-3</v>
      </c>
      <c r="F56" s="286">
        <v>142.1</v>
      </c>
      <c r="G56" s="52">
        <f t="shared" si="2"/>
        <v>5.6617126680820196E-3</v>
      </c>
      <c r="J56" s="697"/>
      <c r="P56" s="28"/>
    </row>
    <row r="57" spans="1:16" ht="18" customHeight="1" x14ac:dyDescent="0.25">
      <c r="A57" s="342">
        <v>37956</v>
      </c>
      <c r="B57" s="500">
        <v>79.5</v>
      </c>
      <c r="C57" s="50">
        <f t="shared" si="0"/>
        <v>5.0568900126422012E-3</v>
      </c>
      <c r="D57" s="500">
        <v>79.5</v>
      </c>
      <c r="E57" s="50">
        <f t="shared" si="1"/>
        <v>5.0568900126422012E-3</v>
      </c>
      <c r="F57" s="269">
        <v>142.80000000000001</v>
      </c>
      <c r="G57" s="50">
        <f t="shared" si="2"/>
        <v>4.9261083743843415E-3</v>
      </c>
      <c r="J57" s="697"/>
      <c r="P57" s="28"/>
    </row>
    <row r="58" spans="1:16" ht="18" customHeight="1" x14ac:dyDescent="0.25">
      <c r="A58" s="342">
        <v>38047</v>
      </c>
      <c r="B58" s="500">
        <v>80.2</v>
      </c>
      <c r="C58" s="50">
        <f t="shared" si="0"/>
        <v>8.8050314465408785E-3</v>
      </c>
      <c r="D58" s="500">
        <v>80.2</v>
      </c>
      <c r="E58" s="50">
        <f t="shared" si="1"/>
        <v>8.8050314465408785E-3</v>
      </c>
      <c r="F58" s="269">
        <v>144.1</v>
      </c>
      <c r="G58" s="50">
        <f t="shared" si="2"/>
        <v>9.1036414565826007E-3</v>
      </c>
      <c r="J58" s="697"/>
      <c r="P58" s="28"/>
    </row>
    <row r="59" spans="1:16" ht="18" customHeight="1" thickBot="1" x14ac:dyDescent="0.3">
      <c r="A59" s="343">
        <v>38139</v>
      </c>
      <c r="B59" s="501">
        <v>80.599999999999994</v>
      </c>
      <c r="C59" s="51">
        <f t="shared" si="0"/>
        <v>4.9875311720697368E-3</v>
      </c>
      <c r="D59" s="501">
        <v>80.599999999999994</v>
      </c>
      <c r="E59" s="51">
        <f t="shared" si="1"/>
        <v>4.9875311720697368E-3</v>
      </c>
      <c r="F59" s="285">
        <v>144.80000000000001</v>
      </c>
      <c r="G59" s="51">
        <f t="shared" si="2"/>
        <v>4.8577376821652418E-3</v>
      </c>
      <c r="J59" s="697"/>
      <c r="P59" s="28"/>
    </row>
    <row r="60" spans="1:16" ht="18" customHeight="1" x14ac:dyDescent="0.25">
      <c r="A60" s="341">
        <v>38231</v>
      </c>
      <c r="B60" s="500">
        <v>80.900000000000006</v>
      </c>
      <c r="C60" s="52">
        <f t="shared" si="0"/>
        <v>3.7220843672458592E-3</v>
      </c>
      <c r="D60" s="500">
        <v>80.900000000000006</v>
      </c>
      <c r="E60" s="52">
        <f t="shared" si="1"/>
        <v>3.7220843672458592E-3</v>
      </c>
      <c r="F60" s="286">
        <v>145.4</v>
      </c>
      <c r="G60" s="52">
        <f t="shared" si="2"/>
        <v>4.1436464088397962E-3</v>
      </c>
      <c r="J60" s="697"/>
      <c r="P60" s="28"/>
    </row>
    <row r="61" spans="1:16" ht="18" customHeight="1" x14ac:dyDescent="0.25">
      <c r="A61" s="342">
        <v>38322</v>
      </c>
      <c r="B61" s="500">
        <v>81.5</v>
      </c>
      <c r="C61" s="50">
        <f t="shared" si="0"/>
        <v>7.4165636588379158E-3</v>
      </c>
      <c r="D61" s="500">
        <v>81.5</v>
      </c>
      <c r="E61" s="50">
        <f t="shared" si="1"/>
        <v>7.4165636588379158E-3</v>
      </c>
      <c r="F61" s="269">
        <v>146.5</v>
      </c>
      <c r="G61" s="50">
        <f t="shared" si="2"/>
        <v>7.5653370013755161E-3</v>
      </c>
      <c r="J61" s="697"/>
      <c r="P61" s="28"/>
    </row>
    <row r="62" spans="1:16" ht="18" customHeight="1" x14ac:dyDescent="0.25">
      <c r="A62" s="342">
        <v>38412</v>
      </c>
      <c r="B62" s="500">
        <v>82.1</v>
      </c>
      <c r="C62" s="50">
        <f t="shared" si="0"/>
        <v>7.3619631901840066E-3</v>
      </c>
      <c r="D62" s="500">
        <v>82.1</v>
      </c>
      <c r="E62" s="50">
        <f t="shared" si="1"/>
        <v>7.3619631901840066E-3</v>
      </c>
      <c r="F62" s="269">
        <v>147.5</v>
      </c>
      <c r="G62" s="50">
        <f t="shared" si="2"/>
        <v>6.8259385665530026E-3</v>
      </c>
      <c r="J62" s="697"/>
      <c r="P62" s="28"/>
    </row>
    <row r="63" spans="1:16" ht="18" customHeight="1" thickBot="1" x14ac:dyDescent="0.3">
      <c r="A63" s="343">
        <v>38504</v>
      </c>
      <c r="B63" s="501">
        <v>82.6</v>
      </c>
      <c r="C63" s="51">
        <f t="shared" si="0"/>
        <v>6.0901339829475543E-3</v>
      </c>
      <c r="D63" s="501">
        <v>82.6</v>
      </c>
      <c r="E63" s="51">
        <f t="shared" si="1"/>
        <v>6.0901339829475543E-3</v>
      </c>
      <c r="F63" s="285">
        <v>148.4</v>
      </c>
      <c r="G63" s="51">
        <f t="shared" si="2"/>
        <v>6.1016949152543631E-3</v>
      </c>
      <c r="J63" s="697"/>
      <c r="P63" s="28"/>
    </row>
    <row r="64" spans="1:16" ht="18" customHeight="1" x14ac:dyDescent="0.25">
      <c r="A64" s="341">
        <v>38596</v>
      </c>
      <c r="B64" s="500">
        <v>83.4</v>
      </c>
      <c r="C64" s="52">
        <f t="shared" si="0"/>
        <v>9.6852300242131761E-3</v>
      </c>
      <c r="D64" s="500">
        <v>83.4</v>
      </c>
      <c r="E64" s="52">
        <f t="shared" si="1"/>
        <v>9.6852300242131761E-3</v>
      </c>
      <c r="F64" s="286">
        <v>149.80000000000001</v>
      </c>
      <c r="G64" s="52">
        <f t="shared" si="2"/>
        <v>9.4339622641510523E-3</v>
      </c>
      <c r="J64" s="697"/>
      <c r="P64" s="28"/>
    </row>
    <row r="65" spans="1:16" ht="18" customHeight="1" x14ac:dyDescent="0.25">
      <c r="A65" s="342">
        <v>38687</v>
      </c>
      <c r="B65" s="500">
        <v>83.8</v>
      </c>
      <c r="C65" s="50">
        <f t="shared" si="0"/>
        <v>4.7961630695443347E-3</v>
      </c>
      <c r="D65" s="500">
        <v>83.8</v>
      </c>
      <c r="E65" s="50">
        <f t="shared" si="1"/>
        <v>4.7961630695443347E-3</v>
      </c>
      <c r="F65" s="269">
        <v>150.6</v>
      </c>
      <c r="G65" s="50">
        <f t="shared" si="2"/>
        <v>5.3404539385846217E-3</v>
      </c>
      <c r="J65" s="697"/>
      <c r="P65" s="28"/>
    </row>
    <row r="66" spans="1:16" ht="18" customHeight="1" x14ac:dyDescent="0.25">
      <c r="A66" s="342">
        <v>38777</v>
      </c>
      <c r="B66" s="500">
        <v>84.5</v>
      </c>
      <c r="C66" s="50">
        <f t="shared" si="0"/>
        <v>8.3532219570405797E-3</v>
      </c>
      <c r="D66" s="500">
        <v>84.5</v>
      </c>
      <c r="E66" s="50">
        <f t="shared" si="1"/>
        <v>8.3532219570405797E-3</v>
      </c>
      <c r="F66" s="269">
        <v>151.9</v>
      </c>
      <c r="G66" s="50">
        <f t="shared" si="2"/>
        <v>8.6321381142098197E-3</v>
      </c>
      <c r="J66" s="697"/>
      <c r="P66" s="28"/>
    </row>
    <row r="67" spans="1:16" ht="18" customHeight="1" thickBot="1" x14ac:dyDescent="0.3">
      <c r="A67" s="343">
        <v>38869</v>
      </c>
      <c r="B67" s="501">
        <v>85.9</v>
      </c>
      <c r="C67" s="51">
        <f t="shared" si="0"/>
        <v>1.6568047337278236E-2</v>
      </c>
      <c r="D67" s="501">
        <v>85.9</v>
      </c>
      <c r="E67" s="51">
        <f t="shared" si="1"/>
        <v>1.6568047337278236E-2</v>
      </c>
      <c r="F67" s="285">
        <v>154.30000000000001</v>
      </c>
      <c r="G67" s="51">
        <f t="shared" si="2"/>
        <v>1.5799868334430478E-2</v>
      </c>
      <c r="J67" s="697"/>
      <c r="P67" s="28"/>
    </row>
    <row r="68" spans="1:16" ht="18" customHeight="1" x14ac:dyDescent="0.25">
      <c r="A68" s="341">
        <v>38961</v>
      </c>
      <c r="B68" s="500">
        <v>86.7</v>
      </c>
      <c r="C68" s="52">
        <f t="shared" si="0"/>
        <v>9.3131548311990997E-3</v>
      </c>
      <c r="D68" s="500">
        <v>86.7</v>
      </c>
      <c r="E68" s="52">
        <f t="shared" si="1"/>
        <v>9.3131548311990997E-3</v>
      </c>
      <c r="F68" s="286">
        <v>155.69999999999999</v>
      </c>
      <c r="G68" s="52">
        <f t="shared" si="2"/>
        <v>9.0732339598182943E-3</v>
      </c>
      <c r="J68" s="697"/>
      <c r="P68" s="28"/>
    </row>
    <row r="69" spans="1:16" ht="18" customHeight="1" x14ac:dyDescent="0.25">
      <c r="A69" s="342">
        <v>39052</v>
      </c>
      <c r="B69" s="500">
        <v>86.6</v>
      </c>
      <c r="C69" s="50">
        <f t="shared" si="0"/>
        <v>-1.1534025374856371E-3</v>
      </c>
      <c r="D69" s="500">
        <v>86.6</v>
      </c>
      <c r="E69" s="50">
        <f t="shared" si="1"/>
        <v>-1.1534025374856371E-3</v>
      </c>
      <c r="F69" s="269">
        <v>155.5</v>
      </c>
      <c r="G69" s="50">
        <f t="shared" si="2"/>
        <v>-1.2845215157353262E-3</v>
      </c>
      <c r="J69" s="697"/>
      <c r="P69" s="28"/>
    </row>
    <row r="70" spans="1:16" ht="18" customHeight="1" x14ac:dyDescent="0.25">
      <c r="A70" s="342">
        <v>39142</v>
      </c>
      <c r="B70" s="500">
        <v>86.6</v>
      </c>
      <c r="C70" s="50">
        <f t="shared" si="0"/>
        <v>0</v>
      </c>
      <c r="D70" s="500">
        <v>86.6</v>
      </c>
      <c r="E70" s="50">
        <f t="shared" si="1"/>
        <v>0</v>
      </c>
      <c r="F70" s="269">
        <v>155.6</v>
      </c>
      <c r="G70" s="50">
        <f t="shared" si="2"/>
        <v>6.430868167202064E-4</v>
      </c>
      <c r="J70" s="697"/>
      <c r="P70" s="28"/>
    </row>
    <row r="71" spans="1:16" ht="18" customHeight="1" thickBot="1" x14ac:dyDescent="0.3">
      <c r="A71" s="343">
        <v>39234</v>
      </c>
      <c r="B71" s="501">
        <v>87.7</v>
      </c>
      <c r="C71" s="51">
        <f t="shared" si="0"/>
        <v>1.2702078521940052E-2</v>
      </c>
      <c r="D71" s="501">
        <v>87.7</v>
      </c>
      <c r="E71" s="51">
        <f t="shared" si="1"/>
        <v>1.2702078521940052E-2</v>
      </c>
      <c r="F71" s="285">
        <v>157.5</v>
      </c>
      <c r="G71" s="51">
        <f t="shared" si="2"/>
        <v>1.2210796915167021E-2</v>
      </c>
      <c r="J71" s="697"/>
      <c r="P71" s="28"/>
    </row>
    <row r="72" spans="1:16" x14ac:dyDescent="0.25">
      <c r="A72" s="341">
        <v>39326</v>
      </c>
      <c r="B72" s="500">
        <v>88.3</v>
      </c>
      <c r="C72" s="52">
        <f t="shared" si="0"/>
        <v>6.8415051311288E-3</v>
      </c>
      <c r="D72" s="500">
        <v>88.3</v>
      </c>
      <c r="E72" s="52">
        <f t="shared" si="1"/>
        <v>6.8415051311288E-3</v>
      </c>
      <c r="F72" s="286">
        <v>158.6</v>
      </c>
      <c r="G72" s="52">
        <f t="shared" si="2"/>
        <v>6.9841269841268705E-3</v>
      </c>
      <c r="J72" s="697"/>
      <c r="P72" s="28"/>
    </row>
    <row r="73" spans="1:16" x14ac:dyDescent="0.25">
      <c r="A73" s="342">
        <v>39417</v>
      </c>
      <c r="B73" s="500">
        <v>89.1</v>
      </c>
      <c r="C73" s="50">
        <f t="shared" ref="C73:C127" si="3">B73/B72-1</f>
        <v>9.060022650056565E-3</v>
      </c>
      <c r="D73" s="500">
        <v>89.1</v>
      </c>
      <c r="E73" s="50">
        <f t="shared" ref="E73:E127" si="4">D73/D72-1</f>
        <v>9.060022650056565E-3</v>
      </c>
      <c r="F73" s="269">
        <v>160.1</v>
      </c>
      <c r="G73" s="50">
        <f t="shared" ref="G73:G106" si="5">F73/F72-1</f>
        <v>9.4577553593946373E-3</v>
      </c>
      <c r="J73" s="697"/>
      <c r="P73" s="28"/>
    </row>
    <row r="74" spans="1:16" x14ac:dyDescent="0.25">
      <c r="A74" s="342">
        <v>39508</v>
      </c>
      <c r="B74" s="500">
        <v>90.3</v>
      </c>
      <c r="C74" s="50">
        <f t="shared" si="3"/>
        <v>1.3468013468013407E-2</v>
      </c>
      <c r="D74" s="500">
        <v>90.3</v>
      </c>
      <c r="E74" s="50">
        <f t="shared" si="4"/>
        <v>1.3468013468013407E-2</v>
      </c>
      <c r="F74" s="269">
        <v>162.19999999999999</v>
      </c>
      <c r="G74" s="50">
        <f t="shared" si="5"/>
        <v>1.3116801998750649E-2</v>
      </c>
      <c r="J74" s="697"/>
      <c r="P74" s="28"/>
    </row>
    <row r="75" spans="1:16" ht="15.75" thickBot="1" x14ac:dyDescent="0.3">
      <c r="A75" s="343">
        <v>39600</v>
      </c>
      <c r="B75" s="501">
        <v>91.6</v>
      </c>
      <c r="C75" s="51">
        <f t="shared" si="3"/>
        <v>1.439645625692143E-2</v>
      </c>
      <c r="D75" s="501">
        <v>91.6</v>
      </c>
      <c r="E75" s="51">
        <f t="shared" si="4"/>
        <v>1.439645625692143E-2</v>
      </c>
      <c r="F75" s="285">
        <v>164.6</v>
      </c>
      <c r="G75" s="51">
        <f t="shared" si="5"/>
        <v>1.4796547472256449E-2</v>
      </c>
      <c r="J75" s="697"/>
      <c r="P75" s="28"/>
    </row>
    <row r="76" spans="1:16" x14ac:dyDescent="0.25">
      <c r="A76" s="341">
        <v>39692</v>
      </c>
      <c r="B76" s="500">
        <v>92.7</v>
      </c>
      <c r="C76" s="52">
        <f t="shared" si="3"/>
        <v>1.2008733624454315E-2</v>
      </c>
      <c r="D76" s="500">
        <v>92.7</v>
      </c>
      <c r="E76" s="52">
        <f t="shared" si="4"/>
        <v>1.2008733624454315E-2</v>
      </c>
      <c r="F76" s="286">
        <v>166.5</v>
      </c>
      <c r="G76" s="52">
        <f t="shared" si="5"/>
        <v>1.1543134872417982E-2</v>
      </c>
      <c r="J76" s="697"/>
      <c r="P76" s="28"/>
    </row>
    <row r="77" spans="1:16" x14ac:dyDescent="0.25">
      <c r="A77" s="342">
        <v>39783</v>
      </c>
      <c r="B77" s="500">
        <v>92.4</v>
      </c>
      <c r="C77" s="50">
        <f t="shared" si="3"/>
        <v>-3.2362459546925182E-3</v>
      </c>
      <c r="D77" s="500">
        <v>92.4</v>
      </c>
      <c r="E77" s="50">
        <f t="shared" si="4"/>
        <v>-3.2362459546925182E-3</v>
      </c>
      <c r="F77" s="269">
        <v>166</v>
      </c>
      <c r="G77" s="50">
        <f t="shared" si="5"/>
        <v>-3.0030030030030463E-3</v>
      </c>
      <c r="J77" s="697"/>
      <c r="P77" s="28"/>
    </row>
    <row r="78" spans="1:16" x14ac:dyDescent="0.25">
      <c r="A78" s="342">
        <v>39873</v>
      </c>
      <c r="B78" s="500">
        <v>92.5</v>
      </c>
      <c r="C78" s="50">
        <f t="shared" si="3"/>
        <v>1.0822510822510178E-3</v>
      </c>
      <c r="D78" s="500">
        <v>92.5</v>
      </c>
      <c r="E78" s="50">
        <f t="shared" si="4"/>
        <v>1.0822510822510178E-3</v>
      </c>
      <c r="F78" s="269">
        <v>166.2</v>
      </c>
      <c r="G78" s="50">
        <f t="shared" si="5"/>
        <v>1.2048192771083599E-3</v>
      </c>
      <c r="J78" s="697"/>
      <c r="P78" s="28"/>
    </row>
    <row r="79" spans="1:16" ht="15.75" thickBot="1" x14ac:dyDescent="0.3">
      <c r="A79" s="343">
        <v>39965</v>
      </c>
      <c r="B79" s="501">
        <v>92.9</v>
      </c>
      <c r="C79" s="51">
        <f t="shared" si="3"/>
        <v>4.3243243243242802E-3</v>
      </c>
      <c r="D79" s="501">
        <v>92.9</v>
      </c>
      <c r="E79" s="51">
        <f t="shared" si="4"/>
        <v>4.3243243243242802E-3</v>
      </c>
      <c r="F79" s="285">
        <v>167</v>
      </c>
      <c r="G79" s="51">
        <f t="shared" si="5"/>
        <v>4.8134777376656057E-3</v>
      </c>
      <c r="J79" s="697"/>
      <c r="P79" s="28"/>
    </row>
    <row r="80" spans="1:16" x14ac:dyDescent="0.25">
      <c r="A80" s="341">
        <v>40057</v>
      </c>
      <c r="B80" s="500">
        <v>93.8</v>
      </c>
      <c r="C80" s="52">
        <f t="shared" si="3"/>
        <v>9.687836383207582E-3</v>
      </c>
      <c r="D80" s="500">
        <v>93.8</v>
      </c>
      <c r="E80" s="52">
        <f t="shared" si="4"/>
        <v>9.687836383207582E-3</v>
      </c>
      <c r="F80" s="286">
        <v>168.6</v>
      </c>
      <c r="G80" s="52">
        <f t="shared" si="5"/>
        <v>9.5808383233533245E-3</v>
      </c>
      <c r="J80" s="697"/>
      <c r="P80" s="28"/>
    </row>
    <row r="81" spans="1:16" x14ac:dyDescent="0.25">
      <c r="A81" s="342">
        <v>40148</v>
      </c>
      <c r="B81" s="500">
        <v>94.3</v>
      </c>
      <c r="C81" s="50">
        <f t="shared" si="3"/>
        <v>5.3304904051172386E-3</v>
      </c>
      <c r="D81" s="500">
        <v>94.3</v>
      </c>
      <c r="E81" s="50">
        <f t="shared" si="4"/>
        <v>5.3304904051172386E-3</v>
      </c>
      <c r="F81" s="269">
        <v>169.5</v>
      </c>
      <c r="G81" s="50">
        <f t="shared" si="5"/>
        <v>5.3380782918148739E-3</v>
      </c>
      <c r="J81" s="697"/>
      <c r="P81" s="28"/>
    </row>
    <row r="82" spans="1:16" x14ac:dyDescent="0.25">
      <c r="A82" s="342">
        <v>40238</v>
      </c>
      <c r="B82" s="500">
        <v>95.2</v>
      </c>
      <c r="C82" s="50">
        <f t="shared" si="3"/>
        <v>9.5440084835631822E-3</v>
      </c>
      <c r="D82" s="500">
        <v>95.2</v>
      </c>
      <c r="E82" s="50">
        <f t="shared" si="4"/>
        <v>9.5440084835631822E-3</v>
      </c>
      <c r="F82" s="269">
        <v>171</v>
      </c>
      <c r="G82" s="50">
        <f t="shared" si="5"/>
        <v>8.8495575221239076E-3</v>
      </c>
      <c r="J82" s="697"/>
      <c r="P82" s="28"/>
    </row>
    <row r="83" spans="1:16" ht="15.75" thickBot="1" x14ac:dyDescent="0.3">
      <c r="A83" s="343">
        <v>40330</v>
      </c>
      <c r="B83" s="501">
        <v>95.8</v>
      </c>
      <c r="C83" s="51">
        <f t="shared" si="3"/>
        <v>6.302521008403339E-3</v>
      </c>
      <c r="D83" s="501">
        <v>95.8</v>
      </c>
      <c r="E83" s="51">
        <f t="shared" si="4"/>
        <v>6.302521008403339E-3</v>
      </c>
      <c r="F83" s="285">
        <v>172.1</v>
      </c>
      <c r="G83" s="51">
        <f t="shared" si="5"/>
        <v>6.4327485380115679E-3</v>
      </c>
      <c r="J83" s="697"/>
      <c r="P83" s="28"/>
    </row>
    <row r="84" spans="1:16" x14ac:dyDescent="0.25">
      <c r="A84" s="341">
        <v>40422</v>
      </c>
      <c r="B84" s="525">
        <v>96.5</v>
      </c>
      <c r="C84" s="277">
        <f t="shared" si="3"/>
        <v>7.3068893528183132E-3</v>
      </c>
      <c r="D84" s="525">
        <v>96.5</v>
      </c>
      <c r="E84" s="277">
        <f t="shared" si="4"/>
        <v>7.3068893528183132E-3</v>
      </c>
      <c r="F84" s="508">
        <v>173.3</v>
      </c>
      <c r="G84" s="277">
        <f t="shared" si="5"/>
        <v>6.9726902963394011E-3</v>
      </c>
      <c r="J84" s="697"/>
      <c r="P84" s="28"/>
    </row>
    <row r="85" spans="1:16" x14ac:dyDescent="0.25">
      <c r="A85" s="342">
        <v>40513</v>
      </c>
      <c r="B85" s="525">
        <v>96.9</v>
      </c>
      <c r="C85" s="278">
        <f t="shared" si="3"/>
        <v>4.1450777202072242E-3</v>
      </c>
      <c r="D85" s="525">
        <v>96.9</v>
      </c>
      <c r="E85" s="278">
        <f t="shared" si="4"/>
        <v>4.1450777202072242E-3</v>
      </c>
      <c r="F85" s="509">
        <v>174</v>
      </c>
      <c r="G85" s="278">
        <f t="shared" si="5"/>
        <v>4.0392383150604783E-3</v>
      </c>
      <c r="J85" s="697"/>
      <c r="P85" s="28"/>
    </row>
    <row r="86" spans="1:16" x14ac:dyDescent="0.25">
      <c r="A86" s="342">
        <v>40603</v>
      </c>
      <c r="B86" s="525">
        <v>98.3</v>
      </c>
      <c r="C86" s="278">
        <f t="shared" si="3"/>
        <v>1.4447884416924683E-2</v>
      </c>
      <c r="D86" s="525">
        <v>98.3</v>
      </c>
      <c r="E86" s="278">
        <f t="shared" si="4"/>
        <v>1.4447884416924683E-2</v>
      </c>
      <c r="F86" s="509">
        <v>176.7</v>
      </c>
      <c r="G86" s="278">
        <f t="shared" si="5"/>
        <v>1.551724137931032E-2</v>
      </c>
      <c r="J86" s="697"/>
      <c r="P86" s="28"/>
    </row>
    <row r="87" spans="1:16" ht="15.75" thickBot="1" x14ac:dyDescent="0.3">
      <c r="A87" s="343">
        <v>40695</v>
      </c>
      <c r="B87" s="526">
        <v>99.2</v>
      </c>
      <c r="C87" s="280">
        <f t="shared" si="3"/>
        <v>9.1556459816888314E-3</v>
      </c>
      <c r="D87" s="526">
        <v>99.2</v>
      </c>
      <c r="E87" s="280">
        <f t="shared" si="4"/>
        <v>9.1556459816888314E-3</v>
      </c>
      <c r="F87" s="527">
        <v>178.3</v>
      </c>
      <c r="G87" s="280">
        <f t="shared" si="5"/>
        <v>9.0548953027731471E-3</v>
      </c>
      <c r="J87" s="697"/>
      <c r="P87" s="28"/>
    </row>
    <row r="88" spans="1:16" x14ac:dyDescent="0.25">
      <c r="A88" s="341">
        <v>40787</v>
      </c>
      <c r="B88" s="528">
        <v>99.8</v>
      </c>
      <c r="C88" s="277">
        <f t="shared" si="3"/>
        <v>6.0483870967742437E-3</v>
      </c>
      <c r="D88" s="528">
        <v>99.8</v>
      </c>
      <c r="E88" s="277">
        <f t="shared" si="4"/>
        <v>6.0483870967742437E-3</v>
      </c>
      <c r="F88" s="508">
        <v>179.4</v>
      </c>
      <c r="G88" s="277">
        <f>F88/F87-1</f>
        <v>6.1693774537296964E-3</v>
      </c>
      <c r="J88" s="697"/>
      <c r="P88" s="28"/>
    </row>
    <row r="89" spans="1:16" x14ac:dyDescent="0.25">
      <c r="A89" s="342">
        <v>40878</v>
      </c>
      <c r="B89" s="528">
        <v>99.8</v>
      </c>
      <c r="C89" s="278">
        <f t="shared" si="3"/>
        <v>0</v>
      </c>
      <c r="D89" s="528">
        <v>99.8</v>
      </c>
      <c r="E89" s="278">
        <f t="shared" si="4"/>
        <v>0</v>
      </c>
      <c r="F89" s="509">
        <v>179.4</v>
      </c>
      <c r="G89" s="278">
        <f t="shared" si="5"/>
        <v>0</v>
      </c>
      <c r="J89" s="697"/>
      <c r="P89" s="28"/>
    </row>
    <row r="90" spans="1:16" x14ac:dyDescent="0.25">
      <c r="A90" s="342">
        <v>40969</v>
      </c>
      <c r="B90" s="528">
        <v>99.9</v>
      </c>
      <c r="C90" s="278">
        <f t="shared" si="3"/>
        <v>1.0020040080160886E-3</v>
      </c>
      <c r="D90" s="528">
        <v>99.9</v>
      </c>
      <c r="E90" s="278">
        <f t="shared" si="4"/>
        <v>1.0020040080160886E-3</v>
      </c>
      <c r="F90" s="509">
        <v>179.5</v>
      </c>
      <c r="G90" s="278">
        <f>F90/F89-1</f>
        <v>5.574136008918984E-4</v>
      </c>
      <c r="J90" s="697"/>
      <c r="P90" s="28"/>
    </row>
    <row r="91" spans="1:16" ht="15.75" thickBot="1" x14ac:dyDescent="0.3">
      <c r="A91" s="360">
        <v>41061</v>
      </c>
      <c r="B91" s="529">
        <v>100.4</v>
      </c>
      <c r="C91" s="510">
        <f t="shared" si="3"/>
        <v>5.0050050050050032E-3</v>
      </c>
      <c r="D91" s="529">
        <v>100.4</v>
      </c>
      <c r="E91" s="510">
        <f t="shared" si="4"/>
        <v>5.0050050050050032E-3</v>
      </c>
      <c r="F91" s="511">
        <v>180.4</v>
      </c>
      <c r="G91" s="512">
        <f t="shared" si="5"/>
        <v>5.0139275766016844E-3</v>
      </c>
      <c r="J91" s="697"/>
      <c r="P91" s="28"/>
    </row>
    <row r="92" spans="1:16" x14ac:dyDescent="0.25">
      <c r="A92" s="364">
        <v>41153</v>
      </c>
      <c r="B92" s="528">
        <v>101.8</v>
      </c>
      <c r="C92" s="513">
        <f t="shared" si="3"/>
        <v>1.3944223107569709E-2</v>
      </c>
      <c r="D92" s="528">
        <v>101.8</v>
      </c>
      <c r="E92" s="514">
        <f t="shared" si="4"/>
        <v>1.3944223107569709E-2</v>
      </c>
      <c r="F92" s="515">
        <f>F91+(F91*E92)</f>
        <v>182.9155378486056</v>
      </c>
      <c r="G92" s="513">
        <f t="shared" si="5"/>
        <v>1.3944223107569709E-2</v>
      </c>
      <c r="J92" s="697"/>
      <c r="P92" s="28"/>
    </row>
    <row r="93" spans="1:16" x14ac:dyDescent="0.25">
      <c r="A93" s="366">
        <v>41244</v>
      </c>
      <c r="B93" s="528">
        <v>102</v>
      </c>
      <c r="C93" s="512">
        <f t="shared" si="3"/>
        <v>1.9646365422396617E-3</v>
      </c>
      <c r="D93" s="528">
        <v>102</v>
      </c>
      <c r="E93" s="516">
        <f t="shared" si="4"/>
        <v>1.9646365422396617E-3</v>
      </c>
      <c r="F93" s="511">
        <f t="shared" ref="F93:F98" si="6">F92+(F92*E93)</f>
        <v>183.2749003984064</v>
      </c>
      <c r="G93" s="512">
        <f t="shared" si="5"/>
        <v>1.9646365422396617E-3</v>
      </c>
      <c r="J93" s="697"/>
      <c r="P93" s="28"/>
    </row>
    <row r="94" spans="1:16" x14ac:dyDescent="0.25">
      <c r="A94" s="366">
        <v>41334</v>
      </c>
      <c r="B94" s="528">
        <v>102.4</v>
      </c>
      <c r="C94" s="512">
        <f t="shared" si="3"/>
        <v>3.9215686274509665E-3</v>
      </c>
      <c r="D94" s="528">
        <v>102.4</v>
      </c>
      <c r="E94" s="516">
        <f t="shared" si="4"/>
        <v>3.9215686274509665E-3</v>
      </c>
      <c r="F94" s="511">
        <f t="shared" si="6"/>
        <v>183.99362549800799</v>
      </c>
      <c r="G94" s="512">
        <f t="shared" si="5"/>
        <v>3.9215686274509665E-3</v>
      </c>
      <c r="J94" s="697"/>
      <c r="P94" s="28"/>
    </row>
    <row r="95" spans="1:16" s="5" customFormat="1" ht="15.75" thickBot="1" x14ac:dyDescent="0.3">
      <c r="A95" s="360">
        <v>41426</v>
      </c>
      <c r="B95" s="529">
        <v>102.8</v>
      </c>
      <c r="C95" s="517">
        <f t="shared" si="3"/>
        <v>3.90625E-3</v>
      </c>
      <c r="D95" s="529">
        <v>102.8</v>
      </c>
      <c r="E95" s="517">
        <f t="shared" si="4"/>
        <v>3.90625E-3</v>
      </c>
      <c r="F95" s="518">
        <f>F94+(F94*E95)</f>
        <v>184.71235059760957</v>
      </c>
      <c r="G95" s="510">
        <f t="shared" si="5"/>
        <v>3.90625E-3</v>
      </c>
      <c r="J95" s="697"/>
    </row>
    <row r="96" spans="1:16" s="5" customFormat="1" x14ac:dyDescent="0.25">
      <c r="A96" s="364">
        <v>41518</v>
      </c>
      <c r="B96" s="528">
        <v>104</v>
      </c>
      <c r="C96" s="513">
        <f t="shared" si="3"/>
        <v>1.1673151750972721E-2</v>
      </c>
      <c r="D96" s="528">
        <v>104</v>
      </c>
      <c r="E96" s="513">
        <f t="shared" si="4"/>
        <v>1.1673151750972721E-2</v>
      </c>
      <c r="F96" s="515">
        <f>F95+(F95*E96)</f>
        <v>186.86852589641435</v>
      </c>
      <c r="G96" s="513">
        <f t="shared" si="5"/>
        <v>1.1673151750972721E-2</v>
      </c>
      <c r="J96" s="697"/>
    </row>
    <row r="97" spans="1:26" s="5" customFormat="1" x14ac:dyDescent="0.25">
      <c r="A97" s="366">
        <v>41609</v>
      </c>
      <c r="B97" s="528">
        <v>104.8</v>
      </c>
      <c r="C97" s="512">
        <f t="shared" si="3"/>
        <v>7.692307692307665E-3</v>
      </c>
      <c r="D97" s="528">
        <v>104.8</v>
      </c>
      <c r="E97" s="512">
        <f t="shared" si="4"/>
        <v>7.692307692307665E-3</v>
      </c>
      <c r="F97" s="511">
        <f t="shared" si="6"/>
        <v>188.30597609561752</v>
      </c>
      <c r="G97" s="512">
        <f t="shared" si="5"/>
        <v>7.692307692307665E-3</v>
      </c>
      <c r="J97" s="697"/>
    </row>
    <row r="98" spans="1:26" s="5" customFormat="1" x14ac:dyDescent="0.25">
      <c r="A98" s="366">
        <v>41699</v>
      </c>
      <c r="B98" s="528">
        <v>105.4</v>
      </c>
      <c r="C98" s="512">
        <f t="shared" si="3"/>
        <v>5.7251908396946938E-3</v>
      </c>
      <c r="D98" s="528">
        <v>105.4</v>
      </c>
      <c r="E98" s="512">
        <f t="shared" si="4"/>
        <v>5.7251908396946938E-3</v>
      </c>
      <c r="F98" s="511">
        <f t="shared" si="6"/>
        <v>189.38406374501992</v>
      </c>
      <c r="G98" s="512">
        <f t="shared" si="5"/>
        <v>5.7251908396946938E-3</v>
      </c>
      <c r="J98" s="697"/>
    </row>
    <row r="99" spans="1:26" s="5" customFormat="1" ht="15.75" thickBot="1" x14ac:dyDescent="0.3">
      <c r="A99" s="360">
        <v>41791</v>
      </c>
      <c r="B99" s="529">
        <v>105.9</v>
      </c>
      <c r="C99" s="510">
        <f t="shared" si="3"/>
        <v>4.7438330170777032E-3</v>
      </c>
      <c r="D99" s="529">
        <v>105.9</v>
      </c>
      <c r="E99" s="510">
        <f t="shared" si="4"/>
        <v>4.7438330170777032E-3</v>
      </c>
      <c r="F99" s="518">
        <f t="shared" ref="F99:F107" si="7">F98+(F98*E99)</f>
        <v>190.28247011952189</v>
      </c>
      <c r="G99" s="510">
        <f t="shared" si="5"/>
        <v>4.7438330170777032E-3</v>
      </c>
      <c r="J99" s="697"/>
    </row>
    <row r="100" spans="1:26" s="5" customFormat="1" x14ac:dyDescent="0.25">
      <c r="A100" s="364">
        <v>41883</v>
      </c>
      <c r="B100" s="528">
        <v>106.4</v>
      </c>
      <c r="C100" s="513">
        <f t="shared" si="3"/>
        <v>4.7214353163360645E-3</v>
      </c>
      <c r="D100" s="528">
        <v>106.4</v>
      </c>
      <c r="E100" s="513">
        <f t="shared" si="4"/>
        <v>4.7214353163360645E-3</v>
      </c>
      <c r="F100" s="515">
        <f t="shared" si="7"/>
        <v>191.18087649402386</v>
      </c>
      <c r="G100" s="513">
        <f t="shared" si="5"/>
        <v>4.7214353163360645E-3</v>
      </c>
      <c r="I100" s="697"/>
      <c r="J100" s="697"/>
      <c r="K100" s="697"/>
      <c r="L100" s="697"/>
      <c r="M100" s="697"/>
      <c r="N100" s="697"/>
      <c r="O100" s="697"/>
      <c r="P100" s="697"/>
      <c r="Q100" s="697"/>
      <c r="R100" s="697"/>
      <c r="S100" s="697"/>
      <c r="T100" s="697"/>
      <c r="U100" s="697"/>
      <c r="V100" s="697"/>
      <c r="W100" s="697"/>
      <c r="X100" s="697"/>
      <c r="Y100" s="697"/>
      <c r="Z100" s="697"/>
    </row>
    <row r="101" spans="1:26" s="5" customFormat="1" x14ac:dyDescent="0.25">
      <c r="A101" s="366">
        <v>41974</v>
      </c>
      <c r="B101" s="528">
        <v>106.6</v>
      </c>
      <c r="C101" s="512">
        <f t="shared" si="3"/>
        <v>1.879699248120259E-3</v>
      </c>
      <c r="D101" s="528">
        <v>106.6</v>
      </c>
      <c r="E101" s="512">
        <f t="shared" si="4"/>
        <v>1.879699248120259E-3</v>
      </c>
      <c r="F101" s="511">
        <f t="shared" si="7"/>
        <v>191.54023904382464</v>
      </c>
      <c r="G101" s="512">
        <f t="shared" si="5"/>
        <v>1.879699248120259E-3</v>
      </c>
      <c r="J101" s="697"/>
    </row>
    <row r="102" spans="1:26" x14ac:dyDescent="0.25">
      <c r="A102" s="366">
        <v>42064</v>
      </c>
      <c r="B102" s="528">
        <v>106.8</v>
      </c>
      <c r="C102" s="512">
        <f t="shared" si="3"/>
        <v>1.8761726078799779E-3</v>
      </c>
      <c r="D102" s="528">
        <v>106.8</v>
      </c>
      <c r="E102" s="512">
        <f t="shared" si="4"/>
        <v>1.8761726078799779E-3</v>
      </c>
      <c r="F102" s="511">
        <f t="shared" si="7"/>
        <v>191.89960159362545</v>
      </c>
      <c r="G102" s="512">
        <f t="shared" si="5"/>
        <v>1.8761726078799779E-3</v>
      </c>
      <c r="I102" s="697"/>
      <c r="J102" s="697"/>
      <c r="K102" s="697"/>
      <c r="L102" s="697"/>
      <c r="M102" s="697"/>
      <c r="N102" s="697"/>
      <c r="O102" s="697"/>
      <c r="Q102" s="697"/>
      <c r="R102" s="697"/>
      <c r="S102" s="697"/>
      <c r="T102" s="697"/>
      <c r="U102" s="697"/>
      <c r="V102" s="697"/>
      <c r="W102" s="697"/>
      <c r="X102" s="697"/>
      <c r="Y102" s="697"/>
    </row>
    <row r="103" spans="1:26" ht="15.75" thickBot="1" x14ac:dyDescent="0.3">
      <c r="A103" s="360">
        <v>42156</v>
      </c>
      <c r="B103" s="529">
        <v>107.5</v>
      </c>
      <c r="C103" s="510">
        <f t="shared" si="3"/>
        <v>6.5543071161049404E-3</v>
      </c>
      <c r="D103" s="529">
        <v>107.5</v>
      </c>
      <c r="E103" s="510">
        <f t="shared" si="4"/>
        <v>6.5543071161049404E-3</v>
      </c>
      <c r="F103" s="518">
        <f t="shared" si="7"/>
        <v>193.15737051792826</v>
      </c>
      <c r="G103" s="510">
        <f t="shared" si="5"/>
        <v>6.5543071161049404E-3</v>
      </c>
      <c r="I103" s="270"/>
      <c r="J103" s="697"/>
      <c r="K103" s="859"/>
      <c r="L103" s="697"/>
      <c r="M103" s="697"/>
      <c r="N103" s="697"/>
      <c r="O103" s="697"/>
      <c r="P103" s="697"/>
      <c r="Q103" s="697"/>
      <c r="R103" s="697"/>
      <c r="S103" s="697"/>
      <c r="T103" s="697"/>
      <c r="U103" s="697"/>
      <c r="V103" s="697"/>
      <c r="W103" s="697"/>
      <c r="X103" s="697"/>
      <c r="Y103" s="697"/>
      <c r="Z103" s="697"/>
    </row>
    <row r="104" spans="1:26" x14ac:dyDescent="0.25">
      <c r="A104" s="364">
        <v>42248</v>
      </c>
      <c r="B104" s="528">
        <v>108</v>
      </c>
      <c r="C104" s="513">
        <f t="shared" si="3"/>
        <v>4.6511627906977715E-3</v>
      </c>
      <c r="D104" s="528">
        <v>108</v>
      </c>
      <c r="E104" s="513">
        <f t="shared" si="4"/>
        <v>4.6511627906977715E-3</v>
      </c>
      <c r="F104" s="515">
        <f>F103+(F103*E104)</f>
        <v>194.05577689243026</v>
      </c>
      <c r="G104" s="513">
        <f>F104/F103-1</f>
        <v>4.6511627906977715E-3</v>
      </c>
      <c r="I104" s="270"/>
      <c r="J104" s="697"/>
      <c r="K104" s="859"/>
      <c r="P104" s="28"/>
    </row>
    <row r="105" spans="1:26" x14ac:dyDescent="0.25">
      <c r="A105" s="366">
        <v>42339</v>
      </c>
      <c r="B105" s="528">
        <v>108.4</v>
      </c>
      <c r="C105" s="512">
        <f t="shared" si="3"/>
        <v>3.7037037037037646E-3</v>
      </c>
      <c r="D105" s="528">
        <v>108.4</v>
      </c>
      <c r="E105" s="512">
        <f t="shared" si="4"/>
        <v>3.7037037037037646E-3</v>
      </c>
      <c r="F105" s="511">
        <f t="shared" si="7"/>
        <v>194.77450199203187</v>
      </c>
      <c r="G105" s="512">
        <f t="shared" si="5"/>
        <v>3.7037037037037646E-3</v>
      </c>
      <c r="I105" s="270"/>
      <c r="J105" s="697"/>
      <c r="K105" s="859"/>
      <c r="P105" s="28"/>
    </row>
    <row r="106" spans="1:26" x14ac:dyDescent="0.25">
      <c r="A106" s="1020">
        <v>42430</v>
      </c>
      <c r="B106" s="1023">
        <v>108.2</v>
      </c>
      <c r="C106" s="1022">
        <f>B106/B105-1</f>
        <v>-1.8450184501844769E-3</v>
      </c>
      <c r="D106" s="1023">
        <v>108.2</v>
      </c>
      <c r="E106" s="1022">
        <f>D106/D105-1</f>
        <v>-1.8450184501844769E-3</v>
      </c>
      <c r="F106" s="1021">
        <f t="shared" si="7"/>
        <v>194.41513944223109</v>
      </c>
      <c r="G106" s="1022">
        <f t="shared" si="5"/>
        <v>-1.8450184501843658E-3</v>
      </c>
      <c r="I106" s="270"/>
      <c r="J106" s="697"/>
      <c r="K106" s="859"/>
      <c r="P106" s="28"/>
    </row>
    <row r="107" spans="1:26" ht="15.75" thickBot="1" x14ac:dyDescent="0.3">
      <c r="A107" s="360">
        <v>42522</v>
      </c>
      <c r="B107" s="529">
        <v>108.6</v>
      </c>
      <c r="C107" s="510">
        <f t="shared" si="3"/>
        <v>3.696857670979492E-3</v>
      </c>
      <c r="D107" s="529">
        <v>108.6</v>
      </c>
      <c r="E107" s="510">
        <f t="shared" si="4"/>
        <v>3.696857670979492E-3</v>
      </c>
      <c r="F107" s="518">
        <f t="shared" si="7"/>
        <v>195.13386454183265</v>
      </c>
      <c r="G107" s="510">
        <f>F107/F106-1</f>
        <v>3.696857670979492E-3</v>
      </c>
      <c r="I107" s="270"/>
      <c r="J107" s="859"/>
      <c r="K107" s="859"/>
      <c r="P107" s="28"/>
    </row>
    <row r="108" spans="1:26" x14ac:dyDescent="0.25">
      <c r="A108" s="364">
        <v>42614</v>
      </c>
      <c r="B108" s="1023">
        <v>109.4</v>
      </c>
      <c r="C108" s="513">
        <f>B108/B107-1</f>
        <v>7.3664825046042548E-3</v>
      </c>
      <c r="D108" s="1023">
        <v>109.4</v>
      </c>
      <c r="E108" s="513">
        <f t="shared" si="4"/>
        <v>7.3664825046042548E-3</v>
      </c>
      <c r="F108" s="515">
        <f>F107+(F107*E108)</f>
        <v>196.57131474103588</v>
      </c>
      <c r="G108" s="513">
        <f>F108/F107-1</f>
        <v>7.3664825046042548E-3</v>
      </c>
      <c r="I108" s="270"/>
      <c r="J108" s="999"/>
      <c r="K108" s="859"/>
      <c r="P108" s="28"/>
    </row>
    <row r="109" spans="1:26" x14ac:dyDescent="0.25">
      <c r="A109" s="1020">
        <v>42705</v>
      </c>
      <c r="B109" s="1023">
        <v>110</v>
      </c>
      <c r="C109" s="1022">
        <f t="shared" si="3"/>
        <v>5.4844606946982122E-3</v>
      </c>
      <c r="D109" s="1023">
        <v>110</v>
      </c>
      <c r="E109" s="1022">
        <f t="shared" si="4"/>
        <v>5.4844606946982122E-3</v>
      </c>
      <c r="F109" s="1021"/>
      <c r="G109" s="1022"/>
      <c r="I109" s="270"/>
      <c r="J109" s="999"/>
      <c r="K109" s="859"/>
      <c r="P109" s="28"/>
    </row>
    <row r="110" spans="1:26" s="5" customFormat="1" x14ac:dyDescent="0.25">
      <c r="A110" s="1020">
        <v>42795</v>
      </c>
      <c r="B110" s="1023">
        <v>110.5</v>
      </c>
      <c r="C110" s="1022">
        <f t="shared" si="3"/>
        <v>4.5454545454546302E-3</v>
      </c>
      <c r="D110" s="1023">
        <v>110.5</v>
      </c>
      <c r="E110" s="1022">
        <f t="shared" si="4"/>
        <v>4.5454545454546302E-3</v>
      </c>
      <c r="F110" s="1021"/>
      <c r="G110" s="1022"/>
      <c r="I110" s="483"/>
      <c r="K110" s="1062"/>
    </row>
    <row r="111" spans="1:26" s="5" customFormat="1" ht="15.75" thickBot="1" x14ac:dyDescent="0.3">
      <c r="A111" s="360">
        <v>42887</v>
      </c>
      <c r="B111" s="529">
        <v>110.7</v>
      </c>
      <c r="C111" s="510">
        <f t="shared" si="3"/>
        <v>1.8099547511312153E-3</v>
      </c>
      <c r="D111" s="529">
        <v>110.7</v>
      </c>
      <c r="E111" s="510">
        <f t="shared" si="4"/>
        <v>1.8099547511312153E-3</v>
      </c>
      <c r="F111" s="518"/>
      <c r="G111" s="510"/>
      <c r="I111" s="483"/>
      <c r="K111" s="1062"/>
    </row>
    <row r="112" spans="1:26" x14ac:dyDescent="0.25">
      <c r="A112" s="348">
        <v>42979</v>
      </c>
      <c r="B112" s="1102">
        <v>111.2</v>
      </c>
      <c r="C112" s="519">
        <f t="shared" si="3"/>
        <v>4.5167118337849921E-3</v>
      </c>
      <c r="D112" s="1102">
        <v>111.2</v>
      </c>
      <c r="E112" s="519">
        <f t="shared" si="4"/>
        <v>4.5167118337849921E-3</v>
      </c>
      <c r="F112" s="520"/>
      <c r="G112" s="519"/>
      <c r="I112" s="1000"/>
      <c r="J112" s="999"/>
      <c r="K112" s="859"/>
      <c r="P112" s="28"/>
    </row>
    <row r="113" spans="1:16" x14ac:dyDescent="0.25">
      <c r="A113" s="349">
        <v>43070</v>
      </c>
      <c r="B113" s="1102">
        <v>111.8</v>
      </c>
      <c r="C113" s="521">
        <f t="shared" si="3"/>
        <v>5.3956834532373765E-3</v>
      </c>
      <c r="D113" s="1102">
        <v>111.8</v>
      </c>
      <c r="E113" s="521">
        <f t="shared" si="4"/>
        <v>5.3956834532373765E-3</v>
      </c>
      <c r="F113" s="522"/>
      <c r="G113" s="521"/>
      <c r="I113" s="270"/>
      <c r="J113" s="999"/>
      <c r="K113" s="859"/>
      <c r="P113" s="28"/>
    </row>
    <row r="114" spans="1:16" x14ac:dyDescent="0.25">
      <c r="A114" s="349">
        <v>43160</v>
      </c>
      <c r="B114" s="1102">
        <v>112.4</v>
      </c>
      <c r="C114" s="521">
        <f t="shared" si="3"/>
        <v>5.3667262969590013E-3</v>
      </c>
      <c r="D114" s="1102">
        <v>112.4</v>
      </c>
      <c r="E114" s="521">
        <f t="shared" si="4"/>
        <v>5.3667262969590013E-3</v>
      </c>
      <c r="F114" s="522"/>
      <c r="G114" s="521"/>
      <c r="I114" s="270"/>
      <c r="J114" s="999"/>
      <c r="K114" s="859"/>
      <c r="P114" s="28"/>
    </row>
    <row r="115" spans="1:16" ht="15.75" thickBot="1" x14ac:dyDescent="0.3">
      <c r="A115" s="347">
        <v>43252</v>
      </c>
      <c r="B115" s="1103">
        <v>112.9</v>
      </c>
      <c r="C115" s="523">
        <f t="shared" si="3"/>
        <v>4.4483985765124689E-3</v>
      </c>
      <c r="D115" s="1103">
        <v>112.9</v>
      </c>
      <c r="E115" s="523">
        <f t="shared" si="4"/>
        <v>4.4483985765124689E-3</v>
      </c>
      <c r="F115" s="524"/>
      <c r="G115" s="523"/>
      <c r="I115" s="270"/>
      <c r="J115" s="999"/>
      <c r="K115" s="859"/>
      <c r="P115" s="28"/>
    </row>
    <row r="116" spans="1:16" x14ac:dyDescent="0.25">
      <c r="A116" s="348">
        <v>43344</v>
      </c>
      <c r="B116" s="1102">
        <v>113.5</v>
      </c>
      <c r="C116" s="519">
        <f t="shared" si="3"/>
        <v>5.3144375553586531E-3</v>
      </c>
      <c r="D116" s="1102">
        <v>113.5</v>
      </c>
      <c r="E116" s="519">
        <f t="shared" si="4"/>
        <v>5.3144375553586531E-3</v>
      </c>
      <c r="F116" s="520"/>
      <c r="G116" s="519"/>
      <c r="I116" s="270"/>
      <c r="J116" s="999"/>
      <c r="K116" s="859"/>
      <c r="P116" s="28"/>
    </row>
    <row r="117" spans="1:16" x14ac:dyDescent="0.25">
      <c r="A117" s="349">
        <v>43435</v>
      </c>
      <c r="B117" s="1102">
        <v>114.1</v>
      </c>
      <c r="C117" s="521">
        <f t="shared" si="3"/>
        <v>5.2863436123347096E-3</v>
      </c>
      <c r="D117" s="1102">
        <v>114.1</v>
      </c>
      <c r="E117" s="521">
        <f t="shared" si="4"/>
        <v>5.2863436123347096E-3</v>
      </c>
      <c r="F117" s="522"/>
      <c r="G117" s="521"/>
      <c r="I117" s="270"/>
      <c r="J117" s="999"/>
      <c r="K117" s="859"/>
      <c r="P117" s="28"/>
    </row>
    <row r="118" spans="1:16" x14ac:dyDescent="0.25">
      <c r="A118" s="349">
        <v>43525</v>
      </c>
      <c r="B118" s="1102">
        <v>114.8</v>
      </c>
      <c r="C118" s="521">
        <f t="shared" si="3"/>
        <v>6.1349693251533388E-3</v>
      </c>
      <c r="D118" s="1102">
        <v>114.8</v>
      </c>
      <c r="E118" s="521">
        <f t="shared" si="4"/>
        <v>6.1349693251533388E-3</v>
      </c>
      <c r="F118" s="522"/>
      <c r="G118" s="521"/>
      <c r="I118" s="270"/>
      <c r="J118" s="999"/>
      <c r="K118" s="859"/>
      <c r="P118" s="28"/>
    </row>
    <row r="119" spans="1:16" ht="15.75" thickBot="1" x14ac:dyDescent="0.3">
      <c r="A119" s="347">
        <v>43617</v>
      </c>
      <c r="B119" s="1103">
        <v>115.4</v>
      </c>
      <c r="C119" s="523">
        <f t="shared" si="3"/>
        <v>5.2264808362370019E-3</v>
      </c>
      <c r="D119" s="1103">
        <v>115.4</v>
      </c>
      <c r="E119" s="523">
        <f t="shared" si="4"/>
        <v>5.2264808362370019E-3</v>
      </c>
      <c r="F119" s="524"/>
      <c r="G119" s="523"/>
      <c r="I119" s="999" t="s">
        <v>981</v>
      </c>
      <c r="J119" s="999"/>
      <c r="K119" s="859"/>
      <c r="L119" s="999"/>
      <c r="P119" s="28"/>
    </row>
    <row r="120" spans="1:16" x14ac:dyDescent="0.25">
      <c r="A120" s="985">
        <v>43709</v>
      </c>
      <c r="B120" s="1104">
        <v>116.1</v>
      </c>
      <c r="C120" s="519">
        <f>B120/B119-1</f>
        <v>6.0658578856152001E-3</v>
      </c>
      <c r="D120" s="1104">
        <v>116.1</v>
      </c>
      <c r="E120" s="519">
        <f t="shared" si="4"/>
        <v>6.0658578856152001E-3</v>
      </c>
      <c r="F120" s="987"/>
      <c r="G120" s="986"/>
      <c r="I120" s="999"/>
      <c r="J120" s="999"/>
      <c r="K120" s="999"/>
      <c r="L120" s="999"/>
      <c r="P120" s="28"/>
    </row>
    <row r="121" spans="1:16" x14ac:dyDescent="0.25">
      <c r="A121" s="988">
        <v>43800</v>
      </c>
      <c r="B121" s="1105">
        <v>116.8</v>
      </c>
      <c r="C121" s="521">
        <f t="shared" si="3"/>
        <v>6.0292850990526503E-3</v>
      </c>
      <c r="D121" s="1105">
        <v>116.8</v>
      </c>
      <c r="E121" s="521">
        <f t="shared" si="4"/>
        <v>6.0292850990526503E-3</v>
      </c>
      <c r="F121" s="990"/>
      <c r="G121" s="989"/>
      <c r="J121" s="999"/>
      <c r="P121" s="28"/>
    </row>
    <row r="122" spans="1:16" x14ac:dyDescent="0.25">
      <c r="A122" s="988">
        <v>43891</v>
      </c>
      <c r="B122" s="1105">
        <v>117.6</v>
      </c>
      <c r="C122" s="521">
        <f t="shared" si="3"/>
        <v>6.8493150684931781E-3</v>
      </c>
      <c r="D122" s="1105">
        <v>117.6</v>
      </c>
      <c r="E122" s="521">
        <f t="shared" si="4"/>
        <v>6.8493150684931781E-3</v>
      </c>
      <c r="F122" s="990"/>
      <c r="G122" s="989"/>
      <c r="J122" s="999"/>
      <c r="P122" s="28"/>
    </row>
    <row r="123" spans="1:16" ht="15.75" thickBot="1" x14ac:dyDescent="0.3">
      <c r="A123" s="991">
        <v>43983</v>
      </c>
      <c r="B123" s="1106">
        <v>118.3</v>
      </c>
      <c r="C123" s="523">
        <f t="shared" si="3"/>
        <v>5.9523809523809312E-3</v>
      </c>
      <c r="D123" s="1106">
        <v>118.3</v>
      </c>
      <c r="E123" s="523">
        <f t="shared" si="4"/>
        <v>5.9523809523809312E-3</v>
      </c>
      <c r="F123" s="993"/>
      <c r="G123" s="992"/>
      <c r="J123" s="999"/>
      <c r="P123" s="28"/>
    </row>
    <row r="124" spans="1:16" s="999" customFormat="1" x14ac:dyDescent="0.25">
      <c r="A124" s="985">
        <v>44075</v>
      </c>
      <c r="B124" s="1104">
        <v>119</v>
      </c>
      <c r="C124" s="519">
        <f t="shared" si="3"/>
        <v>5.9171597633136397E-3</v>
      </c>
      <c r="D124" s="1104">
        <v>119</v>
      </c>
      <c r="E124" s="519">
        <f t="shared" si="4"/>
        <v>5.9171597633136397E-3</v>
      </c>
      <c r="F124" s="987"/>
      <c r="G124" s="986"/>
      <c r="I124" s="859"/>
    </row>
    <row r="125" spans="1:16" s="999" customFormat="1" x14ac:dyDescent="0.25">
      <c r="A125" s="988">
        <v>44166</v>
      </c>
      <c r="B125" s="1105">
        <v>119.8</v>
      </c>
      <c r="C125" s="521">
        <f t="shared" si="3"/>
        <v>6.7226890756302282E-3</v>
      </c>
      <c r="D125" s="1105">
        <v>119.8</v>
      </c>
      <c r="E125" s="521">
        <f t="shared" si="4"/>
        <v>6.7226890756302282E-3</v>
      </c>
      <c r="F125" s="990"/>
      <c r="G125" s="989"/>
      <c r="I125" s="859"/>
    </row>
    <row r="126" spans="1:16" s="999" customFormat="1" x14ac:dyDescent="0.25">
      <c r="A126" s="988">
        <v>44256</v>
      </c>
      <c r="B126" s="1105">
        <v>120.5</v>
      </c>
      <c r="C126" s="521">
        <f t="shared" si="3"/>
        <v>5.8430717863104942E-3</v>
      </c>
      <c r="D126" s="1105">
        <v>120.5</v>
      </c>
      <c r="E126" s="521">
        <f t="shared" si="4"/>
        <v>5.8430717863104942E-3</v>
      </c>
      <c r="F126" s="990"/>
      <c r="G126" s="989"/>
      <c r="I126" s="859"/>
    </row>
    <row r="127" spans="1:16" s="999" customFormat="1" ht="15.75" thickBot="1" x14ac:dyDescent="0.3">
      <c r="A127" s="991">
        <v>44348</v>
      </c>
      <c r="B127" s="1106">
        <v>121.2</v>
      </c>
      <c r="C127" s="523">
        <f t="shared" si="3"/>
        <v>5.8091286307053736E-3</v>
      </c>
      <c r="D127" s="1106">
        <v>121.2</v>
      </c>
      <c r="E127" s="523">
        <f t="shared" si="4"/>
        <v>5.8091286307053736E-3</v>
      </c>
      <c r="F127" s="993"/>
      <c r="G127" s="992"/>
      <c r="I127" s="859"/>
    </row>
  </sheetData>
  <customSheetViews>
    <customSheetView guid="{E49C2F27-B0B9-497E-BEC0-5B59561292FE}" hiddenRows="1" topLeftCell="A4">
      <pane xSplit="1" ySplit="4" topLeftCell="B8" activePane="bottomRight" state="frozen"/>
      <selection pane="bottomRight" activeCell="C447" sqref="C447"/>
      <pageMargins left="0.7" right="0.7" top="0.75" bottom="0.75" header="0.3" footer="0.3"/>
      <pageSetup paperSize="9" orientation="portrait" r:id="rId1"/>
    </customSheetView>
    <customSheetView guid="{A5953138-1481-4137-BEAD-32FA4FDF03E6}" topLeftCell="A4">
      <pane xSplit="1" ySplit="4" topLeftCell="B83" activePane="bottomRight" state="frozen"/>
      <selection pane="bottomRight" activeCell="I87" sqref="I87"/>
      <pageMargins left="0.7" right="0.7" top="0.75" bottom="0.75" header="0.3" footer="0.3"/>
      <pageSetup paperSize="9" orientation="portrait" r:id="rId2"/>
    </customSheetView>
    <customSheetView guid="{2A1F94CA-1A34-4418-88FD-EABF7586C2B2}" hiddenRows="1" topLeftCell="A4">
      <pane xSplit="1" ySplit="4" topLeftCell="B8" activePane="bottomRight" state="frozen"/>
      <selection pane="bottomRight" activeCell="C447" sqref="C447"/>
      <pageMargins left="0.7" right="0.7" top="0.75" bottom="0.75" header="0.3" footer="0.3"/>
      <pageSetup paperSize="9" orientation="portrait" r:id="rId3"/>
    </customSheetView>
  </customSheetViews>
  <mergeCells count="4">
    <mergeCell ref="A4:A6"/>
    <mergeCell ref="F4:G4"/>
    <mergeCell ref="B4:C4"/>
    <mergeCell ref="D4:E4"/>
  </mergeCells>
  <pageMargins left="0.7" right="0.7" top="0.75" bottom="0.75" header="0.3" footer="0.3"/>
  <pageSetup paperSize="9" orientation="portrait" r:id="rId4"/>
  <legacyDrawing r:id="rId5"/>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11">
    <tabColor rgb="FF00B050"/>
  </sheetPr>
  <dimension ref="A1:O79"/>
  <sheetViews>
    <sheetView topLeftCell="A5" zoomScale="85" zoomScaleNormal="85" workbookViewId="0">
      <pane xSplit="1" ySplit="3" topLeftCell="B8" activePane="bottomRight" state="frozen"/>
      <selection activeCell="A5" sqref="A5"/>
      <selection pane="topRight" activeCell="B5" sqref="B5"/>
      <selection pane="bottomLeft" activeCell="A8" sqref="A8"/>
      <selection pane="bottomRight" activeCell="E39" sqref="E39"/>
    </sheetView>
  </sheetViews>
  <sheetFormatPr defaultRowHeight="15" x14ac:dyDescent="0.25"/>
  <cols>
    <col min="1" max="5" width="18.140625" style="28" customWidth="1"/>
    <col min="6" max="7" width="25.7109375" style="28" customWidth="1"/>
    <col min="8" max="16384" width="9.140625" style="28"/>
  </cols>
  <sheetData>
    <row r="1" spans="1:12" s="502" customFormat="1" hidden="1" x14ac:dyDescent="0.25"/>
    <row r="2" spans="1:12" s="502" customFormat="1" hidden="1" x14ac:dyDescent="0.25"/>
    <row r="3" spans="1:12" s="502" customFormat="1" hidden="1" x14ac:dyDescent="0.25"/>
    <row r="4" spans="1:12" s="502" customFormat="1" ht="15.75" hidden="1" thickBot="1" x14ac:dyDescent="0.3"/>
    <row r="5" spans="1:12" ht="30" customHeight="1" thickBot="1" x14ac:dyDescent="0.3">
      <c r="A5" s="1143" t="s">
        <v>0</v>
      </c>
      <c r="B5" s="1146" t="s">
        <v>328</v>
      </c>
      <c r="C5" s="1147"/>
      <c r="D5" s="1146" t="s">
        <v>330</v>
      </c>
      <c r="E5" s="1148"/>
      <c r="F5" s="1146" t="s">
        <v>326</v>
      </c>
      <c r="G5" s="1147"/>
    </row>
    <row r="6" spans="1:12" ht="35.1" customHeight="1" thickBot="1" x14ac:dyDescent="0.3">
      <c r="A6" s="1145"/>
      <c r="B6" s="354" t="s">
        <v>1</v>
      </c>
      <c r="C6" s="354" t="s">
        <v>329</v>
      </c>
      <c r="D6" s="354" t="s">
        <v>1</v>
      </c>
      <c r="E6" s="354" t="s">
        <v>329</v>
      </c>
      <c r="F6" s="46" t="s">
        <v>1</v>
      </c>
      <c r="G6" s="47" t="s">
        <v>107</v>
      </c>
    </row>
    <row r="7" spans="1:12" ht="18" customHeight="1" thickBot="1" x14ac:dyDescent="0.3">
      <c r="A7" s="41" t="s">
        <v>550</v>
      </c>
      <c r="B7" s="997" t="s">
        <v>193</v>
      </c>
      <c r="C7" s="997" t="s">
        <v>194</v>
      </c>
      <c r="D7" s="997" t="s">
        <v>442</v>
      </c>
      <c r="E7" s="997" t="s">
        <v>331</v>
      </c>
      <c r="F7" s="48" t="s">
        <v>332</v>
      </c>
      <c r="G7" s="49" t="s">
        <v>333</v>
      </c>
    </row>
    <row r="8" spans="1:12" ht="18" customHeight="1" x14ac:dyDescent="0.25">
      <c r="A8" s="13">
        <v>33756</v>
      </c>
      <c r="B8" s="367">
        <v>59.7</v>
      </c>
      <c r="C8" s="368"/>
      <c r="D8" s="367">
        <v>59.7</v>
      </c>
      <c r="E8" s="368"/>
      <c r="F8" s="369">
        <v>107.27499999999999</v>
      </c>
      <c r="G8" s="368"/>
    </row>
    <row r="9" spans="1:12" ht="18" customHeight="1" x14ac:dyDescent="0.25">
      <c r="A9" s="14">
        <v>34121</v>
      </c>
      <c r="B9" s="367">
        <v>60.325000000000003</v>
      </c>
      <c r="C9" s="368">
        <f t="shared" ref="C9:G16" si="0">B9/B8-1</f>
        <v>1.0469011725293242E-2</v>
      </c>
      <c r="D9" s="367">
        <v>60.325000000000003</v>
      </c>
      <c r="E9" s="368">
        <f t="shared" si="0"/>
        <v>1.0469011725293242E-2</v>
      </c>
      <c r="F9" s="369">
        <v>108.375</v>
      </c>
      <c r="G9" s="368">
        <f t="shared" si="0"/>
        <v>1.0254020041948309E-2</v>
      </c>
    </row>
    <row r="10" spans="1:12" ht="18" customHeight="1" x14ac:dyDescent="0.25">
      <c r="A10" s="14">
        <v>34486</v>
      </c>
      <c r="B10" s="367">
        <v>61.424999999999997</v>
      </c>
      <c r="C10" s="368">
        <f t="shared" si="0"/>
        <v>1.8234562784914976E-2</v>
      </c>
      <c r="D10" s="367">
        <v>61.424999999999997</v>
      </c>
      <c r="E10" s="368">
        <f t="shared" si="0"/>
        <v>1.8234562784914976E-2</v>
      </c>
      <c r="F10" s="369">
        <v>110.35</v>
      </c>
      <c r="G10" s="368">
        <f t="shared" si="0"/>
        <v>1.8223760092272112E-2</v>
      </c>
    </row>
    <row r="11" spans="1:12" ht="18" customHeight="1" x14ac:dyDescent="0.25">
      <c r="A11" s="14">
        <v>34851</v>
      </c>
      <c r="B11" s="367">
        <v>63.4</v>
      </c>
      <c r="C11" s="368">
        <f t="shared" si="0"/>
        <v>3.2153032153032113E-2</v>
      </c>
      <c r="D11" s="367">
        <v>63.4</v>
      </c>
      <c r="E11" s="368">
        <f t="shared" si="0"/>
        <v>3.2153032153032113E-2</v>
      </c>
      <c r="F11" s="369">
        <v>113.9</v>
      </c>
      <c r="G11" s="368">
        <f t="shared" si="0"/>
        <v>3.2170367014046297E-2</v>
      </c>
    </row>
    <row r="12" spans="1:12" ht="18" customHeight="1" x14ac:dyDescent="0.25">
      <c r="A12" s="14">
        <v>35217</v>
      </c>
      <c r="B12" s="367">
        <v>66.099999999999994</v>
      </c>
      <c r="C12" s="368">
        <f t="shared" si="0"/>
        <v>4.258675078864349E-2</v>
      </c>
      <c r="D12" s="367">
        <v>66.099999999999994</v>
      </c>
      <c r="E12" s="368">
        <f t="shared" si="0"/>
        <v>4.258675078864349E-2</v>
      </c>
      <c r="F12" s="369">
        <v>118.72499999999999</v>
      </c>
      <c r="G12" s="368">
        <f t="shared" si="0"/>
        <v>4.2361720807726044E-2</v>
      </c>
    </row>
    <row r="13" spans="1:12" ht="18" customHeight="1" x14ac:dyDescent="0.25">
      <c r="A13" s="14">
        <v>35582</v>
      </c>
      <c r="B13" s="367">
        <v>67</v>
      </c>
      <c r="C13" s="368">
        <f t="shared" si="0"/>
        <v>1.3615733736762614E-2</v>
      </c>
      <c r="D13" s="367">
        <v>67</v>
      </c>
      <c r="E13" s="368">
        <f t="shared" si="0"/>
        <v>1.3615733736762614E-2</v>
      </c>
      <c r="F13" s="369">
        <v>120.27500000000001</v>
      </c>
      <c r="G13" s="368">
        <f t="shared" si="0"/>
        <v>1.3055380080016832E-2</v>
      </c>
      <c r="K13" s="270"/>
      <c r="L13" s="270"/>
    </row>
    <row r="14" spans="1:12" ht="18" customHeight="1" x14ac:dyDescent="0.25">
      <c r="A14" s="14">
        <v>35947</v>
      </c>
      <c r="B14" s="367">
        <v>67</v>
      </c>
      <c r="C14" s="368">
        <f t="shared" si="0"/>
        <v>0</v>
      </c>
      <c r="D14" s="367">
        <v>67</v>
      </c>
      <c r="E14" s="368">
        <f t="shared" si="0"/>
        <v>0</v>
      </c>
      <c r="F14" s="369">
        <v>120.25</v>
      </c>
      <c r="G14" s="368">
        <f t="shared" si="0"/>
        <v>-2.078569943878561E-4</v>
      </c>
      <c r="K14" s="270"/>
      <c r="L14" s="270"/>
    </row>
    <row r="15" spans="1:12" ht="18" customHeight="1" x14ac:dyDescent="0.25">
      <c r="A15" s="14">
        <v>36312</v>
      </c>
      <c r="B15" s="367">
        <v>67.8</v>
      </c>
      <c r="C15" s="368">
        <f t="shared" si="0"/>
        <v>1.1940298507462588E-2</v>
      </c>
      <c r="D15" s="367">
        <v>67.8</v>
      </c>
      <c r="E15" s="368">
        <f t="shared" si="0"/>
        <v>1.1940298507462588E-2</v>
      </c>
      <c r="F15" s="369">
        <v>121.825</v>
      </c>
      <c r="G15" s="368">
        <f t="shared" si="0"/>
        <v>1.3097713097713015E-2</v>
      </c>
      <c r="K15" s="270"/>
      <c r="L15" s="270"/>
    </row>
    <row r="16" spans="1:12" ht="18" customHeight="1" x14ac:dyDescent="0.25">
      <c r="A16" s="14">
        <v>36678</v>
      </c>
      <c r="B16" s="367">
        <v>69.400000000000006</v>
      </c>
      <c r="C16" s="368">
        <f t="shared" si="0"/>
        <v>2.3598820058997161E-2</v>
      </c>
      <c r="D16" s="367">
        <v>69.400000000000006</v>
      </c>
      <c r="E16" s="368">
        <f t="shared" si="0"/>
        <v>2.3598820058997161E-2</v>
      </c>
      <c r="F16" s="369">
        <v>124.72499999999999</v>
      </c>
      <c r="G16" s="368">
        <f t="shared" si="0"/>
        <v>2.3804637800123096E-2</v>
      </c>
      <c r="K16" s="270"/>
      <c r="L16" s="270"/>
    </row>
    <row r="17" spans="1:12" ht="18" customHeight="1" x14ac:dyDescent="0.25">
      <c r="A17" s="14">
        <v>37043</v>
      </c>
      <c r="B17" s="367">
        <v>73.599999999999994</v>
      </c>
      <c r="C17" s="368">
        <f t="shared" ref="C17:G24" si="1">B17/B16-1</f>
        <v>6.0518731988472352E-2</v>
      </c>
      <c r="D17" s="367">
        <v>73.599999999999994</v>
      </c>
      <c r="E17" s="368">
        <f t="shared" si="1"/>
        <v>6.0518731988472352E-2</v>
      </c>
      <c r="F17" s="369">
        <v>132.17500000000001</v>
      </c>
      <c r="G17" s="368">
        <f t="shared" si="1"/>
        <v>5.9731409100020283E-2</v>
      </c>
      <c r="K17" s="270"/>
      <c r="L17" s="270"/>
    </row>
    <row r="18" spans="1:12" ht="18" customHeight="1" x14ac:dyDescent="0.25">
      <c r="A18" s="14">
        <v>37408</v>
      </c>
      <c r="B18" s="367">
        <v>75.7</v>
      </c>
      <c r="C18" s="368">
        <f t="shared" si="1"/>
        <v>2.8532608695652328E-2</v>
      </c>
      <c r="D18" s="367">
        <v>75.7</v>
      </c>
      <c r="E18" s="368">
        <f t="shared" si="1"/>
        <v>2.8532608695652328E-2</v>
      </c>
      <c r="F18" s="369">
        <v>135.94999999999999</v>
      </c>
      <c r="G18" s="368">
        <f t="shared" si="1"/>
        <v>2.8560620389634694E-2</v>
      </c>
      <c r="K18" s="270"/>
      <c r="L18" s="270"/>
    </row>
    <row r="19" spans="1:12" ht="18" customHeight="1" x14ac:dyDescent="0.25">
      <c r="A19" s="14">
        <v>37773</v>
      </c>
      <c r="B19" s="367">
        <v>78</v>
      </c>
      <c r="C19" s="368">
        <f t="shared" si="1"/>
        <v>3.0383091149273511E-2</v>
      </c>
      <c r="D19" s="367">
        <v>78</v>
      </c>
      <c r="E19" s="368">
        <f t="shared" si="1"/>
        <v>3.0383091149273511E-2</v>
      </c>
      <c r="F19" s="369">
        <v>140.15</v>
      </c>
      <c r="G19" s="368">
        <f t="shared" si="1"/>
        <v>3.0893710923133533E-2</v>
      </c>
      <c r="K19" s="270"/>
      <c r="L19" s="270"/>
    </row>
    <row r="20" spans="1:12" ht="18" customHeight="1" x14ac:dyDescent="0.25">
      <c r="A20" s="350">
        <v>38139</v>
      </c>
      <c r="B20" s="367">
        <v>79.900000000000006</v>
      </c>
      <c r="C20" s="368">
        <f t="shared" si="1"/>
        <v>2.4358974358974494E-2</v>
      </c>
      <c r="D20" s="367">
        <v>79.900000000000006</v>
      </c>
      <c r="E20" s="368">
        <f t="shared" si="1"/>
        <v>2.4358974358974494E-2</v>
      </c>
      <c r="F20" s="369">
        <v>143.44999999999999</v>
      </c>
      <c r="G20" s="368">
        <f t="shared" si="1"/>
        <v>2.3546200499464653E-2</v>
      </c>
      <c r="K20" s="270"/>
      <c r="L20" s="270"/>
    </row>
    <row r="21" spans="1:12" ht="18" customHeight="1" x14ac:dyDescent="0.25">
      <c r="A21" s="350">
        <v>38504</v>
      </c>
      <c r="B21" s="367">
        <v>81.8</v>
      </c>
      <c r="C21" s="368">
        <f t="shared" si="1"/>
        <v>2.3779724655819567E-2</v>
      </c>
      <c r="D21" s="367">
        <v>81.8</v>
      </c>
      <c r="E21" s="368">
        <f t="shared" si="1"/>
        <v>2.3779724655819567E-2</v>
      </c>
      <c r="F21" s="369">
        <v>146.94999999999999</v>
      </c>
      <c r="G21" s="368">
        <f t="shared" si="1"/>
        <v>2.4398745207389272E-2</v>
      </c>
      <c r="K21" s="270"/>
      <c r="L21" s="270"/>
    </row>
    <row r="22" spans="1:12" ht="18" customHeight="1" x14ac:dyDescent="0.25">
      <c r="A22" s="350">
        <v>38869</v>
      </c>
      <c r="B22" s="367">
        <v>84.4</v>
      </c>
      <c r="C22" s="368">
        <f t="shared" si="1"/>
        <v>3.1784841075794823E-2</v>
      </c>
      <c r="D22" s="367">
        <v>84.4</v>
      </c>
      <c r="E22" s="368">
        <f t="shared" si="1"/>
        <v>3.1784841075794823E-2</v>
      </c>
      <c r="F22" s="369">
        <v>151.65</v>
      </c>
      <c r="G22" s="368">
        <f t="shared" si="1"/>
        <v>3.1983667914256664E-2</v>
      </c>
      <c r="K22" s="270"/>
      <c r="L22" s="270"/>
    </row>
    <row r="23" spans="1:12" ht="18" customHeight="1" x14ac:dyDescent="0.25">
      <c r="A23" s="350">
        <v>39234</v>
      </c>
      <c r="B23" s="367">
        <v>86.9</v>
      </c>
      <c r="C23" s="368">
        <f t="shared" si="1"/>
        <v>2.962085308056861E-2</v>
      </c>
      <c r="D23" s="367">
        <v>86.9</v>
      </c>
      <c r="E23" s="368">
        <f t="shared" si="1"/>
        <v>2.962085308056861E-2</v>
      </c>
      <c r="F23" s="369">
        <v>156.07499999999999</v>
      </c>
      <c r="G23" s="368">
        <f t="shared" si="1"/>
        <v>2.9179030662709993E-2</v>
      </c>
      <c r="K23" s="270"/>
      <c r="L23" s="270"/>
    </row>
    <row r="24" spans="1:12" x14ac:dyDescent="0.25">
      <c r="A24" s="350">
        <v>39600</v>
      </c>
      <c r="B24" s="367">
        <v>89.824999999999989</v>
      </c>
      <c r="C24" s="368">
        <f t="shared" si="1"/>
        <v>3.3659378596087253E-2</v>
      </c>
      <c r="D24" s="367">
        <v>89.824999999999989</v>
      </c>
      <c r="E24" s="368">
        <f t="shared" si="1"/>
        <v>3.3659378596087253E-2</v>
      </c>
      <c r="F24" s="369">
        <v>161.375</v>
      </c>
      <c r="G24" s="368">
        <f t="shared" si="1"/>
        <v>3.3958032996956655E-2</v>
      </c>
      <c r="K24" s="270"/>
      <c r="L24" s="270"/>
    </row>
    <row r="25" spans="1:12" x14ac:dyDescent="0.25">
      <c r="A25" s="350">
        <v>39965</v>
      </c>
      <c r="B25" s="367">
        <v>92.625</v>
      </c>
      <c r="C25" s="368">
        <f t="shared" ref="C25:C37" si="2">B25/B24-1</f>
        <v>3.1171722794322454E-2</v>
      </c>
      <c r="D25" s="367">
        <v>92.625</v>
      </c>
      <c r="E25" s="368">
        <f t="shared" ref="E25:E37" si="3">D25/D24-1</f>
        <v>3.1171722794322454E-2</v>
      </c>
      <c r="F25" s="369">
        <v>166.42500000000001</v>
      </c>
      <c r="G25" s="368">
        <f t="shared" ref="G25:G32" si="4">F25/F24-1</f>
        <v>3.1293570875290611E-2</v>
      </c>
      <c r="K25" s="270"/>
      <c r="L25" s="270"/>
    </row>
    <row r="26" spans="1:12" x14ac:dyDescent="0.25">
      <c r="A26" s="350">
        <v>40330</v>
      </c>
      <c r="B26" s="367">
        <v>94.775000000000006</v>
      </c>
      <c r="C26" s="368">
        <f t="shared" si="2"/>
        <v>2.3211875843454743E-2</v>
      </c>
      <c r="D26" s="367">
        <v>94.775000000000006</v>
      </c>
      <c r="E26" s="368">
        <f t="shared" si="3"/>
        <v>2.3211875843454743E-2</v>
      </c>
      <c r="F26" s="369">
        <v>170.3</v>
      </c>
      <c r="G26" s="368">
        <f t="shared" si="4"/>
        <v>2.3283761454108376E-2</v>
      </c>
      <c r="K26" s="270"/>
      <c r="L26" s="270"/>
    </row>
    <row r="27" spans="1:12" x14ac:dyDescent="0.25">
      <c r="A27" s="350">
        <v>40695</v>
      </c>
      <c r="B27" s="367">
        <v>97.724999999999994</v>
      </c>
      <c r="C27" s="368">
        <f t="shared" si="2"/>
        <v>3.1126351886045844E-2</v>
      </c>
      <c r="D27" s="367">
        <v>97.724999999999994</v>
      </c>
      <c r="E27" s="368">
        <f t="shared" si="3"/>
        <v>3.1126351886045844E-2</v>
      </c>
      <c r="F27" s="369">
        <v>175.57499999999999</v>
      </c>
      <c r="G27" s="368">
        <f t="shared" si="4"/>
        <v>3.0974750440399212E-2</v>
      </c>
      <c r="K27" s="270"/>
      <c r="L27" s="270"/>
    </row>
    <row r="28" spans="1:12" x14ac:dyDescent="0.25">
      <c r="A28" s="350">
        <v>41061</v>
      </c>
      <c r="B28" s="367">
        <v>99.974999999999994</v>
      </c>
      <c r="C28" s="503">
        <f t="shared" si="2"/>
        <v>2.3023791250959436E-2</v>
      </c>
      <c r="D28" s="367">
        <v>99.974999999999994</v>
      </c>
      <c r="E28" s="503">
        <f t="shared" si="3"/>
        <v>2.3023791250959436E-2</v>
      </c>
      <c r="F28" s="504">
        <v>179.67500000000001</v>
      </c>
      <c r="G28" s="503">
        <f t="shared" si="4"/>
        <v>2.3351843941335826E-2</v>
      </c>
      <c r="K28" s="270"/>
      <c r="L28" s="270"/>
    </row>
    <row r="29" spans="1:12" x14ac:dyDescent="0.25">
      <c r="A29" s="350">
        <v>41426</v>
      </c>
      <c r="B29" s="367">
        <v>102.25000000000001</v>
      </c>
      <c r="C29" s="503">
        <f t="shared" si="2"/>
        <v>2.2755688922230677E-2</v>
      </c>
      <c r="D29" s="367">
        <v>102.25000000000001</v>
      </c>
      <c r="E29" s="503">
        <f t="shared" si="3"/>
        <v>2.2755688922230677E-2</v>
      </c>
      <c r="F29" s="504">
        <f>F28+(F28*E29)</f>
        <v>183.76362840710181</v>
      </c>
      <c r="G29" s="503">
        <f t="shared" si="4"/>
        <v>2.2755688922230677E-2</v>
      </c>
      <c r="I29" s="999"/>
      <c r="L29" s="270"/>
    </row>
    <row r="30" spans="1:12" x14ac:dyDescent="0.25">
      <c r="A30" s="350">
        <v>41791</v>
      </c>
      <c r="B30" s="367">
        <v>105.02500000000001</v>
      </c>
      <c r="C30" s="503">
        <f t="shared" si="2"/>
        <v>2.7139364303178315E-2</v>
      </c>
      <c r="D30" s="367">
        <v>105.02500000000001</v>
      </c>
      <c r="E30" s="503">
        <f t="shared" si="3"/>
        <v>2.7139364303178315E-2</v>
      </c>
      <c r="F30" s="504">
        <f>F29+(F29*E30)</f>
        <v>188.75085646411603</v>
      </c>
      <c r="G30" s="503">
        <f t="shared" si="4"/>
        <v>2.7139364303178315E-2</v>
      </c>
      <c r="I30" s="999"/>
      <c r="L30" s="270"/>
    </row>
    <row r="31" spans="1:12" s="697" customFormat="1" x14ac:dyDescent="0.25">
      <c r="A31" s="350">
        <v>42156</v>
      </c>
      <c r="B31" s="367">
        <v>106.825</v>
      </c>
      <c r="C31" s="503">
        <f t="shared" si="2"/>
        <v>1.7138776481790075E-2</v>
      </c>
      <c r="D31" s="367">
        <v>106.825</v>
      </c>
      <c r="E31" s="503">
        <f t="shared" si="3"/>
        <v>1.7138776481790075E-2</v>
      </c>
      <c r="F31" s="504">
        <f>F30+(F30*E31)</f>
        <v>191.98581520380094</v>
      </c>
      <c r="G31" s="503">
        <f t="shared" si="4"/>
        <v>1.7138776481790075E-2</v>
      </c>
      <c r="I31" s="999"/>
      <c r="L31" s="270"/>
    </row>
    <row r="32" spans="1:12" x14ac:dyDescent="0.25">
      <c r="A32" s="350">
        <v>42522</v>
      </c>
      <c r="B32" s="367">
        <v>108.30000000000001</v>
      </c>
      <c r="C32" s="503">
        <f t="shared" si="2"/>
        <v>1.3807629300257585E-2</v>
      </c>
      <c r="D32" s="367">
        <v>108.30000000000001</v>
      </c>
      <c r="E32" s="503">
        <f t="shared" si="3"/>
        <v>1.3807629300257585E-2</v>
      </c>
      <c r="F32" s="504">
        <f>F31+(F31*E32)</f>
        <v>194.63668417104279</v>
      </c>
      <c r="G32" s="503">
        <f t="shared" si="4"/>
        <v>1.3807629300257585E-2</v>
      </c>
      <c r="I32" s="999"/>
      <c r="J32" s="979"/>
      <c r="L32" s="270"/>
    </row>
    <row r="33" spans="1:15" x14ac:dyDescent="0.25">
      <c r="A33" s="350">
        <v>42887</v>
      </c>
      <c r="B33" s="1101">
        <v>110.15</v>
      </c>
      <c r="C33" s="503">
        <f t="shared" si="2"/>
        <v>1.7082179132040576E-2</v>
      </c>
      <c r="D33" s="1101">
        <v>110.15</v>
      </c>
      <c r="E33" s="503">
        <f t="shared" si="3"/>
        <v>1.7082179132040576E-2</v>
      </c>
      <c r="F33" s="504"/>
      <c r="G33" s="503"/>
      <c r="I33" s="483"/>
      <c r="J33" s="979"/>
      <c r="K33" s="5"/>
      <c r="L33" s="483"/>
      <c r="M33" s="5"/>
      <c r="N33" s="5"/>
      <c r="O33" s="5"/>
    </row>
    <row r="34" spans="1:15" x14ac:dyDescent="0.25">
      <c r="A34" s="505">
        <v>43252</v>
      </c>
      <c r="B34" s="1057">
        <f>SimpleAverage($A34,B$7,CPI!$B$8:$C$247,CPI!$A$8:$A$247,CPI!$B$7:$C$7)</f>
        <v>112.075</v>
      </c>
      <c r="C34" s="506">
        <f t="shared" si="2"/>
        <v>1.7476168860644625E-2</v>
      </c>
      <c r="D34" s="1057">
        <f>SimpleAverage($A34,D$7,CPI!$D$8:$E$247,CPI!$A$8:$A$247,CPI!$D$7:$E$7)</f>
        <v>112.075</v>
      </c>
      <c r="E34" s="506">
        <f t="shared" si="3"/>
        <v>1.7476168860644625E-2</v>
      </c>
      <c r="F34" s="507"/>
      <c r="G34" s="506"/>
      <c r="I34" s="999" t="s">
        <v>981</v>
      </c>
      <c r="J34" s="979"/>
      <c r="K34" s="5"/>
      <c r="L34" s="5"/>
      <c r="M34" s="5"/>
      <c r="N34" s="5"/>
      <c r="O34" s="5"/>
    </row>
    <row r="35" spans="1:15" s="697" customFormat="1" x14ac:dyDescent="0.25">
      <c r="A35" s="505">
        <v>43617</v>
      </c>
      <c r="B35" s="1057">
        <f>SimpleAverage($A35,B$7,CPI!$B$8:$C$247,CPI!$A$8:$A$247,CPI!$B$7:$C$7)</f>
        <v>114.45</v>
      </c>
      <c r="C35" s="506">
        <f t="shared" si="2"/>
        <v>2.1191166629489278E-2</v>
      </c>
      <c r="D35" s="1057">
        <f>SimpleAverage($A35,D$7,CPI!$D$8:$E$247,CPI!$A$8:$A$247,CPI!$D$7:$E$7)</f>
        <v>114.45</v>
      </c>
      <c r="E35" s="506">
        <f t="shared" si="3"/>
        <v>2.1191166629489278E-2</v>
      </c>
      <c r="F35" s="507"/>
      <c r="G35" s="506"/>
      <c r="I35" s="483"/>
      <c r="J35" s="979"/>
      <c r="K35" s="5"/>
      <c r="L35" s="5"/>
      <c r="M35" s="5"/>
      <c r="N35" s="5"/>
      <c r="O35" s="5"/>
    </row>
    <row r="36" spans="1:15" s="5" customFormat="1" x14ac:dyDescent="0.25">
      <c r="A36" s="505">
        <v>43983</v>
      </c>
      <c r="B36" s="1057">
        <f>SimpleAverage($A36,B$7,CPI!$B$8:$C$247,CPI!$A$8:$A$247,CPI!$B$7:$C$7)</f>
        <v>117.19999999999999</v>
      </c>
      <c r="C36" s="506">
        <f t="shared" si="2"/>
        <v>2.4027959807776167E-2</v>
      </c>
      <c r="D36" s="1057">
        <f>SimpleAverage($A36,D$7,CPI!$D$8:$E$247,CPI!$A$8:$A$247,CPI!$D$7:$E$7)</f>
        <v>117.19999999999999</v>
      </c>
      <c r="E36" s="506">
        <f t="shared" si="3"/>
        <v>2.4027959807776167E-2</v>
      </c>
      <c r="F36" s="507"/>
      <c r="G36" s="506"/>
      <c r="I36" s="483"/>
      <c r="J36" s="979"/>
    </row>
    <row r="37" spans="1:15" s="5" customFormat="1" x14ac:dyDescent="0.25">
      <c r="A37" s="505">
        <v>44348</v>
      </c>
      <c r="B37" s="1057">
        <f>SimpleAverage($A37,B$7,CPI!$B$8:$C$247,CPI!$A$8:$A$247,CPI!$B$7:$C$7)</f>
        <v>120.125</v>
      </c>
      <c r="C37" s="506">
        <f t="shared" si="2"/>
        <v>2.4957337883959152E-2</v>
      </c>
      <c r="D37" s="1057">
        <f>SimpleAverage($A37,D$7,CPI!$D$8:$E$247,CPI!$A$8:$A$247,CPI!$D$7:$E$7)</f>
        <v>120.125</v>
      </c>
      <c r="E37" s="506">
        <f t="shared" si="3"/>
        <v>2.4957337883959152E-2</v>
      </c>
      <c r="F37" s="507"/>
      <c r="G37" s="506"/>
      <c r="I37" s="483"/>
      <c r="J37" s="979"/>
    </row>
    <row r="38" spans="1:15" x14ac:dyDescent="0.25">
      <c r="C38" s="999"/>
      <c r="D38" s="999"/>
      <c r="E38" s="279"/>
      <c r="G38" s="279"/>
      <c r="I38" s="5"/>
      <c r="J38" s="5"/>
      <c r="K38" s="5"/>
      <c r="L38" s="5"/>
      <c r="M38" s="5"/>
      <c r="N38" s="5"/>
      <c r="O38" s="5"/>
    </row>
    <row r="39" spans="1:15" x14ac:dyDescent="0.25">
      <c r="C39" s="279"/>
      <c r="E39" s="279"/>
      <c r="G39" s="279"/>
    </row>
    <row r="40" spans="1:15" x14ac:dyDescent="0.25">
      <c r="C40" s="279"/>
      <c r="E40" s="279"/>
      <c r="G40" s="279"/>
    </row>
    <row r="41" spans="1:15" x14ac:dyDescent="0.25">
      <c r="A41" s="999"/>
      <c r="C41" s="279"/>
      <c r="E41" s="279"/>
      <c r="G41" s="279"/>
    </row>
    <row r="42" spans="1:15" x14ac:dyDescent="0.25">
      <c r="C42" s="279"/>
      <c r="E42" s="279"/>
      <c r="G42" s="279"/>
    </row>
    <row r="43" spans="1:15" x14ac:dyDescent="0.25">
      <c r="C43" s="279"/>
      <c r="E43" s="279"/>
      <c r="G43" s="279"/>
    </row>
    <row r="44" spans="1:15" x14ac:dyDescent="0.25">
      <c r="C44" s="279"/>
      <c r="E44" s="279"/>
      <c r="G44" s="279"/>
    </row>
    <row r="45" spans="1:15" x14ac:dyDescent="0.25">
      <c r="C45" s="279"/>
      <c r="E45" s="279"/>
      <c r="G45" s="279"/>
    </row>
    <row r="46" spans="1:15" x14ac:dyDescent="0.25">
      <c r="C46" s="279"/>
      <c r="E46" s="279"/>
      <c r="G46" s="279"/>
    </row>
    <row r="47" spans="1:15" x14ac:dyDescent="0.25">
      <c r="C47" s="279"/>
      <c r="E47" s="279"/>
      <c r="G47" s="279"/>
    </row>
    <row r="48" spans="1:15" x14ac:dyDescent="0.25">
      <c r="C48" s="279"/>
      <c r="E48" s="279"/>
      <c r="G48" s="279"/>
    </row>
    <row r="49" spans="3:7" x14ac:dyDescent="0.25">
      <c r="C49" s="279"/>
      <c r="E49" s="279"/>
      <c r="G49" s="279"/>
    </row>
    <row r="50" spans="3:7" x14ac:dyDescent="0.25">
      <c r="C50" s="279"/>
      <c r="E50" s="279"/>
      <c r="G50" s="279"/>
    </row>
    <row r="51" spans="3:7" x14ac:dyDescent="0.25">
      <c r="C51" s="279"/>
      <c r="E51" s="279"/>
      <c r="G51" s="279"/>
    </row>
    <row r="52" spans="3:7" x14ac:dyDescent="0.25">
      <c r="C52" s="279"/>
      <c r="E52" s="279"/>
      <c r="G52" s="279"/>
    </row>
    <row r="53" spans="3:7" x14ac:dyDescent="0.25">
      <c r="C53" s="279"/>
      <c r="E53" s="279"/>
      <c r="G53" s="279"/>
    </row>
    <row r="54" spans="3:7" x14ac:dyDescent="0.25">
      <c r="C54" s="279"/>
      <c r="E54" s="279"/>
      <c r="G54" s="279"/>
    </row>
    <row r="55" spans="3:7" x14ac:dyDescent="0.25">
      <c r="C55" s="279"/>
      <c r="E55" s="279"/>
      <c r="G55" s="279"/>
    </row>
    <row r="56" spans="3:7" x14ac:dyDescent="0.25">
      <c r="C56" s="279"/>
      <c r="E56" s="279"/>
      <c r="G56" s="279"/>
    </row>
    <row r="57" spans="3:7" x14ac:dyDescent="0.25">
      <c r="C57" s="279"/>
      <c r="E57" s="279"/>
      <c r="G57" s="279"/>
    </row>
    <row r="58" spans="3:7" x14ac:dyDescent="0.25">
      <c r="C58" s="279"/>
      <c r="E58" s="279"/>
      <c r="G58" s="279"/>
    </row>
    <row r="59" spans="3:7" x14ac:dyDescent="0.25">
      <c r="C59" s="279"/>
      <c r="E59" s="279"/>
      <c r="G59" s="279"/>
    </row>
    <row r="60" spans="3:7" x14ac:dyDescent="0.25">
      <c r="C60" s="279"/>
      <c r="E60" s="279"/>
      <c r="G60" s="279"/>
    </row>
    <row r="61" spans="3:7" x14ac:dyDescent="0.25">
      <c r="C61" s="279"/>
      <c r="E61" s="279"/>
      <c r="G61" s="279"/>
    </row>
    <row r="62" spans="3:7" x14ac:dyDescent="0.25">
      <c r="C62" s="279"/>
      <c r="E62" s="279"/>
      <c r="G62" s="279"/>
    </row>
    <row r="63" spans="3:7" x14ac:dyDescent="0.25">
      <c r="C63" s="279"/>
      <c r="E63" s="279"/>
      <c r="G63" s="279"/>
    </row>
    <row r="64" spans="3:7" x14ac:dyDescent="0.25">
      <c r="C64" s="279"/>
      <c r="E64" s="279"/>
      <c r="G64" s="279"/>
    </row>
    <row r="65" spans="3:7" x14ac:dyDescent="0.25">
      <c r="C65" s="279"/>
      <c r="E65" s="279"/>
      <c r="G65" s="279"/>
    </row>
    <row r="66" spans="3:7" x14ac:dyDescent="0.25">
      <c r="C66" s="279"/>
      <c r="E66" s="279"/>
      <c r="G66" s="279"/>
    </row>
    <row r="67" spans="3:7" x14ac:dyDescent="0.25">
      <c r="C67" s="279"/>
      <c r="E67" s="279"/>
      <c r="G67" s="279"/>
    </row>
    <row r="68" spans="3:7" x14ac:dyDescent="0.25">
      <c r="C68" s="279"/>
      <c r="E68" s="279"/>
      <c r="G68" s="279"/>
    </row>
    <row r="69" spans="3:7" x14ac:dyDescent="0.25">
      <c r="C69" s="279"/>
      <c r="E69" s="279"/>
      <c r="G69" s="279"/>
    </row>
    <row r="70" spans="3:7" x14ac:dyDescent="0.25">
      <c r="C70" s="279"/>
      <c r="E70" s="279"/>
      <c r="G70" s="279"/>
    </row>
    <row r="71" spans="3:7" x14ac:dyDescent="0.25">
      <c r="C71" s="279"/>
      <c r="E71" s="279"/>
      <c r="G71" s="279"/>
    </row>
    <row r="72" spans="3:7" x14ac:dyDescent="0.25">
      <c r="C72" s="279"/>
      <c r="E72" s="279"/>
      <c r="G72" s="279"/>
    </row>
    <row r="73" spans="3:7" x14ac:dyDescent="0.25">
      <c r="C73" s="279"/>
      <c r="E73" s="279"/>
      <c r="G73" s="279"/>
    </row>
    <row r="74" spans="3:7" x14ac:dyDescent="0.25">
      <c r="C74" s="279"/>
      <c r="E74" s="279"/>
      <c r="G74" s="279"/>
    </row>
    <row r="75" spans="3:7" x14ac:dyDescent="0.25">
      <c r="C75" s="279"/>
      <c r="E75" s="279"/>
      <c r="G75" s="279"/>
    </row>
    <row r="76" spans="3:7" x14ac:dyDescent="0.25">
      <c r="C76" s="279"/>
      <c r="E76" s="279"/>
      <c r="G76" s="279"/>
    </row>
    <row r="77" spans="3:7" x14ac:dyDescent="0.25">
      <c r="C77" s="279"/>
      <c r="E77" s="279"/>
      <c r="G77" s="279"/>
    </row>
    <row r="78" spans="3:7" x14ac:dyDescent="0.25">
      <c r="C78" s="279"/>
      <c r="E78" s="279"/>
      <c r="G78" s="279"/>
    </row>
    <row r="79" spans="3:7" x14ac:dyDescent="0.25">
      <c r="G79" s="279"/>
    </row>
  </sheetData>
  <customSheetViews>
    <customSheetView guid="{E49C2F27-B0B9-497E-BEC0-5B59561292FE}" hiddenRows="1" topLeftCell="A76">
      <selection activeCell="E110" sqref="E110"/>
      <pageMargins left="0.7" right="0.7" top="0.75" bottom="0.75" header="0.3" footer="0.3"/>
      <pageSetup paperSize="9" orientation="portrait" r:id="rId1"/>
    </customSheetView>
    <customSheetView guid="{A5953138-1481-4137-BEAD-32FA4FDF03E6}" topLeftCell="A76">
      <selection activeCell="E110" sqref="E110"/>
      <pageMargins left="0.7" right="0.7" top="0.75" bottom="0.75" header="0.3" footer="0.3"/>
      <pageSetup paperSize="9" orientation="portrait" r:id="rId2"/>
    </customSheetView>
    <customSheetView guid="{2A1F94CA-1A34-4418-88FD-EABF7586C2B2}" hiddenRows="1" topLeftCell="A76">
      <selection activeCell="E110" sqref="E110"/>
      <pageMargins left="0.7" right="0.7" top="0.75" bottom="0.75" header="0.3" footer="0.3"/>
      <pageSetup paperSize="9" orientation="portrait" r:id="rId3"/>
    </customSheetView>
  </customSheetViews>
  <mergeCells count="4">
    <mergeCell ref="A5:A6"/>
    <mergeCell ref="F5:G5"/>
    <mergeCell ref="B5:C5"/>
    <mergeCell ref="D5:E5"/>
  </mergeCells>
  <conditionalFormatting sqref="J33:J36">
    <cfRule type="cellIs" dxfId="3" priority="3" operator="notEqual">
      <formula>0</formula>
    </cfRule>
    <cfRule type="cellIs" dxfId="2" priority="4" operator="notEqual">
      <formula>0</formula>
    </cfRule>
  </conditionalFormatting>
  <conditionalFormatting sqref="J37">
    <cfRule type="cellIs" dxfId="1" priority="1" operator="notEqual">
      <formula>0</formula>
    </cfRule>
    <cfRule type="cellIs" dxfId="0" priority="2" operator="notEqual">
      <formula>0</formula>
    </cfRule>
  </conditionalFormatting>
  <pageMargins left="0.7" right="0.7" top="0.75" bottom="0.75" header="0.3" footer="0.3"/>
  <pageSetup paperSize="9" orientation="portrait" r:id="rId4"/>
  <legacyDrawing r:id="rId5"/>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3">
    <tabColor rgb="FF00B050"/>
  </sheetPr>
  <dimension ref="A1:AH143"/>
  <sheetViews>
    <sheetView topLeftCell="A3" zoomScale="70" zoomScaleNormal="70" workbookViewId="0">
      <pane xSplit="1" ySplit="5" topLeftCell="B95" activePane="bottomRight" state="frozen"/>
      <selection activeCell="A3" sqref="A3"/>
      <selection pane="topRight" activeCell="B3" sqref="B3"/>
      <selection pane="bottomLeft" activeCell="A8" sqref="A8"/>
      <selection pane="bottomRight" activeCell="M130" sqref="M130"/>
    </sheetView>
  </sheetViews>
  <sheetFormatPr defaultRowHeight="15" x14ac:dyDescent="0.25"/>
  <cols>
    <col min="1" max="1" width="18.42578125" style="28" customWidth="1"/>
    <col min="2" max="2" width="12.42578125" style="28" customWidth="1"/>
    <col min="3" max="3" width="18.140625" style="28" customWidth="1"/>
    <col min="4" max="4" width="17.140625" style="999" customWidth="1"/>
    <col min="5" max="5" width="15.85546875" style="999" customWidth="1"/>
    <col min="6" max="10" width="12.42578125" style="28" customWidth="1"/>
    <col min="11" max="11" width="13.7109375" style="28" customWidth="1"/>
    <col min="12" max="12" width="12.42578125" style="28" customWidth="1"/>
    <col min="13" max="13" width="14.28515625" style="28" customWidth="1"/>
    <col min="14" max="14" width="9.140625" style="16"/>
    <col min="15" max="15" width="10.28515625" style="28" customWidth="1"/>
    <col min="16" max="16" width="13.28515625" style="28" customWidth="1"/>
    <col min="17" max="16384" width="9.140625" style="28"/>
  </cols>
  <sheetData>
    <row r="1" spans="1:14" s="502" customFormat="1" hidden="1" x14ac:dyDescent="0.25">
      <c r="D1" s="999"/>
      <c r="E1" s="999"/>
      <c r="N1" s="16"/>
    </row>
    <row r="2" spans="1:14" s="502" customFormat="1" ht="15.75" hidden="1" thickBot="1" x14ac:dyDescent="0.3">
      <c r="D2" s="999"/>
      <c r="E2" s="999"/>
      <c r="N2" s="16"/>
    </row>
    <row r="3" spans="1:14" ht="15.75" thickBot="1" x14ac:dyDescent="0.3">
      <c r="A3" s="1154" t="s">
        <v>2</v>
      </c>
      <c r="B3" s="1149" t="s">
        <v>4</v>
      </c>
      <c r="C3" s="1150"/>
      <c r="D3" s="1150"/>
      <c r="E3" s="1150"/>
      <c r="F3" s="1150"/>
      <c r="G3" s="1150"/>
      <c r="H3" s="1150"/>
      <c r="I3" s="1151"/>
      <c r="J3" s="1149" t="s">
        <v>345</v>
      </c>
      <c r="K3" s="1150"/>
      <c r="L3" s="1150"/>
      <c r="M3" s="1151"/>
      <c r="N3" s="28"/>
    </row>
    <row r="4" spans="1:14" ht="63" customHeight="1" thickBot="1" x14ac:dyDescent="0.3">
      <c r="A4" s="1154"/>
      <c r="B4" s="1152" t="s">
        <v>3</v>
      </c>
      <c r="C4" s="1153"/>
      <c r="D4" s="1152" t="s">
        <v>865</v>
      </c>
      <c r="E4" s="1153"/>
      <c r="F4" s="1152" t="s">
        <v>8</v>
      </c>
      <c r="G4" s="1153"/>
      <c r="H4" s="1152" t="s">
        <v>5</v>
      </c>
      <c r="I4" s="1153"/>
      <c r="J4" s="1152" t="s">
        <v>8</v>
      </c>
      <c r="K4" s="1153"/>
      <c r="L4" s="1152" t="s">
        <v>5</v>
      </c>
      <c r="M4" s="1153"/>
      <c r="N4" s="28"/>
    </row>
    <row r="5" spans="1:14" ht="37.5" customHeight="1" x14ac:dyDescent="0.25">
      <c r="A5" s="1154"/>
      <c r="B5" s="46" t="s">
        <v>1</v>
      </c>
      <c r="C5" s="47" t="s">
        <v>7</v>
      </c>
      <c r="D5" s="282" t="s">
        <v>1</v>
      </c>
      <c r="E5" s="282" t="s">
        <v>7</v>
      </c>
      <c r="F5" s="46" t="s">
        <v>1</v>
      </c>
      <c r="G5" s="47" t="s">
        <v>7</v>
      </c>
      <c r="H5" s="46" t="s">
        <v>1</v>
      </c>
      <c r="I5" s="47" t="s">
        <v>7</v>
      </c>
      <c r="J5" s="46" t="s">
        <v>1</v>
      </c>
      <c r="K5" s="47" t="s">
        <v>7</v>
      </c>
      <c r="L5" s="46" t="s">
        <v>1</v>
      </c>
      <c r="M5" s="47" t="s">
        <v>7</v>
      </c>
      <c r="N5" s="28"/>
    </row>
    <row r="6" spans="1:14" s="502" customFormat="1" ht="37.5" customHeight="1" thickBot="1" x14ac:dyDescent="0.3">
      <c r="A6" s="602"/>
      <c r="B6" s="603" t="s">
        <v>343</v>
      </c>
      <c r="C6" s="604">
        <f>1.025*1.015-1</f>
        <v>4.0374999999999828E-2</v>
      </c>
      <c r="D6" s="1006" t="s">
        <v>343</v>
      </c>
      <c r="E6" s="1006">
        <v>4.0374999999999828E-2</v>
      </c>
      <c r="F6" s="603" t="s">
        <v>343</v>
      </c>
      <c r="G6" s="604">
        <f>1.025*1.015-1</f>
        <v>4.0374999999999828E-2</v>
      </c>
      <c r="H6" s="603" t="s">
        <v>343</v>
      </c>
      <c r="I6" s="604">
        <f>1.025*1.015-1</f>
        <v>4.0374999999999828E-2</v>
      </c>
      <c r="J6" s="603" t="s">
        <v>343</v>
      </c>
      <c r="K6" s="604">
        <f>1.025*1.015-1</f>
        <v>4.0374999999999828E-2</v>
      </c>
      <c r="L6" s="603" t="s">
        <v>343</v>
      </c>
      <c r="M6" s="604">
        <f>1.025*1.015-1</f>
        <v>4.0374999999999828E-2</v>
      </c>
    </row>
    <row r="7" spans="1:14" ht="17.25" customHeight="1" thickBot="1" x14ac:dyDescent="0.3">
      <c r="A7" s="283" t="s">
        <v>550</v>
      </c>
      <c r="B7" s="48" t="s">
        <v>309</v>
      </c>
      <c r="C7" s="49" t="s">
        <v>310</v>
      </c>
      <c r="D7" s="244" t="s">
        <v>866</v>
      </c>
      <c r="E7" s="244" t="s">
        <v>867</v>
      </c>
      <c r="F7" s="48" t="s">
        <v>311</v>
      </c>
      <c r="G7" s="49" t="s">
        <v>312</v>
      </c>
      <c r="H7" s="48" t="s">
        <v>313</v>
      </c>
      <c r="I7" s="49" t="s">
        <v>314</v>
      </c>
      <c r="J7" s="48" t="s">
        <v>315</v>
      </c>
      <c r="K7" s="49" t="s">
        <v>316</v>
      </c>
      <c r="L7" s="244" t="s">
        <v>317</v>
      </c>
      <c r="M7" s="49" t="s">
        <v>318</v>
      </c>
      <c r="N7" s="28"/>
    </row>
    <row r="8" spans="1:14" ht="17.25" customHeight="1" x14ac:dyDescent="0.25">
      <c r="A8" s="344">
        <v>33482</v>
      </c>
      <c r="B8" s="269">
        <v>575.4</v>
      </c>
      <c r="C8" s="50"/>
      <c r="D8" s="355"/>
      <c r="E8" s="355"/>
      <c r="F8" s="269">
        <v>489.3</v>
      </c>
      <c r="G8" s="50"/>
      <c r="H8" s="269">
        <v>567.70000000000005</v>
      </c>
      <c r="I8" s="52"/>
      <c r="J8" s="269"/>
      <c r="K8" s="50"/>
      <c r="L8" s="269"/>
      <c r="M8" s="50"/>
      <c r="N8" s="28"/>
    </row>
    <row r="9" spans="1:14" ht="17.25" customHeight="1" x14ac:dyDescent="0.25">
      <c r="A9" s="345">
        <v>33573</v>
      </c>
      <c r="B9" s="269">
        <v>589.70000000000005</v>
      </c>
      <c r="C9" s="50">
        <f t="shared" ref="C9:E72" si="0">B9/B8-1</f>
        <v>2.4852276677094221E-2</v>
      </c>
      <c r="D9" s="355"/>
      <c r="E9" s="355"/>
      <c r="F9" s="269">
        <v>501.3</v>
      </c>
      <c r="G9" s="50">
        <f t="shared" ref="G9:G40" si="1">F9/F8-1</f>
        <v>2.4524831391784074E-2</v>
      </c>
      <c r="H9" s="269">
        <v>578.79999999999995</v>
      </c>
      <c r="I9" s="50">
        <f t="shared" ref="I9:I72" si="2">H9/H8-1</f>
        <v>1.9552580588338753E-2</v>
      </c>
      <c r="J9" s="269"/>
      <c r="K9" s="50"/>
      <c r="L9" s="269"/>
      <c r="M9" s="50"/>
      <c r="N9" s="28"/>
    </row>
    <row r="10" spans="1:14" ht="17.25" customHeight="1" x14ac:dyDescent="0.25">
      <c r="A10" s="345">
        <v>33664</v>
      </c>
      <c r="B10" s="269">
        <v>598.9</v>
      </c>
      <c r="C10" s="50">
        <f t="shared" si="0"/>
        <v>1.5601153128709466E-2</v>
      </c>
      <c r="D10" s="355"/>
      <c r="E10" s="355"/>
      <c r="F10" s="269">
        <v>507.9</v>
      </c>
      <c r="G10" s="50">
        <f t="shared" si="1"/>
        <v>1.3165769000598404E-2</v>
      </c>
      <c r="H10" s="269">
        <v>589.20000000000005</v>
      </c>
      <c r="I10" s="50">
        <f t="shared" si="2"/>
        <v>1.7968210089841286E-2</v>
      </c>
      <c r="J10" s="269"/>
      <c r="K10" s="50"/>
      <c r="L10" s="269"/>
      <c r="M10" s="50"/>
      <c r="N10" s="28"/>
    </row>
    <row r="11" spans="1:14" ht="17.25" customHeight="1" thickBot="1" x14ac:dyDescent="0.3">
      <c r="A11" s="346">
        <v>33756</v>
      </c>
      <c r="B11" s="285">
        <v>597.4</v>
      </c>
      <c r="C11" s="51">
        <f t="shared" si="0"/>
        <v>-2.5045917515444938E-3</v>
      </c>
      <c r="D11" s="356"/>
      <c r="E11" s="356"/>
      <c r="F11" s="285">
        <v>504.5</v>
      </c>
      <c r="G11" s="51">
        <f t="shared" si="1"/>
        <v>-6.6942311478637162E-3</v>
      </c>
      <c r="H11" s="285">
        <v>587.29999999999995</v>
      </c>
      <c r="I11" s="51">
        <f t="shared" si="2"/>
        <v>-3.2247114731841497E-3</v>
      </c>
      <c r="J11" s="285"/>
      <c r="K11" s="51"/>
      <c r="L11" s="285"/>
      <c r="M11" s="51"/>
      <c r="N11" s="28"/>
    </row>
    <row r="12" spans="1:14" ht="17.25" customHeight="1" x14ac:dyDescent="0.25">
      <c r="A12" s="344">
        <v>33848</v>
      </c>
      <c r="B12" s="286">
        <v>597.70000000000005</v>
      </c>
      <c r="C12" s="52">
        <f t="shared" si="0"/>
        <v>5.0217609641789451E-4</v>
      </c>
      <c r="D12" s="1007"/>
      <c r="E12" s="1007"/>
      <c r="F12" s="286">
        <v>503.9</v>
      </c>
      <c r="G12" s="52">
        <f t="shared" si="1"/>
        <v>-1.1892963330030204E-3</v>
      </c>
      <c r="H12" s="286">
        <v>585.79999999999995</v>
      </c>
      <c r="I12" s="52">
        <f t="shared" si="2"/>
        <v>-2.5540609569214556E-3</v>
      </c>
      <c r="J12" s="286"/>
      <c r="K12" s="52"/>
      <c r="L12" s="286"/>
      <c r="M12" s="52"/>
      <c r="N12" s="28"/>
    </row>
    <row r="13" spans="1:14" ht="17.25" customHeight="1" x14ac:dyDescent="0.25">
      <c r="A13" s="345">
        <v>33939</v>
      </c>
      <c r="B13" s="269">
        <v>599.5</v>
      </c>
      <c r="C13" s="50">
        <f t="shared" si="0"/>
        <v>3.0115442529696779E-3</v>
      </c>
      <c r="D13" s="355"/>
      <c r="E13" s="355"/>
      <c r="F13" s="269">
        <v>504.1</v>
      </c>
      <c r="G13" s="50">
        <f t="shared" si="1"/>
        <v>3.9690414764836923E-4</v>
      </c>
      <c r="H13" s="269">
        <v>586.79999999999995</v>
      </c>
      <c r="I13" s="50">
        <f t="shared" si="2"/>
        <v>1.7070672584500457E-3</v>
      </c>
      <c r="J13" s="269"/>
      <c r="K13" s="50"/>
      <c r="L13" s="269"/>
      <c r="M13" s="50"/>
      <c r="N13" s="28"/>
    </row>
    <row r="14" spans="1:14" ht="17.25" customHeight="1" x14ac:dyDescent="0.25">
      <c r="A14" s="345">
        <v>34029</v>
      </c>
      <c r="B14" s="269">
        <v>611.20000000000005</v>
      </c>
      <c r="C14" s="50">
        <f t="shared" si="0"/>
        <v>1.9516263552960877E-2</v>
      </c>
      <c r="D14" s="355"/>
      <c r="E14" s="355"/>
      <c r="F14" s="269">
        <v>518.29999999999995</v>
      </c>
      <c r="G14" s="50">
        <f t="shared" si="1"/>
        <v>2.8169014084507005E-2</v>
      </c>
      <c r="H14" s="269">
        <v>593.70000000000005</v>
      </c>
      <c r="I14" s="50">
        <f t="shared" si="2"/>
        <v>1.1758691206544158E-2</v>
      </c>
      <c r="J14" s="269"/>
      <c r="K14" s="50"/>
      <c r="L14" s="269"/>
      <c r="M14" s="50"/>
      <c r="N14" s="28"/>
    </row>
    <row r="15" spans="1:14" ht="17.25" customHeight="1" thickBot="1" x14ac:dyDescent="0.3">
      <c r="A15" s="346">
        <v>34121</v>
      </c>
      <c r="B15" s="285">
        <v>612.5</v>
      </c>
      <c r="C15" s="51">
        <f t="shared" si="0"/>
        <v>2.1269633507852159E-3</v>
      </c>
      <c r="D15" s="356"/>
      <c r="E15" s="356"/>
      <c r="F15" s="285">
        <v>517.5</v>
      </c>
      <c r="G15" s="51">
        <f t="shared" si="1"/>
        <v>-1.543507621068807E-3</v>
      </c>
      <c r="H15" s="285">
        <v>597.79999999999995</v>
      </c>
      <c r="I15" s="51">
        <f t="shared" si="2"/>
        <v>6.9058447027117165E-3</v>
      </c>
      <c r="J15" s="285"/>
      <c r="K15" s="51"/>
      <c r="L15" s="285"/>
      <c r="M15" s="51"/>
      <c r="N15" s="28"/>
    </row>
    <row r="16" spans="1:14" ht="17.25" customHeight="1" x14ac:dyDescent="0.25">
      <c r="A16" s="344">
        <v>34213</v>
      </c>
      <c r="B16" s="286">
        <v>618.1</v>
      </c>
      <c r="C16" s="52">
        <f t="shared" si="0"/>
        <v>9.1428571428571193E-3</v>
      </c>
      <c r="D16" s="1007"/>
      <c r="E16" s="1007"/>
      <c r="F16" s="286">
        <v>520.6</v>
      </c>
      <c r="G16" s="52">
        <f t="shared" si="1"/>
        <v>5.9903381642512077E-3</v>
      </c>
      <c r="H16" s="286">
        <v>602.4</v>
      </c>
      <c r="I16" s="52">
        <f t="shared" si="2"/>
        <v>7.6948812311810055E-3</v>
      </c>
      <c r="J16" s="286"/>
      <c r="K16" s="52"/>
      <c r="L16" s="286"/>
      <c r="M16" s="52"/>
      <c r="N16" s="28"/>
    </row>
    <row r="17" spans="1:14" ht="17.25" customHeight="1" x14ac:dyDescent="0.25">
      <c r="A17" s="345">
        <v>34304</v>
      </c>
      <c r="B17" s="269">
        <v>619</v>
      </c>
      <c r="C17" s="50">
        <f t="shared" si="0"/>
        <v>1.4560750687591106E-3</v>
      </c>
      <c r="D17" s="355"/>
      <c r="E17" s="355"/>
      <c r="F17" s="269">
        <v>521.5</v>
      </c>
      <c r="G17" s="50">
        <f t="shared" si="1"/>
        <v>1.7287744909719738E-3</v>
      </c>
      <c r="H17" s="269">
        <v>604.20000000000005</v>
      </c>
      <c r="I17" s="50">
        <f t="shared" si="2"/>
        <v>2.9880478087651596E-3</v>
      </c>
      <c r="J17" s="269">
        <v>519.20000000000005</v>
      </c>
      <c r="K17" s="50"/>
      <c r="L17" s="269">
        <v>603.4</v>
      </c>
      <c r="M17" s="50"/>
      <c r="N17" s="28"/>
    </row>
    <row r="18" spans="1:14" ht="17.25" customHeight="1" x14ac:dyDescent="0.25">
      <c r="A18" s="345">
        <v>34394</v>
      </c>
      <c r="B18" s="269">
        <v>625.6</v>
      </c>
      <c r="C18" s="50">
        <f t="shared" si="0"/>
        <v>1.0662358642972602E-2</v>
      </c>
      <c r="D18" s="355"/>
      <c r="E18" s="355"/>
      <c r="F18" s="269">
        <v>529</v>
      </c>
      <c r="G18" s="50">
        <f t="shared" si="1"/>
        <v>1.4381591562799612E-2</v>
      </c>
      <c r="H18" s="269">
        <v>612.29999999999995</v>
      </c>
      <c r="I18" s="50">
        <f t="shared" si="2"/>
        <v>1.3406156901688115E-2</v>
      </c>
      <c r="J18" s="269">
        <v>523.9</v>
      </c>
      <c r="K18" s="50">
        <f t="shared" ref="K18:K81" si="3">J18/J17-1</f>
        <v>9.0523882896762498E-3</v>
      </c>
      <c r="L18" s="269">
        <v>609.5</v>
      </c>
      <c r="M18" s="50">
        <f t="shared" ref="M18:M81" si="4">L18/L17-1</f>
        <v>1.0109380178985772E-2</v>
      </c>
      <c r="N18" s="28"/>
    </row>
    <row r="19" spans="1:14" ht="17.25" customHeight="1" thickBot="1" x14ac:dyDescent="0.3">
      <c r="A19" s="346">
        <v>34486</v>
      </c>
      <c r="B19" s="285">
        <v>625.1</v>
      </c>
      <c r="C19" s="51">
        <f t="shared" si="0"/>
        <v>-7.9923273657289684E-4</v>
      </c>
      <c r="D19" s="356"/>
      <c r="E19" s="356"/>
      <c r="F19" s="285">
        <v>531.79999999999995</v>
      </c>
      <c r="G19" s="51">
        <f t="shared" si="1"/>
        <v>5.2930056710773776E-3</v>
      </c>
      <c r="H19" s="285">
        <v>617.5</v>
      </c>
      <c r="I19" s="51">
        <f t="shared" si="2"/>
        <v>8.4925690021231404E-3</v>
      </c>
      <c r="J19" s="285">
        <v>534.20000000000005</v>
      </c>
      <c r="K19" s="51">
        <f t="shared" si="3"/>
        <v>1.9660240503913018E-2</v>
      </c>
      <c r="L19" s="285">
        <v>618.20000000000005</v>
      </c>
      <c r="M19" s="51">
        <f t="shared" si="4"/>
        <v>1.42739950779327E-2</v>
      </c>
      <c r="N19" s="28"/>
    </row>
    <row r="20" spans="1:14" ht="17.25" customHeight="1" x14ac:dyDescent="0.25">
      <c r="A20" s="344">
        <v>34578</v>
      </c>
      <c r="B20" s="286">
        <v>631.79999999999995</v>
      </c>
      <c r="C20" s="52">
        <f t="shared" si="0"/>
        <v>1.0718285074387879E-2</v>
      </c>
      <c r="D20" s="1007"/>
      <c r="E20" s="1007"/>
      <c r="F20" s="286">
        <v>536.20000000000005</v>
      </c>
      <c r="G20" s="52">
        <f t="shared" si="1"/>
        <v>8.2737871380220707E-3</v>
      </c>
      <c r="H20" s="286">
        <v>620.4</v>
      </c>
      <c r="I20" s="52">
        <f t="shared" si="2"/>
        <v>4.6963562753035148E-3</v>
      </c>
      <c r="J20" s="286">
        <v>539.9</v>
      </c>
      <c r="K20" s="52">
        <f t="shared" si="3"/>
        <v>1.0670160988393684E-2</v>
      </c>
      <c r="L20" s="286">
        <v>622.6</v>
      </c>
      <c r="M20" s="52">
        <f t="shared" si="4"/>
        <v>7.1174377224199059E-3</v>
      </c>
      <c r="N20" s="28"/>
    </row>
    <row r="21" spans="1:14" ht="17.25" customHeight="1" x14ac:dyDescent="0.25">
      <c r="A21" s="345">
        <v>34669</v>
      </c>
      <c r="B21" s="269">
        <v>642.9</v>
      </c>
      <c r="C21" s="50">
        <f t="shared" si="0"/>
        <v>1.7568850902184296E-2</v>
      </c>
      <c r="D21" s="269">
        <v>425.6</v>
      </c>
      <c r="E21" s="355"/>
      <c r="F21" s="269">
        <v>541.5</v>
      </c>
      <c r="G21" s="50">
        <f t="shared" si="1"/>
        <v>9.8843715031704527E-3</v>
      </c>
      <c r="H21" s="269">
        <v>629</v>
      </c>
      <c r="I21" s="50">
        <f t="shared" si="2"/>
        <v>1.3862024500322478E-2</v>
      </c>
      <c r="J21" s="269">
        <v>540.70000000000005</v>
      </c>
      <c r="K21" s="50">
        <f t="shared" si="3"/>
        <v>1.4817558807187492E-3</v>
      </c>
      <c r="L21" s="269">
        <v>629.20000000000005</v>
      </c>
      <c r="M21" s="50">
        <f t="shared" si="4"/>
        <v>1.0600706713780994E-2</v>
      </c>
      <c r="N21" s="28"/>
    </row>
    <row r="22" spans="1:14" ht="17.25" customHeight="1" x14ac:dyDescent="0.25">
      <c r="A22" s="345">
        <v>34759</v>
      </c>
      <c r="B22" s="269">
        <v>650.1</v>
      </c>
      <c r="C22" s="50">
        <f t="shared" si="0"/>
        <v>1.1199253383107788E-2</v>
      </c>
      <c r="D22" s="269">
        <f>AVERAGE(D21,D23)</f>
        <v>428.20000000000005</v>
      </c>
      <c r="E22" s="50">
        <f t="shared" si="0"/>
        <v>6.1090225563911194E-3</v>
      </c>
      <c r="F22" s="269">
        <v>548.20000000000005</v>
      </c>
      <c r="G22" s="50">
        <f t="shared" si="1"/>
        <v>1.2373037857802416E-2</v>
      </c>
      <c r="H22" s="269">
        <v>639.1</v>
      </c>
      <c r="I22" s="50">
        <f t="shared" si="2"/>
        <v>1.6057233704292573E-2</v>
      </c>
      <c r="J22" s="269">
        <v>543.70000000000005</v>
      </c>
      <c r="K22" s="50">
        <f t="shared" si="3"/>
        <v>5.5483632328463539E-3</v>
      </c>
      <c r="L22" s="269">
        <v>636.29999999999995</v>
      </c>
      <c r="M22" s="50">
        <f t="shared" si="4"/>
        <v>1.1284170375079228E-2</v>
      </c>
      <c r="N22" s="28"/>
    </row>
    <row r="23" spans="1:14" ht="17.25" customHeight="1" thickBot="1" x14ac:dyDescent="0.3">
      <c r="A23" s="346">
        <v>34851</v>
      </c>
      <c r="B23" s="285">
        <v>652.70000000000005</v>
      </c>
      <c r="C23" s="51">
        <f t="shared" si="0"/>
        <v>3.9993847100445734E-3</v>
      </c>
      <c r="D23" s="285">
        <v>430.8</v>
      </c>
      <c r="E23" s="51">
        <f>D23/D22-1</f>
        <v>6.071929005137644E-3</v>
      </c>
      <c r="F23" s="285">
        <v>548.1</v>
      </c>
      <c r="G23" s="51">
        <f t="shared" si="1"/>
        <v>-1.8241517694272957E-4</v>
      </c>
      <c r="H23" s="285">
        <v>647.29999999999995</v>
      </c>
      <c r="I23" s="51">
        <f t="shared" si="2"/>
        <v>1.2830542951024704E-2</v>
      </c>
      <c r="J23" s="285">
        <v>549.9</v>
      </c>
      <c r="K23" s="51">
        <f t="shared" si="3"/>
        <v>1.1403347434246758E-2</v>
      </c>
      <c r="L23" s="285">
        <v>647.4</v>
      </c>
      <c r="M23" s="51">
        <f t="shared" si="4"/>
        <v>1.7444601603017418E-2</v>
      </c>
      <c r="N23" s="28"/>
    </row>
    <row r="24" spans="1:14" ht="17.25" customHeight="1" x14ac:dyDescent="0.25">
      <c r="A24" s="344">
        <v>34943</v>
      </c>
      <c r="B24" s="286">
        <v>654.79999999999995</v>
      </c>
      <c r="C24" s="52">
        <f t="shared" si="0"/>
        <v>3.217404626934206E-3</v>
      </c>
      <c r="D24" s="269">
        <f>AVERAGE(D23,D25)</f>
        <v>430.85</v>
      </c>
      <c r="E24" s="52">
        <f t="shared" si="0"/>
        <v>1.1606313834722215E-4</v>
      </c>
      <c r="F24" s="286">
        <v>547.79999999999995</v>
      </c>
      <c r="G24" s="52">
        <f t="shared" si="1"/>
        <v>-5.4734537493172919E-4</v>
      </c>
      <c r="H24" s="286">
        <v>651.9</v>
      </c>
      <c r="I24" s="52">
        <f t="shared" si="2"/>
        <v>7.1064421442916803E-3</v>
      </c>
      <c r="J24" s="286">
        <v>550.4</v>
      </c>
      <c r="K24" s="52">
        <f t="shared" si="3"/>
        <v>9.0925622840520859E-4</v>
      </c>
      <c r="L24" s="286">
        <v>653.79999999999995</v>
      </c>
      <c r="M24" s="52">
        <f t="shared" si="4"/>
        <v>9.8856966326845708E-3</v>
      </c>
      <c r="N24" s="28"/>
    </row>
    <row r="25" spans="1:14" ht="17.25" customHeight="1" x14ac:dyDescent="0.25">
      <c r="A25" s="345">
        <v>35034</v>
      </c>
      <c r="B25" s="269">
        <v>662.7</v>
      </c>
      <c r="C25" s="50">
        <f t="shared" si="0"/>
        <v>1.2064752596212758E-2</v>
      </c>
      <c r="D25" s="269">
        <v>430.9</v>
      </c>
      <c r="E25" s="50">
        <f t="shared" si="0"/>
        <v>1.1604966925826687E-4</v>
      </c>
      <c r="F25" s="269">
        <v>554.29999999999995</v>
      </c>
      <c r="G25" s="50">
        <f t="shared" si="1"/>
        <v>1.1865644395764985E-2</v>
      </c>
      <c r="H25" s="269">
        <v>659.9</v>
      </c>
      <c r="I25" s="50">
        <f t="shared" si="2"/>
        <v>1.2271820831415869E-2</v>
      </c>
      <c r="J25" s="269">
        <v>554.6</v>
      </c>
      <c r="K25" s="50">
        <f t="shared" si="3"/>
        <v>7.6308139534884134E-3</v>
      </c>
      <c r="L25" s="269">
        <v>660.9</v>
      </c>
      <c r="M25" s="50">
        <f t="shared" si="4"/>
        <v>1.085959008871229E-2</v>
      </c>
      <c r="N25" s="28"/>
    </row>
    <row r="26" spans="1:14" ht="17.25" customHeight="1" x14ac:dyDescent="0.25">
      <c r="A26" s="345">
        <v>35125</v>
      </c>
      <c r="B26" s="269">
        <v>668.1</v>
      </c>
      <c r="C26" s="50">
        <f t="shared" si="0"/>
        <v>8.1484834766862857E-3</v>
      </c>
      <c r="D26" s="269">
        <f>AVERAGE(D25,D27)</f>
        <v>436.5</v>
      </c>
      <c r="E26" s="50">
        <f>D26/D25-1</f>
        <v>1.2996054769087939E-2</v>
      </c>
      <c r="F26" s="269">
        <v>562.6</v>
      </c>
      <c r="G26" s="50">
        <f t="shared" si="1"/>
        <v>1.4973840880389888E-2</v>
      </c>
      <c r="H26" s="269">
        <v>665.7</v>
      </c>
      <c r="I26" s="50">
        <f t="shared" si="2"/>
        <v>8.7892104864375487E-3</v>
      </c>
      <c r="J26" s="269">
        <v>558.79999999999995</v>
      </c>
      <c r="K26" s="50">
        <f t="shared" si="3"/>
        <v>7.5730256040387189E-3</v>
      </c>
      <c r="L26" s="269">
        <v>663.5</v>
      </c>
      <c r="M26" s="50">
        <f t="shared" si="4"/>
        <v>3.9340293539114057E-3</v>
      </c>
      <c r="N26" s="28"/>
    </row>
    <row r="27" spans="1:14" ht="17.25" customHeight="1" thickBot="1" x14ac:dyDescent="0.3">
      <c r="A27" s="346">
        <v>35217</v>
      </c>
      <c r="B27" s="285">
        <v>671.5</v>
      </c>
      <c r="C27" s="51">
        <f t="shared" si="0"/>
        <v>5.0890585241729624E-3</v>
      </c>
      <c r="D27" s="285">
        <v>442.1</v>
      </c>
      <c r="E27" s="51">
        <f t="shared" si="0"/>
        <v>1.282932416953031E-2</v>
      </c>
      <c r="F27" s="285">
        <v>564.4</v>
      </c>
      <c r="G27" s="51">
        <f t="shared" si="1"/>
        <v>3.1994312122287649E-3</v>
      </c>
      <c r="H27" s="285">
        <v>672.6</v>
      </c>
      <c r="I27" s="51">
        <f t="shared" si="2"/>
        <v>1.036502929247396E-2</v>
      </c>
      <c r="J27" s="285">
        <v>565.29999999999995</v>
      </c>
      <c r="K27" s="51">
        <f t="shared" si="3"/>
        <v>1.1632068718682831E-2</v>
      </c>
      <c r="L27" s="285">
        <v>671.8</v>
      </c>
      <c r="M27" s="51">
        <f t="shared" si="4"/>
        <v>1.2509419743782946E-2</v>
      </c>
      <c r="N27" s="28"/>
    </row>
    <row r="28" spans="1:14" ht="17.25" customHeight="1" x14ac:dyDescent="0.25">
      <c r="A28" s="344">
        <v>35309</v>
      </c>
      <c r="B28" s="286">
        <v>673.5</v>
      </c>
      <c r="C28" s="52">
        <f t="shared" si="0"/>
        <v>2.9784065524944836E-3</v>
      </c>
      <c r="D28" s="269">
        <f>AVERAGE(D27,D29)</f>
        <v>444.9</v>
      </c>
      <c r="E28" s="52">
        <f t="shared" si="0"/>
        <v>6.3334087310562559E-3</v>
      </c>
      <c r="F28" s="286">
        <v>566.6</v>
      </c>
      <c r="G28" s="52">
        <f t="shared" si="1"/>
        <v>3.8979447200566675E-3</v>
      </c>
      <c r="H28" s="286">
        <v>676.4</v>
      </c>
      <c r="I28" s="52">
        <f t="shared" si="2"/>
        <v>5.6497175141241307E-3</v>
      </c>
      <c r="J28" s="286">
        <v>568.79999999999995</v>
      </c>
      <c r="K28" s="52">
        <f t="shared" si="3"/>
        <v>6.1914027949760975E-3</v>
      </c>
      <c r="L28" s="286">
        <v>678.5</v>
      </c>
      <c r="M28" s="52">
        <f t="shared" si="4"/>
        <v>9.973206311402194E-3</v>
      </c>
      <c r="N28" s="28"/>
    </row>
    <row r="29" spans="1:14" ht="17.25" customHeight="1" x14ac:dyDescent="0.25">
      <c r="A29" s="345">
        <v>35400</v>
      </c>
      <c r="B29" s="269">
        <v>679.8</v>
      </c>
      <c r="C29" s="50">
        <f t="shared" si="0"/>
        <v>9.3541202672604573E-3</v>
      </c>
      <c r="D29" s="269">
        <v>447.7</v>
      </c>
      <c r="E29" s="50">
        <f t="shared" si="0"/>
        <v>6.2935491121600684E-3</v>
      </c>
      <c r="F29" s="269">
        <v>570</v>
      </c>
      <c r="G29" s="50">
        <f t="shared" si="1"/>
        <v>6.0007059654076933E-3</v>
      </c>
      <c r="H29" s="269">
        <v>685.6</v>
      </c>
      <c r="I29" s="50">
        <f t="shared" si="2"/>
        <v>1.3601419278533422E-2</v>
      </c>
      <c r="J29" s="269">
        <v>570.9</v>
      </c>
      <c r="K29" s="50">
        <f t="shared" si="3"/>
        <v>3.6919831223629629E-3</v>
      </c>
      <c r="L29" s="269">
        <v>686.7</v>
      </c>
      <c r="M29" s="50">
        <f t="shared" si="4"/>
        <v>1.2085482682387738E-2</v>
      </c>
      <c r="N29" s="28"/>
    </row>
    <row r="30" spans="1:14" ht="17.25" customHeight="1" x14ac:dyDescent="0.25">
      <c r="A30" s="345">
        <v>35490</v>
      </c>
      <c r="B30" s="269">
        <v>688.7</v>
      </c>
      <c r="C30" s="50">
        <f t="shared" si="0"/>
        <v>1.309208590762001E-2</v>
      </c>
      <c r="D30" s="269">
        <f>AVERAGE(D29,D31)</f>
        <v>452.7</v>
      </c>
      <c r="E30" s="50">
        <f t="shared" si="0"/>
        <v>1.1168192986374725E-2</v>
      </c>
      <c r="F30" s="269">
        <v>581.6</v>
      </c>
      <c r="G30" s="50">
        <f t="shared" si="1"/>
        <v>2.0350877192982564E-2</v>
      </c>
      <c r="H30" s="269">
        <v>694.1</v>
      </c>
      <c r="I30" s="50">
        <f t="shared" si="2"/>
        <v>1.2397899649941646E-2</v>
      </c>
      <c r="J30" s="269">
        <v>578.29999999999995</v>
      </c>
      <c r="K30" s="50">
        <f t="shared" si="3"/>
        <v>1.2961989840602595E-2</v>
      </c>
      <c r="L30" s="269">
        <v>692.9</v>
      </c>
      <c r="M30" s="50">
        <f t="shared" si="4"/>
        <v>9.0286879277703402E-3</v>
      </c>
      <c r="N30" s="28"/>
    </row>
    <row r="31" spans="1:14" ht="17.25" customHeight="1" thickBot="1" x14ac:dyDescent="0.3">
      <c r="A31" s="346">
        <v>35582</v>
      </c>
      <c r="B31" s="285">
        <v>686.3</v>
      </c>
      <c r="C31" s="51">
        <f t="shared" si="0"/>
        <v>-3.4848264846814025E-3</v>
      </c>
      <c r="D31" s="285">
        <v>457.7</v>
      </c>
      <c r="E31" s="51">
        <f t="shared" si="0"/>
        <v>1.1044842058758553E-2</v>
      </c>
      <c r="F31" s="285">
        <v>577.5</v>
      </c>
      <c r="G31" s="51">
        <f t="shared" si="1"/>
        <v>-7.0495185694635643E-3</v>
      </c>
      <c r="H31" s="285">
        <v>696.6</v>
      </c>
      <c r="I31" s="51">
        <f t="shared" si="2"/>
        <v>3.6017864860971027E-3</v>
      </c>
      <c r="J31" s="285">
        <v>577.70000000000005</v>
      </c>
      <c r="K31" s="51">
        <f t="shared" si="3"/>
        <v>-1.0375237765863909E-3</v>
      </c>
      <c r="L31" s="285">
        <v>695.2</v>
      </c>
      <c r="M31" s="51">
        <f t="shared" si="4"/>
        <v>3.3193823062491745E-3</v>
      </c>
      <c r="N31" s="28"/>
    </row>
    <row r="32" spans="1:14" ht="17.25" customHeight="1" x14ac:dyDescent="0.25">
      <c r="A32" s="344">
        <v>35674</v>
      </c>
      <c r="B32" s="286">
        <v>693.8</v>
      </c>
      <c r="C32" s="52">
        <f t="shared" si="0"/>
        <v>1.092816552528042E-2</v>
      </c>
      <c r="D32" s="269">
        <f>AVERAGE(D31,D33)</f>
        <v>461.9</v>
      </c>
      <c r="E32" s="52">
        <f t="shared" si="0"/>
        <v>9.1763163644307255E-3</v>
      </c>
      <c r="F32" s="286">
        <v>582.20000000000005</v>
      </c>
      <c r="G32" s="52">
        <f t="shared" si="1"/>
        <v>8.1385281385282227E-3</v>
      </c>
      <c r="H32" s="286">
        <v>706.6</v>
      </c>
      <c r="I32" s="52">
        <f t="shared" si="2"/>
        <v>1.4355440712029877E-2</v>
      </c>
      <c r="J32" s="286">
        <v>584.29999999999995</v>
      </c>
      <c r="K32" s="52">
        <f t="shared" si="3"/>
        <v>1.1424614851999193E-2</v>
      </c>
      <c r="L32" s="286">
        <v>708.7</v>
      </c>
      <c r="M32" s="52">
        <f t="shared" si="4"/>
        <v>1.9418872266973475E-2</v>
      </c>
      <c r="N32" s="28"/>
    </row>
    <row r="33" spans="1:14" ht="17.25" customHeight="1" x14ac:dyDescent="0.25">
      <c r="A33" s="345">
        <v>35765</v>
      </c>
      <c r="B33" s="269">
        <v>709.1</v>
      </c>
      <c r="C33" s="50">
        <f t="shared" si="0"/>
        <v>2.2052464687229767E-2</v>
      </c>
      <c r="D33" s="269">
        <v>466.1</v>
      </c>
      <c r="E33" s="50">
        <f t="shared" si="0"/>
        <v>9.0928772461573715E-3</v>
      </c>
      <c r="F33" s="269">
        <v>592.6</v>
      </c>
      <c r="G33" s="50">
        <f t="shared" si="1"/>
        <v>1.7863277224321461E-2</v>
      </c>
      <c r="H33" s="269">
        <v>711.2</v>
      </c>
      <c r="I33" s="50">
        <f t="shared" si="2"/>
        <v>6.5100481177469138E-3</v>
      </c>
      <c r="J33" s="269">
        <v>593.70000000000005</v>
      </c>
      <c r="K33" s="50">
        <f t="shared" si="3"/>
        <v>1.6087626219408069E-2</v>
      </c>
      <c r="L33" s="269">
        <v>711.6</v>
      </c>
      <c r="M33" s="50">
        <f t="shared" si="4"/>
        <v>4.0919994355863576E-3</v>
      </c>
      <c r="N33" s="28"/>
    </row>
    <row r="34" spans="1:14" ht="17.25" customHeight="1" x14ac:dyDescent="0.25">
      <c r="A34" s="345">
        <v>35855</v>
      </c>
      <c r="B34" s="269">
        <v>715.6</v>
      </c>
      <c r="C34" s="50">
        <f t="shared" si="0"/>
        <v>9.1665491468058136E-3</v>
      </c>
      <c r="D34" s="269">
        <f>AVERAGE(D33,D35)</f>
        <v>466.9</v>
      </c>
      <c r="E34" s="50">
        <f t="shared" si="0"/>
        <v>1.7163698777085123E-3</v>
      </c>
      <c r="F34" s="269">
        <v>597.4</v>
      </c>
      <c r="G34" s="50">
        <f t="shared" si="1"/>
        <v>8.0998987512654885E-3</v>
      </c>
      <c r="H34" s="269">
        <v>722.3</v>
      </c>
      <c r="I34" s="50">
        <f t="shared" si="2"/>
        <v>1.5607424071990783E-2</v>
      </c>
      <c r="J34" s="269">
        <v>593.79999999999995</v>
      </c>
      <c r="K34" s="50">
        <f t="shared" si="3"/>
        <v>1.6843523665133198E-4</v>
      </c>
      <c r="L34" s="269">
        <v>721.2</v>
      </c>
      <c r="M34" s="50">
        <f t="shared" si="4"/>
        <v>1.3490725126475533E-2</v>
      </c>
      <c r="N34" s="28"/>
    </row>
    <row r="35" spans="1:14" ht="17.25" customHeight="1" thickBot="1" x14ac:dyDescent="0.3">
      <c r="A35" s="346">
        <v>35947</v>
      </c>
      <c r="B35" s="285">
        <v>714.5</v>
      </c>
      <c r="C35" s="51">
        <f t="shared" si="0"/>
        <v>-1.5371716042482664E-3</v>
      </c>
      <c r="D35" s="285">
        <v>467.7</v>
      </c>
      <c r="E35" s="51">
        <f t="shared" si="0"/>
        <v>1.713428999785771E-3</v>
      </c>
      <c r="F35" s="285">
        <v>596.20000000000005</v>
      </c>
      <c r="G35" s="51">
        <f t="shared" si="1"/>
        <v>-2.008704385671134E-3</v>
      </c>
      <c r="H35" s="285">
        <v>726.9</v>
      </c>
      <c r="I35" s="51">
        <f t="shared" si="2"/>
        <v>6.3685449259309745E-3</v>
      </c>
      <c r="J35" s="285">
        <v>596.6</v>
      </c>
      <c r="K35" s="51">
        <f t="shared" si="3"/>
        <v>4.7153923880094428E-3</v>
      </c>
      <c r="L35" s="285">
        <v>725.6</v>
      </c>
      <c r="M35" s="51">
        <f t="shared" si="4"/>
        <v>6.1009428729894566E-3</v>
      </c>
      <c r="N35" s="28"/>
    </row>
    <row r="36" spans="1:14" ht="17.25" customHeight="1" x14ac:dyDescent="0.25">
      <c r="A36" s="344">
        <v>36039</v>
      </c>
      <c r="B36" s="286">
        <v>721.8</v>
      </c>
      <c r="C36" s="52">
        <f t="shared" si="0"/>
        <v>1.0216934919524023E-2</v>
      </c>
      <c r="D36" s="269">
        <f>AVERAGE(D35,D37)</f>
        <v>471.54999999999995</v>
      </c>
      <c r="E36" s="52">
        <f t="shared" si="0"/>
        <v>8.2317725037417411E-3</v>
      </c>
      <c r="F36" s="286">
        <v>602.9</v>
      </c>
      <c r="G36" s="52">
        <f t="shared" si="1"/>
        <v>1.1237839651123682E-2</v>
      </c>
      <c r="H36" s="286">
        <v>736.1</v>
      </c>
      <c r="I36" s="52">
        <f t="shared" si="2"/>
        <v>1.2656486449305282E-2</v>
      </c>
      <c r="J36" s="286">
        <v>605.20000000000005</v>
      </c>
      <c r="K36" s="52">
        <f t="shared" si="3"/>
        <v>1.4415018437814231E-2</v>
      </c>
      <c r="L36" s="286">
        <v>738.4</v>
      </c>
      <c r="M36" s="52">
        <f t="shared" si="4"/>
        <v>1.7640573318632891E-2</v>
      </c>
      <c r="N36" s="28"/>
    </row>
    <row r="37" spans="1:14" ht="17.25" customHeight="1" x14ac:dyDescent="0.25">
      <c r="A37" s="345">
        <v>36130</v>
      </c>
      <c r="B37" s="269">
        <v>722.8</v>
      </c>
      <c r="C37" s="50">
        <f t="shared" si="0"/>
        <v>1.3854253255749516E-3</v>
      </c>
      <c r="D37" s="269">
        <v>475.4</v>
      </c>
      <c r="E37" s="50">
        <f t="shared" si="0"/>
        <v>8.1645636729934523E-3</v>
      </c>
      <c r="F37" s="269">
        <v>603.70000000000005</v>
      </c>
      <c r="G37" s="50">
        <f t="shared" si="1"/>
        <v>1.326919887211897E-3</v>
      </c>
      <c r="H37" s="269">
        <v>741.3</v>
      </c>
      <c r="I37" s="50">
        <f t="shared" si="2"/>
        <v>7.0642575736992175E-3</v>
      </c>
      <c r="J37" s="269">
        <v>604.5</v>
      </c>
      <c r="K37" s="50">
        <f t="shared" si="3"/>
        <v>-1.1566424322538849E-3</v>
      </c>
      <c r="L37" s="269">
        <v>741.2</v>
      </c>
      <c r="M37" s="50">
        <f t="shared" si="4"/>
        <v>3.7919826652221822E-3</v>
      </c>
      <c r="N37" s="28"/>
    </row>
    <row r="38" spans="1:14" ht="17.25" customHeight="1" x14ac:dyDescent="0.25">
      <c r="A38" s="345">
        <v>36220</v>
      </c>
      <c r="B38" s="269">
        <v>727</v>
      </c>
      <c r="C38" s="50">
        <f t="shared" si="0"/>
        <v>5.8107360265633456E-3</v>
      </c>
      <c r="D38" s="269">
        <f>AVERAGE(D37,D39)</f>
        <v>478.7</v>
      </c>
      <c r="E38" s="50">
        <f t="shared" si="0"/>
        <v>6.9415229280604951E-3</v>
      </c>
      <c r="F38" s="269">
        <v>608.4</v>
      </c>
      <c r="G38" s="50">
        <f t="shared" si="1"/>
        <v>7.7853238363423394E-3</v>
      </c>
      <c r="H38" s="269">
        <v>744.8</v>
      </c>
      <c r="I38" s="50">
        <f t="shared" si="2"/>
        <v>4.7214353163360645E-3</v>
      </c>
      <c r="J38" s="269">
        <v>604.70000000000005</v>
      </c>
      <c r="K38" s="50">
        <f t="shared" si="3"/>
        <v>3.308519437552615E-4</v>
      </c>
      <c r="L38" s="269">
        <v>743.1</v>
      </c>
      <c r="M38" s="50">
        <f t="shared" si="4"/>
        <v>2.5634106853751337E-3</v>
      </c>
      <c r="N38" s="28"/>
    </row>
    <row r="39" spans="1:14" ht="17.25" customHeight="1" thickBot="1" x14ac:dyDescent="0.3">
      <c r="A39" s="346">
        <v>36312</v>
      </c>
      <c r="B39" s="285">
        <v>733</v>
      </c>
      <c r="C39" s="51">
        <f t="shared" si="0"/>
        <v>8.2530949105914519E-3</v>
      </c>
      <c r="D39" s="285">
        <v>482</v>
      </c>
      <c r="E39" s="51">
        <f t="shared" si="0"/>
        <v>6.8936703572175517E-3</v>
      </c>
      <c r="F39" s="285">
        <v>611.1</v>
      </c>
      <c r="G39" s="51">
        <f t="shared" si="1"/>
        <v>4.4378698224851743E-3</v>
      </c>
      <c r="H39" s="285">
        <v>750.8</v>
      </c>
      <c r="I39" s="51">
        <f t="shared" si="2"/>
        <v>8.0558539205155544E-3</v>
      </c>
      <c r="J39" s="285">
        <v>612.29999999999995</v>
      </c>
      <c r="K39" s="51">
        <f t="shared" si="3"/>
        <v>1.2568215644120917E-2</v>
      </c>
      <c r="L39" s="285">
        <v>750.9</v>
      </c>
      <c r="M39" s="51">
        <f t="shared" si="4"/>
        <v>1.0496568429551711E-2</v>
      </c>
      <c r="N39" s="28"/>
    </row>
    <row r="40" spans="1:14" ht="17.25" customHeight="1" x14ac:dyDescent="0.25">
      <c r="A40" s="344">
        <v>36404</v>
      </c>
      <c r="B40" s="286">
        <v>727.1</v>
      </c>
      <c r="C40" s="52">
        <f>B40/B39-1</f>
        <v>-8.0491132332878301E-3</v>
      </c>
      <c r="D40" s="269">
        <f>AVERAGE(D39,D41)</f>
        <v>481.85</v>
      </c>
      <c r="E40" s="52">
        <f t="shared" si="0"/>
        <v>-3.1120331950207358E-4</v>
      </c>
      <c r="F40" s="286">
        <v>605.4</v>
      </c>
      <c r="G40" s="52">
        <f t="shared" si="1"/>
        <v>-9.3274423171331167E-3</v>
      </c>
      <c r="H40" s="286">
        <v>751.8</v>
      </c>
      <c r="I40" s="52">
        <f t="shared" si="2"/>
        <v>1.3319126265316505E-3</v>
      </c>
      <c r="J40" s="286">
        <v>607.1</v>
      </c>
      <c r="K40" s="52">
        <f t="shared" si="3"/>
        <v>-8.4925690021230293E-3</v>
      </c>
      <c r="L40" s="286">
        <v>753.2</v>
      </c>
      <c r="M40" s="52">
        <f t="shared" si="4"/>
        <v>3.0629910773738445E-3</v>
      </c>
      <c r="N40" s="28"/>
    </row>
    <row r="41" spans="1:14" ht="17.25" customHeight="1" x14ac:dyDescent="0.25">
      <c r="A41" s="345">
        <v>36495</v>
      </c>
      <c r="B41" s="269">
        <v>741.1</v>
      </c>
      <c r="C41" s="50">
        <f t="shared" si="0"/>
        <v>1.9254572961078242E-2</v>
      </c>
      <c r="D41" s="269">
        <v>481.7</v>
      </c>
      <c r="E41" s="50">
        <f t="shared" si="0"/>
        <v>-3.1130019715686075E-4</v>
      </c>
      <c r="F41" s="269">
        <v>613.29999999999995</v>
      </c>
      <c r="G41" s="50">
        <f t="shared" ref="G41:G72" si="5">F41/F40-1</f>
        <v>1.3049223653782693E-2</v>
      </c>
      <c r="H41" s="269">
        <v>763.2</v>
      </c>
      <c r="I41" s="50">
        <f t="shared" si="2"/>
        <v>1.5163607342378427E-2</v>
      </c>
      <c r="J41" s="269">
        <v>614.29999999999995</v>
      </c>
      <c r="K41" s="50">
        <f t="shared" si="3"/>
        <v>1.185966068193034E-2</v>
      </c>
      <c r="L41" s="269">
        <v>763.5</v>
      </c>
      <c r="M41" s="50">
        <f t="shared" si="4"/>
        <v>1.3674986723313909E-2</v>
      </c>
      <c r="N41" s="28"/>
    </row>
    <row r="42" spans="1:14" ht="17.25" customHeight="1" x14ac:dyDescent="0.25">
      <c r="A42" s="345">
        <v>36586</v>
      </c>
      <c r="B42" s="269">
        <v>750.8</v>
      </c>
      <c r="C42" s="50">
        <f t="shared" si="0"/>
        <v>1.3088652003778067E-2</v>
      </c>
      <c r="D42" s="269">
        <f>AVERAGE(D41,D43)</f>
        <v>492.35</v>
      </c>
      <c r="E42" s="50">
        <f t="shared" si="0"/>
        <v>2.2109196595391456E-2</v>
      </c>
      <c r="F42" s="269">
        <v>625.5</v>
      </c>
      <c r="G42" s="50">
        <f t="shared" si="5"/>
        <v>1.9892385455731354E-2</v>
      </c>
      <c r="H42" s="269">
        <v>775</v>
      </c>
      <c r="I42" s="50">
        <f t="shared" si="2"/>
        <v>1.5461215932913941E-2</v>
      </c>
      <c r="J42" s="269">
        <v>622</v>
      </c>
      <c r="K42" s="50">
        <f t="shared" si="3"/>
        <v>1.2534592218785612E-2</v>
      </c>
      <c r="L42" s="269">
        <v>773.9</v>
      </c>
      <c r="M42" s="50">
        <f t="shared" si="4"/>
        <v>1.3621480026195121E-2</v>
      </c>
      <c r="N42" s="28"/>
    </row>
    <row r="43" spans="1:14" ht="17.25" customHeight="1" thickBot="1" x14ac:dyDescent="0.3">
      <c r="A43" s="346">
        <v>36678</v>
      </c>
      <c r="B43" s="285">
        <v>757.7</v>
      </c>
      <c r="C43" s="51">
        <f t="shared" si="0"/>
        <v>9.1901971230687884E-3</v>
      </c>
      <c r="D43" s="285">
        <v>503</v>
      </c>
      <c r="E43" s="51">
        <f t="shared" si="0"/>
        <v>2.1630953589925728E-2</v>
      </c>
      <c r="F43" s="285">
        <v>634.70000000000005</v>
      </c>
      <c r="G43" s="51">
        <f t="shared" si="5"/>
        <v>1.4708233413269545E-2</v>
      </c>
      <c r="H43" s="285">
        <v>782.6</v>
      </c>
      <c r="I43" s="51">
        <f t="shared" si="2"/>
        <v>9.8064516129032775E-3</v>
      </c>
      <c r="J43" s="285">
        <v>636.5</v>
      </c>
      <c r="K43" s="51">
        <f t="shared" si="3"/>
        <v>2.3311897106109258E-2</v>
      </c>
      <c r="L43" s="285">
        <v>783.4</v>
      </c>
      <c r="M43" s="51">
        <f t="shared" si="4"/>
        <v>1.2275487789120021E-2</v>
      </c>
      <c r="N43" s="28"/>
    </row>
    <row r="44" spans="1:14" ht="17.25" customHeight="1" x14ac:dyDescent="0.25">
      <c r="A44" s="344">
        <v>36770</v>
      </c>
      <c r="B44" s="286">
        <v>769.6</v>
      </c>
      <c r="C44" s="52">
        <f t="shared" si="0"/>
        <v>1.5705424310413107E-2</v>
      </c>
      <c r="D44" s="269">
        <f>AVERAGE(D43,D45)</f>
        <v>506.6</v>
      </c>
      <c r="E44" s="52">
        <f t="shared" si="0"/>
        <v>7.1570576540755937E-3</v>
      </c>
      <c r="F44" s="286">
        <v>646.79999999999995</v>
      </c>
      <c r="G44" s="52">
        <f t="shared" si="5"/>
        <v>1.9064124783362058E-2</v>
      </c>
      <c r="H44" s="286">
        <v>798.1</v>
      </c>
      <c r="I44" s="52">
        <f t="shared" si="2"/>
        <v>1.9805775619729182E-2</v>
      </c>
      <c r="J44" s="286">
        <v>649</v>
      </c>
      <c r="K44" s="52">
        <f t="shared" si="3"/>
        <v>1.9638648860958341E-2</v>
      </c>
      <c r="L44" s="286">
        <v>798.3</v>
      </c>
      <c r="M44" s="52">
        <f t="shared" si="4"/>
        <v>1.9019657901455211E-2</v>
      </c>
      <c r="N44" s="28"/>
    </row>
    <row r="45" spans="1:14" ht="17.25" customHeight="1" x14ac:dyDescent="0.25">
      <c r="A45" s="345">
        <v>36861</v>
      </c>
      <c r="B45" s="269">
        <v>769.5</v>
      </c>
      <c r="C45" s="50">
        <f t="shared" si="0"/>
        <v>-1.2993762993762648E-4</v>
      </c>
      <c r="D45" s="269">
        <v>510.2</v>
      </c>
      <c r="E45" s="50">
        <f t="shared" si="0"/>
        <v>7.1061981839715127E-3</v>
      </c>
      <c r="F45" s="269">
        <v>644.79999999999995</v>
      </c>
      <c r="G45" s="50">
        <f t="shared" si="5"/>
        <v>-3.0921459492888603E-3</v>
      </c>
      <c r="H45" s="269">
        <v>802.5</v>
      </c>
      <c r="I45" s="50">
        <f t="shared" si="2"/>
        <v>5.5130935972935724E-3</v>
      </c>
      <c r="J45" s="269">
        <v>644.4</v>
      </c>
      <c r="K45" s="50">
        <f t="shared" si="3"/>
        <v>-7.0878274268104668E-3</v>
      </c>
      <c r="L45" s="269">
        <v>802.6</v>
      </c>
      <c r="M45" s="50">
        <f t="shared" si="4"/>
        <v>5.3864461981711909E-3</v>
      </c>
      <c r="N45" s="28"/>
    </row>
    <row r="46" spans="1:14" ht="17.25" customHeight="1" x14ac:dyDescent="0.25">
      <c r="A46" s="345">
        <v>36951</v>
      </c>
      <c r="B46" s="269">
        <v>780.5</v>
      </c>
      <c r="C46" s="50">
        <f t="shared" si="0"/>
        <v>1.4294996751137212E-2</v>
      </c>
      <c r="D46" s="269">
        <f>AVERAGE(D45,D47)</f>
        <v>516.1</v>
      </c>
      <c r="E46" s="50">
        <f t="shared" si="0"/>
        <v>1.1564092512740265E-2</v>
      </c>
      <c r="F46" s="269">
        <v>660.3</v>
      </c>
      <c r="G46" s="50">
        <f t="shared" si="5"/>
        <v>2.4038461538461453E-2</v>
      </c>
      <c r="H46" s="269">
        <v>810.6</v>
      </c>
      <c r="I46" s="50">
        <f t="shared" si="2"/>
        <v>1.0093457943925355E-2</v>
      </c>
      <c r="J46" s="269">
        <v>657</v>
      </c>
      <c r="K46" s="50">
        <f t="shared" si="3"/>
        <v>1.9553072625698276E-2</v>
      </c>
      <c r="L46" s="269">
        <v>808.7</v>
      </c>
      <c r="M46" s="50">
        <f t="shared" si="4"/>
        <v>7.6002990281585081E-3</v>
      </c>
      <c r="N46" s="28"/>
    </row>
    <row r="47" spans="1:14" ht="17.25" customHeight="1" thickBot="1" x14ac:dyDescent="0.3">
      <c r="A47" s="346">
        <v>37043</v>
      </c>
      <c r="B47" s="285">
        <v>789.4</v>
      </c>
      <c r="C47" s="51">
        <f t="shared" si="0"/>
        <v>1.1402946828955818E-2</v>
      </c>
      <c r="D47" s="285">
        <v>522</v>
      </c>
      <c r="E47" s="51">
        <f t="shared" si="0"/>
        <v>1.1431893043983621E-2</v>
      </c>
      <c r="F47" s="285">
        <v>662.6</v>
      </c>
      <c r="G47" s="51">
        <f t="shared" si="5"/>
        <v>3.4832651824929783E-3</v>
      </c>
      <c r="H47" s="285">
        <v>824.1</v>
      </c>
      <c r="I47" s="51">
        <f t="shared" si="2"/>
        <v>1.6654330125832617E-2</v>
      </c>
      <c r="J47" s="285">
        <v>664.5</v>
      </c>
      <c r="K47" s="51">
        <f t="shared" si="3"/>
        <v>1.1415525114155223E-2</v>
      </c>
      <c r="L47" s="285">
        <v>826.3</v>
      </c>
      <c r="M47" s="51">
        <f t="shared" si="4"/>
        <v>2.1763323853097427E-2</v>
      </c>
      <c r="N47" s="28"/>
    </row>
    <row r="48" spans="1:14" ht="17.25" customHeight="1" x14ac:dyDescent="0.25">
      <c r="A48" s="344">
        <v>37135</v>
      </c>
      <c r="B48" s="286">
        <v>801.4</v>
      </c>
      <c r="C48" s="52">
        <f t="shared" si="0"/>
        <v>1.5201418799087874E-2</v>
      </c>
      <c r="D48" s="269">
        <f>AVERAGE(D47,D49)</f>
        <v>525.20000000000005</v>
      </c>
      <c r="E48" s="52">
        <f t="shared" si="0"/>
        <v>6.1302681992339014E-3</v>
      </c>
      <c r="F48" s="286">
        <v>672.6</v>
      </c>
      <c r="G48" s="52">
        <f t="shared" si="5"/>
        <v>1.509206157561116E-2</v>
      </c>
      <c r="H48" s="286">
        <v>838.5</v>
      </c>
      <c r="I48" s="52">
        <f t="shared" si="2"/>
        <v>1.7473607571896643E-2</v>
      </c>
      <c r="J48" s="286">
        <v>673.1</v>
      </c>
      <c r="K48" s="52">
        <f t="shared" si="3"/>
        <v>1.2942061700526697E-2</v>
      </c>
      <c r="L48" s="286">
        <v>838.2</v>
      </c>
      <c r="M48" s="52">
        <f t="shared" si="4"/>
        <v>1.4401549074186226E-2</v>
      </c>
      <c r="N48" s="28"/>
    </row>
    <row r="49" spans="1:14" ht="17.25" customHeight="1" x14ac:dyDescent="0.25">
      <c r="A49" s="345">
        <v>37226</v>
      </c>
      <c r="B49" s="269">
        <v>811.5</v>
      </c>
      <c r="C49" s="50">
        <f t="shared" si="0"/>
        <v>1.2602944846518582E-2</v>
      </c>
      <c r="D49" s="269">
        <v>528.4</v>
      </c>
      <c r="E49" s="50">
        <f t="shared" si="0"/>
        <v>6.0929169840060471E-3</v>
      </c>
      <c r="F49" s="269">
        <v>676.4</v>
      </c>
      <c r="G49" s="50">
        <f t="shared" si="5"/>
        <v>5.6497175141241307E-3</v>
      </c>
      <c r="H49" s="269">
        <v>848.7</v>
      </c>
      <c r="I49" s="50">
        <f t="shared" si="2"/>
        <v>1.2164579606440018E-2</v>
      </c>
      <c r="J49" s="269">
        <v>677.5</v>
      </c>
      <c r="K49" s="50">
        <f t="shared" si="3"/>
        <v>6.5369187342148027E-3</v>
      </c>
      <c r="L49" s="269">
        <v>848.6</v>
      </c>
      <c r="M49" s="50">
        <f t="shared" si="4"/>
        <v>1.2407539966595049E-2</v>
      </c>
      <c r="N49" s="28"/>
    </row>
    <row r="50" spans="1:14" ht="17.25" customHeight="1" x14ac:dyDescent="0.25">
      <c r="A50" s="345">
        <v>37316</v>
      </c>
      <c r="B50" s="269">
        <v>823.3</v>
      </c>
      <c r="C50" s="50">
        <f t="shared" si="0"/>
        <v>1.4540973505853261E-2</v>
      </c>
      <c r="D50" s="269">
        <f>AVERAGE(D49,D51)</f>
        <v>532.20000000000005</v>
      </c>
      <c r="E50" s="50">
        <f t="shared" si="0"/>
        <v>7.1915215745648187E-3</v>
      </c>
      <c r="F50" s="269">
        <v>687.6</v>
      </c>
      <c r="G50" s="50">
        <f t="shared" si="5"/>
        <v>1.6558249556475557E-2</v>
      </c>
      <c r="H50" s="269">
        <v>860.5</v>
      </c>
      <c r="I50" s="50">
        <f t="shared" si="2"/>
        <v>1.3903617297042592E-2</v>
      </c>
      <c r="J50" s="269">
        <v>685</v>
      </c>
      <c r="K50" s="50">
        <f t="shared" si="3"/>
        <v>1.1070110701107083E-2</v>
      </c>
      <c r="L50" s="269">
        <v>860.4</v>
      </c>
      <c r="M50" s="50">
        <f t="shared" si="4"/>
        <v>1.3905255715295661E-2</v>
      </c>
      <c r="N50" s="28"/>
    </row>
    <row r="51" spans="1:14" ht="17.25" customHeight="1" thickBot="1" x14ac:dyDescent="0.3">
      <c r="A51" s="346">
        <v>37408</v>
      </c>
      <c r="B51" s="285">
        <v>826.1</v>
      </c>
      <c r="C51" s="51">
        <f t="shared" si="0"/>
        <v>3.4009474067777656E-3</v>
      </c>
      <c r="D51" s="285">
        <v>536</v>
      </c>
      <c r="E51" s="51">
        <f t="shared" si="0"/>
        <v>7.1401728673430309E-3</v>
      </c>
      <c r="F51" s="285">
        <v>686.9</v>
      </c>
      <c r="G51" s="51">
        <f t="shared" si="5"/>
        <v>-1.0180337405468753E-3</v>
      </c>
      <c r="H51" s="285">
        <v>866.8</v>
      </c>
      <c r="I51" s="51">
        <f t="shared" si="2"/>
        <v>7.3213248111563267E-3</v>
      </c>
      <c r="J51" s="285">
        <v>688.4</v>
      </c>
      <c r="K51" s="51">
        <f t="shared" si="3"/>
        <v>4.9635036496349372E-3</v>
      </c>
      <c r="L51" s="285">
        <v>867.6</v>
      </c>
      <c r="M51" s="51">
        <f t="shared" si="4"/>
        <v>8.3682008368202165E-3</v>
      </c>
      <c r="N51" s="28"/>
    </row>
    <row r="52" spans="1:14" ht="17.25" customHeight="1" x14ac:dyDescent="0.25">
      <c r="A52" s="344">
        <v>37500</v>
      </c>
      <c r="B52" s="286">
        <v>834.4</v>
      </c>
      <c r="C52" s="52">
        <f t="shared" si="0"/>
        <v>1.0047209780898125E-2</v>
      </c>
      <c r="D52" s="269">
        <f>AVERAGE(D51,D53)</f>
        <v>540.85</v>
      </c>
      <c r="E52" s="52">
        <f t="shared" si="0"/>
        <v>9.0485074626867057E-3</v>
      </c>
      <c r="F52" s="286">
        <v>697.1</v>
      </c>
      <c r="G52" s="52">
        <f t="shared" si="5"/>
        <v>1.4849323045567075E-2</v>
      </c>
      <c r="H52" s="286">
        <v>879.4</v>
      </c>
      <c r="I52" s="52">
        <f t="shared" si="2"/>
        <v>1.4536225196123631E-2</v>
      </c>
      <c r="J52" s="286">
        <v>697.4</v>
      </c>
      <c r="K52" s="52">
        <f t="shared" si="3"/>
        <v>1.3073794305636266E-2</v>
      </c>
      <c r="L52" s="286">
        <v>879.4</v>
      </c>
      <c r="M52" s="52">
        <f t="shared" si="4"/>
        <v>1.360073766712766E-2</v>
      </c>
      <c r="N52" s="28"/>
    </row>
    <row r="53" spans="1:14" ht="17.25" customHeight="1" x14ac:dyDescent="0.25">
      <c r="A53" s="345">
        <v>37591</v>
      </c>
      <c r="B53" s="269">
        <v>847.5</v>
      </c>
      <c r="C53" s="50">
        <f t="shared" si="0"/>
        <v>1.5699904122723041E-2</v>
      </c>
      <c r="D53" s="269">
        <v>545.70000000000005</v>
      </c>
      <c r="E53" s="50">
        <f t="shared" si="0"/>
        <v>8.9673661828604256E-3</v>
      </c>
      <c r="F53" s="269">
        <v>702.5</v>
      </c>
      <c r="G53" s="50">
        <f t="shared" si="5"/>
        <v>7.7463778510973302E-3</v>
      </c>
      <c r="H53" s="269">
        <v>889.6</v>
      </c>
      <c r="I53" s="50">
        <f t="shared" si="2"/>
        <v>1.1598817375483295E-2</v>
      </c>
      <c r="J53" s="269">
        <v>703.6</v>
      </c>
      <c r="K53" s="50">
        <f t="shared" si="3"/>
        <v>8.8901634642959415E-3</v>
      </c>
      <c r="L53" s="269">
        <v>888.7</v>
      </c>
      <c r="M53" s="50">
        <f t="shared" si="4"/>
        <v>1.0575392312940801E-2</v>
      </c>
      <c r="N53" s="28"/>
    </row>
    <row r="54" spans="1:14" ht="17.25" customHeight="1" x14ac:dyDescent="0.25">
      <c r="A54" s="345">
        <v>37681</v>
      </c>
      <c r="B54" s="269">
        <v>861.1</v>
      </c>
      <c r="C54" s="50">
        <f t="shared" si="0"/>
        <v>1.6047197640117972E-2</v>
      </c>
      <c r="D54" s="269">
        <f>AVERAGE(D53,D55)</f>
        <v>553.95000000000005</v>
      </c>
      <c r="E54" s="50">
        <f t="shared" si="0"/>
        <v>1.5118196811434892E-2</v>
      </c>
      <c r="F54" s="269">
        <v>714.4</v>
      </c>
      <c r="G54" s="50">
        <f t="shared" si="5"/>
        <v>1.6939501779359434E-2</v>
      </c>
      <c r="H54" s="269">
        <v>900.3</v>
      </c>
      <c r="I54" s="50">
        <f t="shared" si="2"/>
        <v>1.2027877697841749E-2</v>
      </c>
      <c r="J54" s="269">
        <v>713.4</v>
      </c>
      <c r="K54" s="50">
        <f t="shared" si="3"/>
        <v>1.3928368391131318E-2</v>
      </c>
      <c r="L54" s="269">
        <v>899.8</v>
      </c>
      <c r="M54" s="50">
        <f t="shared" si="4"/>
        <v>1.2490154157758449E-2</v>
      </c>
      <c r="N54" s="28"/>
    </row>
    <row r="55" spans="1:14" ht="17.25" customHeight="1" thickBot="1" x14ac:dyDescent="0.3">
      <c r="A55" s="346">
        <v>37773</v>
      </c>
      <c r="B55" s="285">
        <v>872.1</v>
      </c>
      <c r="C55" s="51">
        <f t="shared" si="0"/>
        <v>1.2774358378817796E-2</v>
      </c>
      <c r="D55" s="285">
        <v>562.20000000000005</v>
      </c>
      <c r="E55" s="51">
        <f t="shared" si="0"/>
        <v>1.4893040888166897E-2</v>
      </c>
      <c r="F55" s="285">
        <v>724.9</v>
      </c>
      <c r="G55" s="51">
        <f t="shared" si="5"/>
        <v>1.4697648376259753E-2</v>
      </c>
      <c r="H55" s="285">
        <v>921</v>
      </c>
      <c r="I55" s="51">
        <f t="shared" si="2"/>
        <v>2.2992335888037285E-2</v>
      </c>
      <c r="J55" s="285">
        <v>726.8</v>
      </c>
      <c r="K55" s="51">
        <f t="shared" si="3"/>
        <v>1.8783291281188719E-2</v>
      </c>
      <c r="L55" s="285">
        <v>922.7</v>
      </c>
      <c r="M55" s="51">
        <f t="shared" si="4"/>
        <v>2.5450100022227362E-2</v>
      </c>
      <c r="N55" s="28"/>
    </row>
    <row r="56" spans="1:14" ht="17.25" customHeight="1" x14ac:dyDescent="0.25">
      <c r="A56" s="344">
        <v>37865</v>
      </c>
      <c r="B56" s="286">
        <v>880.5</v>
      </c>
      <c r="C56" s="52">
        <f t="shared" si="0"/>
        <v>9.6319229446164556E-3</v>
      </c>
      <c r="D56" s="269">
        <f>AVERAGE(D55,D57)</f>
        <v>567.54999999999995</v>
      </c>
      <c r="E56" s="52">
        <f t="shared" si="0"/>
        <v>9.5161864105299809E-3</v>
      </c>
      <c r="F56" s="286">
        <v>732.8</v>
      </c>
      <c r="G56" s="52">
        <f t="shared" si="5"/>
        <v>1.0898054904124654E-2</v>
      </c>
      <c r="H56" s="286">
        <v>929.6</v>
      </c>
      <c r="I56" s="52">
        <f t="shared" si="2"/>
        <v>9.3376764386536859E-3</v>
      </c>
      <c r="J56" s="286">
        <v>732.4</v>
      </c>
      <c r="K56" s="52">
        <f t="shared" si="3"/>
        <v>7.7050082553660193E-3</v>
      </c>
      <c r="L56" s="286">
        <v>928.6</v>
      </c>
      <c r="M56" s="52">
        <f t="shared" si="4"/>
        <v>6.3942776633791887E-3</v>
      </c>
      <c r="N56" s="28"/>
    </row>
    <row r="57" spans="1:14" ht="17.25" customHeight="1" x14ac:dyDescent="0.25">
      <c r="A57" s="345">
        <v>37956</v>
      </c>
      <c r="B57" s="269">
        <v>894.6</v>
      </c>
      <c r="C57" s="50">
        <f t="shared" si="0"/>
        <v>1.6013628620102249E-2</v>
      </c>
      <c r="D57" s="269">
        <v>572.9</v>
      </c>
      <c r="E57" s="50">
        <f t="shared" si="0"/>
        <v>9.4264822482601485E-3</v>
      </c>
      <c r="F57" s="269">
        <v>744.2</v>
      </c>
      <c r="G57" s="50">
        <f t="shared" si="5"/>
        <v>1.5556768558952161E-2</v>
      </c>
      <c r="H57" s="269">
        <v>938.4</v>
      </c>
      <c r="I57" s="50">
        <f t="shared" si="2"/>
        <v>9.4664371772805733E-3</v>
      </c>
      <c r="J57" s="269">
        <v>745.8</v>
      </c>
      <c r="K57" s="50">
        <f t="shared" si="3"/>
        <v>1.8296013107591547E-2</v>
      </c>
      <c r="L57" s="269">
        <v>937.7</v>
      </c>
      <c r="M57" s="50">
        <f t="shared" si="4"/>
        <v>9.7996984708164092E-3</v>
      </c>
      <c r="N57" s="28"/>
    </row>
    <row r="58" spans="1:14" ht="17.25" customHeight="1" x14ac:dyDescent="0.25">
      <c r="A58" s="345">
        <v>38047</v>
      </c>
      <c r="B58" s="269">
        <v>900.1</v>
      </c>
      <c r="C58" s="50">
        <f t="shared" si="0"/>
        <v>6.1479991057455941E-3</v>
      </c>
      <c r="D58" s="269">
        <f>AVERAGE(D57,D59)</f>
        <v>577.45000000000005</v>
      </c>
      <c r="E58" s="50">
        <f t="shared" si="0"/>
        <v>7.9420492232502582E-3</v>
      </c>
      <c r="F58" s="269">
        <v>754.3</v>
      </c>
      <c r="G58" s="50">
        <f t="shared" si="5"/>
        <v>1.3571620532114803E-2</v>
      </c>
      <c r="H58" s="269">
        <v>947.8</v>
      </c>
      <c r="I58" s="50">
        <f t="shared" si="2"/>
        <v>1.0017050298380292E-2</v>
      </c>
      <c r="J58" s="269">
        <v>751.3</v>
      </c>
      <c r="K58" s="50">
        <f t="shared" si="3"/>
        <v>7.3746312684366266E-3</v>
      </c>
      <c r="L58" s="269">
        <v>949</v>
      </c>
      <c r="M58" s="50">
        <f t="shared" si="4"/>
        <v>1.2050762503999168E-2</v>
      </c>
      <c r="N58" s="28"/>
    </row>
    <row r="59" spans="1:14" ht="17.25" customHeight="1" thickBot="1" x14ac:dyDescent="0.3">
      <c r="A59" s="346">
        <v>38139</v>
      </c>
      <c r="B59" s="285">
        <v>891.2</v>
      </c>
      <c r="C59" s="51">
        <f t="shared" si="0"/>
        <v>-9.8877902455282163E-3</v>
      </c>
      <c r="D59" s="285">
        <v>582</v>
      </c>
      <c r="E59" s="51">
        <f t="shared" si="0"/>
        <v>7.8794700839899257E-3</v>
      </c>
      <c r="F59" s="285">
        <v>746.3</v>
      </c>
      <c r="G59" s="51">
        <f t="shared" si="5"/>
        <v>-1.0605859737504941E-2</v>
      </c>
      <c r="H59" s="285">
        <v>949.5</v>
      </c>
      <c r="I59" s="51">
        <f t="shared" si="2"/>
        <v>1.7936273475416264E-3</v>
      </c>
      <c r="J59" s="285">
        <v>747.7</v>
      </c>
      <c r="K59" s="51">
        <f t="shared" si="3"/>
        <v>-4.7916943963794978E-3</v>
      </c>
      <c r="L59" s="285">
        <v>949.7</v>
      </c>
      <c r="M59" s="51">
        <f t="shared" si="4"/>
        <v>7.3761854583787034E-4</v>
      </c>
      <c r="N59" s="28"/>
    </row>
    <row r="60" spans="1:14" ht="17.25" customHeight="1" x14ac:dyDescent="0.25">
      <c r="A60" s="344">
        <v>38231</v>
      </c>
      <c r="B60" s="286">
        <v>906.3</v>
      </c>
      <c r="C60" s="52">
        <f t="shared" si="0"/>
        <v>1.6943447037701898E-2</v>
      </c>
      <c r="D60" s="269">
        <f>AVERAGE(D59,D61)</f>
        <v>589.54999999999995</v>
      </c>
      <c r="E60" s="52">
        <f t="shared" si="0"/>
        <v>1.2972508591065246E-2</v>
      </c>
      <c r="F60" s="286">
        <v>759.7</v>
      </c>
      <c r="G60" s="52">
        <f t="shared" si="5"/>
        <v>1.7955245879673232E-2</v>
      </c>
      <c r="H60" s="286">
        <v>962.9</v>
      </c>
      <c r="I60" s="52">
        <f t="shared" si="2"/>
        <v>1.4112690889942048E-2</v>
      </c>
      <c r="J60" s="286">
        <v>759.4</v>
      </c>
      <c r="K60" s="52">
        <f t="shared" si="3"/>
        <v>1.5647987160625876E-2</v>
      </c>
      <c r="L60" s="286">
        <v>961.8</v>
      </c>
      <c r="M60" s="52">
        <f t="shared" si="4"/>
        <v>1.2740865536485124E-2</v>
      </c>
      <c r="N60" s="28"/>
    </row>
    <row r="61" spans="1:14" ht="17.25" customHeight="1" x14ac:dyDescent="0.25">
      <c r="A61" s="345">
        <v>38322</v>
      </c>
      <c r="B61" s="269">
        <v>911.6</v>
      </c>
      <c r="C61" s="50">
        <f t="shared" si="0"/>
        <v>5.8479532163744352E-3</v>
      </c>
      <c r="D61" s="269">
        <v>597.1</v>
      </c>
      <c r="E61" s="50">
        <f t="shared" si="0"/>
        <v>1.280637774573834E-2</v>
      </c>
      <c r="F61" s="269">
        <v>766.4</v>
      </c>
      <c r="G61" s="50">
        <f t="shared" si="5"/>
        <v>8.8192707647753998E-3</v>
      </c>
      <c r="H61" s="269">
        <v>976.4</v>
      </c>
      <c r="I61" s="50">
        <f t="shared" si="2"/>
        <v>1.4020147471180744E-2</v>
      </c>
      <c r="J61" s="269">
        <v>768.3</v>
      </c>
      <c r="K61" s="50">
        <f t="shared" si="3"/>
        <v>1.1719778772715239E-2</v>
      </c>
      <c r="L61" s="269">
        <v>976.2</v>
      </c>
      <c r="M61" s="50">
        <f t="shared" si="4"/>
        <v>1.4971927635683224E-2</v>
      </c>
      <c r="N61" s="28"/>
    </row>
    <row r="62" spans="1:14" ht="17.25" customHeight="1" x14ac:dyDescent="0.25">
      <c r="A62" s="345">
        <v>38412</v>
      </c>
      <c r="B62" s="269">
        <v>936</v>
      </c>
      <c r="C62" s="50">
        <f t="shared" si="0"/>
        <v>2.6766125493637549E-2</v>
      </c>
      <c r="D62" s="269">
        <f>AVERAGE(D61,D63)</f>
        <v>604.65000000000009</v>
      </c>
      <c r="E62" s="50">
        <f t="shared" si="0"/>
        <v>1.2644448166136524E-2</v>
      </c>
      <c r="F62" s="269">
        <v>788.5</v>
      </c>
      <c r="G62" s="50">
        <f t="shared" si="5"/>
        <v>2.8836116910229581E-2</v>
      </c>
      <c r="H62" s="269">
        <v>992.9</v>
      </c>
      <c r="I62" s="50">
        <f t="shared" si="2"/>
        <v>1.6898811962310578E-2</v>
      </c>
      <c r="J62" s="269">
        <v>784.5</v>
      </c>
      <c r="K62" s="50">
        <f t="shared" si="3"/>
        <v>2.1085513471300388E-2</v>
      </c>
      <c r="L62" s="269">
        <v>993.1</v>
      </c>
      <c r="M62" s="50">
        <f t="shared" si="4"/>
        <v>1.7312026224134414E-2</v>
      </c>
      <c r="N62" s="28"/>
    </row>
    <row r="63" spans="1:14" ht="17.25" customHeight="1" thickBot="1" x14ac:dyDescent="0.3">
      <c r="A63" s="346">
        <v>38504</v>
      </c>
      <c r="B63" s="285">
        <v>942.7</v>
      </c>
      <c r="C63" s="51">
        <f t="shared" si="0"/>
        <v>7.1581196581196327E-3</v>
      </c>
      <c r="D63" s="285">
        <v>612.20000000000005</v>
      </c>
      <c r="E63" s="51">
        <f t="shared" si="0"/>
        <v>1.248656247415858E-2</v>
      </c>
      <c r="F63" s="285">
        <v>789.7</v>
      </c>
      <c r="G63" s="51">
        <f t="shared" si="5"/>
        <v>1.5218769816107702E-3</v>
      </c>
      <c r="H63" s="285">
        <v>1006.7</v>
      </c>
      <c r="I63" s="51">
        <f t="shared" si="2"/>
        <v>1.3898680632490779E-2</v>
      </c>
      <c r="J63" s="285">
        <v>792.9</v>
      </c>
      <c r="K63" s="51">
        <f t="shared" si="3"/>
        <v>1.0707456978967356E-2</v>
      </c>
      <c r="L63" s="285">
        <v>1008.3</v>
      </c>
      <c r="M63" s="51">
        <f t="shared" si="4"/>
        <v>1.530560870003006E-2</v>
      </c>
      <c r="N63" s="28"/>
    </row>
    <row r="64" spans="1:14" ht="17.25" customHeight="1" x14ac:dyDescent="0.25">
      <c r="A64" s="344">
        <v>38596</v>
      </c>
      <c r="B64" s="286">
        <v>963.7</v>
      </c>
      <c r="C64" s="52">
        <f t="shared" si="0"/>
        <v>2.2276440012729326E-2</v>
      </c>
      <c r="D64" s="269">
        <f>AVERAGE(D63,D65)</f>
        <v>618.54999999999995</v>
      </c>
      <c r="E64" s="52">
        <f t="shared" si="0"/>
        <v>1.0372427311335919E-2</v>
      </c>
      <c r="F64" s="286">
        <v>806.1</v>
      </c>
      <c r="G64" s="52">
        <f t="shared" si="5"/>
        <v>2.0767380017728154E-2</v>
      </c>
      <c r="H64" s="286">
        <v>1023.2</v>
      </c>
      <c r="I64" s="52">
        <f t="shared" si="2"/>
        <v>1.6390185755438491E-2</v>
      </c>
      <c r="J64" s="286">
        <v>804.9</v>
      </c>
      <c r="K64" s="52">
        <f t="shared" si="3"/>
        <v>1.5134317063942415E-2</v>
      </c>
      <c r="L64" s="286">
        <v>1022</v>
      </c>
      <c r="M64" s="52">
        <f t="shared" si="4"/>
        <v>1.3587226024000865E-2</v>
      </c>
      <c r="N64" s="28"/>
    </row>
    <row r="65" spans="1:14" ht="17.25" customHeight="1" x14ac:dyDescent="0.25">
      <c r="A65" s="345">
        <v>38687</v>
      </c>
      <c r="B65" s="269">
        <v>963.8</v>
      </c>
      <c r="C65" s="50">
        <f t="shared" si="0"/>
        <v>1.0376673238554623E-4</v>
      </c>
      <c r="D65" s="269">
        <v>624.9</v>
      </c>
      <c r="E65" s="50">
        <f t="shared" si="0"/>
        <v>1.0265944547732664E-2</v>
      </c>
      <c r="F65" s="269">
        <v>806.7</v>
      </c>
      <c r="G65" s="50">
        <f t="shared" si="5"/>
        <v>7.4432452549322292E-4</v>
      </c>
      <c r="H65" s="269">
        <v>1025.7</v>
      </c>
      <c r="I65" s="50">
        <f t="shared" si="2"/>
        <v>2.4433150899139111E-3</v>
      </c>
      <c r="J65" s="269">
        <v>808.6</v>
      </c>
      <c r="K65" s="50">
        <f t="shared" si="3"/>
        <v>4.5968443284880589E-3</v>
      </c>
      <c r="L65" s="269">
        <v>1026</v>
      </c>
      <c r="M65" s="50">
        <f t="shared" si="4"/>
        <v>3.9138943248533398E-3</v>
      </c>
      <c r="N65" s="28"/>
    </row>
    <row r="66" spans="1:14" ht="17.25" customHeight="1" x14ac:dyDescent="0.25">
      <c r="A66" s="345">
        <v>38777</v>
      </c>
      <c r="B66" s="269">
        <v>983.1</v>
      </c>
      <c r="C66" s="50">
        <f t="shared" si="0"/>
        <v>2.0024901431832332E-2</v>
      </c>
      <c r="D66" s="269">
        <f>AVERAGE(D65,D67)</f>
        <v>633.25</v>
      </c>
      <c r="E66" s="50">
        <f t="shared" si="0"/>
        <v>1.3362137942070751E-2</v>
      </c>
      <c r="F66" s="269">
        <v>823</v>
      </c>
      <c r="G66" s="50">
        <f t="shared" si="5"/>
        <v>2.0205776620800808E-2</v>
      </c>
      <c r="H66" s="269">
        <v>1037.5</v>
      </c>
      <c r="I66" s="50">
        <f t="shared" si="2"/>
        <v>1.1504338500536226E-2</v>
      </c>
      <c r="J66" s="269">
        <v>816.8</v>
      </c>
      <c r="K66" s="50">
        <f t="shared" si="3"/>
        <v>1.0140984417511767E-2</v>
      </c>
      <c r="L66" s="269">
        <v>1035.8</v>
      </c>
      <c r="M66" s="50">
        <f t="shared" si="4"/>
        <v>9.5516569200779777E-3</v>
      </c>
      <c r="N66" s="28"/>
    </row>
    <row r="67" spans="1:14" ht="17.25" customHeight="1" thickBot="1" x14ac:dyDescent="0.3">
      <c r="A67" s="346">
        <v>38869</v>
      </c>
      <c r="B67" s="285">
        <v>985.1</v>
      </c>
      <c r="C67" s="51">
        <f t="shared" si="0"/>
        <v>2.0343810395686557E-3</v>
      </c>
      <c r="D67" s="285">
        <v>641.6</v>
      </c>
      <c r="E67" s="51">
        <f t="shared" si="0"/>
        <v>1.3185945519147202E-2</v>
      </c>
      <c r="F67" s="285">
        <v>826.9</v>
      </c>
      <c r="G67" s="51">
        <f t="shared" si="5"/>
        <v>4.7387606318347597E-3</v>
      </c>
      <c r="H67" s="285">
        <v>1041.5999999999999</v>
      </c>
      <c r="I67" s="51">
        <f t="shared" si="2"/>
        <v>3.951807228915527E-3</v>
      </c>
      <c r="J67" s="285">
        <v>831.5</v>
      </c>
      <c r="K67" s="51">
        <f t="shared" si="3"/>
        <v>1.7997061704211559E-2</v>
      </c>
      <c r="L67" s="285">
        <v>1043.0999999999999</v>
      </c>
      <c r="M67" s="51">
        <f t="shared" si="4"/>
        <v>7.0476926047498001E-3</v>
      </c>
      <c r="N67" s="28"/>
    </row>
    <row r="68" spans="1:14" ht="17.25" customHeight="1" x14ac:dyDescent="0.25">
      <c r="A68" s="344">
        <v>38961</v>
      </c>
      <c r="B68" s="286">
        <v>1002.7</v>
      </c>
      <c r="C68" s="52">
        <f t="shared" si="0"/>
        <v>1.7866206476499835E-2</v>
      </c>
      <c r="D68" s="269">
        <f>AVERAGE(D67,D69)</f>
        <v>648.15000000000009</v>
      </c>
      <c r="E68" s="52">
        <f t="shared" si="0"/>
        <v>1.0208852867830576E-2</v>
      </c>
      <c r="F68" s="286">
        <v>837.7</v>
      </c>
      <c r="G68" s="52">
        <f t="shared" si="5"/>
        <v>1.3060829604547131E-2</v>
      </c>
      <c r="H68" s="286">
        <v>1053</v>
      </c>
      <c r="I68" s="52">
        <f t="shared" si="2"/>
        <v>1.0944700460829626E-2</v>
      </c>
      <c r="J68" s="286">
        <v>835.6</v>
      </c>
      <c r="K68" s="52">
        <f t="shared" si="3"/>
        <v>4.9308478653036225E-3</v>
      </c>
      <c r="L68" s="286">
        <v>1050.9000000000001</v>
      </c>
      <c r="M68" s="52">
        <f t="shared" si="4"/>
        <v>7.4777106701180429E-3</v>
      </c>
      <c r="N68" s="28"/>
    </row>
    <row r="69" spans="1:14" ht="17.25" customHeight="1" x14ac:dyDescent="0.25">
      <c r="A69" s="345">
        <v>39052</v>
      </c>
      <c r="B69" s="269">
        <v>1013.6</v>
      </c>
      <c r="C69" s="50">
        <f t="shared" si="0"/>
        <v>1.087064924703296E-2</v>
      </c>
      <c r="D69" s="269">
        <v>654.70000000000005</v>
      </c>
      <c r="E69" s="50">
        <f t="shared" si="0"/>
        <v>1.010568541232737E-2</v>
      </c>
      <c r="F69" s="269">
        <v>843.7</v>
      </c>
      <c r="G69" s="50">
        <f t="shared" si="5"/>
        <v>7.1624686641995616E-3</v>
      </c>
      <c r="H69" s="269">
        <v>1058.5999999999999</v>
      </c>
      <c r="I69" s="50">
        <f t="shared" si="2"/>
        <v>5.3181386514717932E-3</v>
      </c>
      <c r="J69" s="269">
        <v>846</v>
      </c>
      <c r="K69" s="50">
        <f t="shared" si="3"/>
        <v>1.2446146481570164E-2</v>
      </c>
      <c r="L69" s="269">
        <v>1058.8</v>
      </c>
      <c r="M69" s="50">
        <f t="shared" si="4"/>
        <v>7.5173660671803422E-3</v>
      </c>
      <c r="N69" s="28"/>
    </row>
    <row r="70" spans="1:14" ht="17.25" customHeight="1" x14ac:dyDescent="0.25">
      <c r="A70" s="345">
        <v>39142</v>
      </c>
      <c r="B70" s="269">
        <v>1027.8</v>
      </c>
      <c r="C70" s="50">
        <f t="shared" si="0"/>
        <v>1.4009471191791523E-2</v>
      </c>
      <c r="D70" s="269">
        <f>AVERAGE(D69,D71)</f>
        <v>662.40000000000009</v>
      </c>
      <c r="E70" s="50">
        <f t="shared" si="0"/>
        <v>1.1761111959676329E-2</v>
      </c>
      <c r="F70" s="269">
        <v>863.8</v>
      </c>
      <c r="G70" s="50">
        <f t="shared" si="5"/>
        <v>2.3823633993125481E-2</v>
      </c>
      <c r="H70" s="269">
        <v>1073.8</v>
      </c>
      <c r="I70" s="50">
        <f t="shared" si="2"/>
        <v>1.4358586812771579E-2</v>
      </c>
      <c r="J70" s="269">
        <v>857.5</v>
      </c>
      <c r="K70" s="50">
        <f t="shared" si="3"/>
        <v>1.3593380614657313E-2</v>
      </c>
      <c r="L70" s="269">
        <v>1071.7</v>
      </c>
      <c r="M70" s="50">
        <f t="shared" si="4"/>
        <v>1.2183604080090671E-2</v>
      </c>
      <c r="N70" s="28"/>
    </row>
    <row r="71" spans="1:14" ht="17.25" customHeight="1" thickBot="1" x14ac:dyDescent="0.3">
      <c r="A71" s="346">
        <v>39234</v>
      </c>
      <c r="B71" s="285">
        <v>1038.4000000000001</v>
      </c>
      <c r="C71" s="51">
        <f t="shared" si="0"/>
        <v>1.0313290523448204E-2</v>
      </c>
      <c r="D71" s="285">
        <v>670.1</v>
      </c>
      <c r="E71" s="51">
        <f t="shared" si="0"/>
        <v>1.1624396135265558E-2</v>
      </c>
      <c r="F71" s="285">
        <v>863.4</v>
      </c>
      <c r="G71" s="51">
        <f t="shared" si="5"/>
        <v>-4.6307015512847549E-4</v>
      </c>
      <c r="H71" s="285">
        <v>1090</v>
      </c>
      <c r="I71" s="51">
        <f t="shared" si="2"/>
        <v>1.5086608306947413E-2</v>
      </c>
      <c r="J71" s="285">
        <v>866.4</v>
      </c>
      <c r="K71" s="51">
        <f t="shared" si="3"/>
        <v>1.0379008746355556E-2</v>
      </c>
      <c r="L71" s="285">
        <v>1091.2</v>
      </c>
      <c r="M71" s="51">
        <f t="shared" si="4"/>
        <v>1.8195390501072994E-2</v>
      </c>
      <c r="N71" s="28"/>
    </row>
    <row r="72" spans="1:14" x14ac:dyDescent="0.25">
      <c r="A72" s="344">
        <v>39326</v>
      </c>
      <c r="B72" s="286">
        <v>1055.8</v>
      </c>
      <c r="C72" s="52">
        <f t="shared" si="0"/>
        <v>1.6756548536209337E-2</v>
      </c>
      <c r="D72" s="269">
        <f>AVERAGE(D71,D73)</f>
        <v>676.75</v>
      </c>
      <c r="E72" s="52">
        <f t="shared" si="0"/>
        <v>9.9238919564244021E-3</v>
      </c>
      <c r="F72" s="286">
        <v>875.8</v>
      </c>
      <c r="G72" s="52">
        <f t="shared" si="5"/>
        <v>1.4361825341672407E-2</v>
      </c>
      <c r="H72" s="286">
        <v>1105.0999999999999</v>
      </c>
      <c r="I72" s="52">
        <f t="shared" si="2"/>
        <v>1.3853211009174249E-2</v>
      </c>
      <c r="J72" s="286">
        <v>873.6</v>
      </c>
      <c r="K72" s="52">
        <f t="shared" si="3"/>
        <v>8.3102493074793671E-3</v>
      </c>
      <c r="L72" s="286">
        <v>1102.4000000000001</v>
      </c>
      <c r="M72" s="52">
        <f t="shared" si="4"/>
        <v>1.0263929618768319E-2</v>
      </c>
      <c r="N72" s="28"/>
    </row>
    <row r="73" spans="1:14" x14ac:dyDescent="0.25">
      <c r="A73" s="345">
        <v>39417</v>
      </c>
      <c r="B73" s="269">
        <v>1053.2</v>
      </c>
      <c r="C73" s="50">
        <f t="shared" ref="C73:C127" si="6">B73/B72-1</f>
        <v>-2.4625876112899237E-3</v>
      </c>
      <c r="D73" s="269">
        <v>683.4</v>
      </c>
      <c r="E73" s="50">
        <f t="shared" ref="E73:E107" si="7">D73/D72-1</f>
        <v>9.8263760620613816E-3</v>
      </c>
      <c r="F73" s="269">
        <v>875.8</v>
      </c>
      <c r="G73" s="50">
        <f t="shared" ref="G73:G127" si="8">F73/F72-1</f>
        <v>0</v>
      </c>
      <c r="H73" s="269">
        <v>1108.5</v>
      </c>
      <c r="I73" s="50">
        <f t="shared" ref="I73:I127" si="9">H73/H72-1</f>
        <v>3.076644647543203E-3</v>
      </c>
      <c r="J73" s="269">
        <v>879.4</v>
      </c>
      <c r="K73" s="50">
        <f t="shared" si="3"/>
        <v>6.6391941391941156E-3</v>
      </c>
      <c r="L73" s="269">
        <v>1110.2</v>
      </c>
      <c r="M73" s="50">
        <f t="shared" si="4"/>
        <v>7.0754716981131782E-3</v>
      </c>
      <c r="N73" s="28"/>
    </row>
    <row r="74" spans="1:14" x14ac:dyDescent="0.25">
      <c r="A74" s="345">
        <v>39508</v>
      </c>
      <c r="B74" s="269">
        <v>1071.2</v>
      </c>
      <c r="C74" s="50">
        <f t="shared" si="6"/>
        <v>1.7090770983668735E-2</v>
      </c>
      <c r="D74" s="269">
        <f>AVERAGE(D73,D75)</f>
        <v>688.55</v>
      </c>
      <c r="E74" s="50">
        <f>D74/D73-1</f>
        <v>7.5358501609599227E-3</v>
      </c>
      <c r="F74" s="269">
        <v>891.2</v>
      </c>
      <c r="G74" s="50">
        <f t="shared" si="8"/>
        <v>1.7583923270153123E-2</v>
      </c>
      <c r="H74" s="269">
        <v>1124.8</v>
      </c>
      <c r="I74" s="50">
        <f t="shared" si="9"/>
        <v>1.4704555705908895E-2</v>
      </c>
      <c r="J74" s="269">
        <v>885.1</v>
      </c>
      <c r="K74" s="50">
        <f t="shared" si="3"/>
        <v>6.4816920627701613E-3</v>
      </c>
      <c r="L74" s="269">
        <v>1124</v>
      </c>
      <c r="M74" s="50">
        <f t="shared" si="4"/>
        <v>1.2430192758061676E-2</v>
      </c>
      <c r="N74" s="28"/>
    </row>
    <row r="75" spans="1:14" ht="15.75" thickBot="1" x14ac:dyDescent="0.3">
      <c r="A75" s="346">
        <v>39600</v>
      </c>
      <c r="B75" s="285">
        <v>1072.3</v>
      </c>
      <c r="C75" s="51">
        <f t="shared" si="6"/>
        <v>1.026885735623484E-3</v>
      </c>
      <c r="D75" s="285">
        <v>693.7</v>
      </c>
      <c r="E75" s="51">
        <f t="shared" si="7"/>
        <v>7.4794858761166871E-3</v>
      </c>
      <c r="F75" s="285">
        <v>888.5</v>
      </c>
      <c r="G75" s="51">
        <f t="shared" si="8"/>
        <v>-3.0296229802514452E-3</v>
      </c>
      <c r="H75" s="285">
        <v>1131.0999999999999</v>
      </c>
      <c r="I75" s="51">
        <f t="shared" si="9"/>
        <v>5.6009957325746651E-3</v>
      </c>
      <c r="J75" s="285">
        <v>890.9</v>
      </c>
      <c r="K75" s="51">
        <f t="shared" si="3"/>
        <v>6.5529318721047058E-3</v>
      </c>
      <c r="L75" s="285">
        <v>1131.4000000000001</v>
      </c>
      <c r="M75" s="51">
        <f t="shared" si="4"/>
        <v>6.5836298932384629E-3</v>
      </c>
      <c r="N75" s="28"/>
    </row>
    <row r="76" spans="1:14" x14ac:dyDescent="0.25">
      <c r="A76" s="344">
        <v>39692</v>
      </c>
      <c r="B76" s="286">
        <v>1090.8</v>
      </c>
      <c r="C76" s="52">
        <f t="shared" si="6"/>
        <v>1.7252634523920563E-2</v>
      </c>
      <c r="D76" s="269">
        <f>AVERAGE(D75,D77)</f>
        <v>704.5</v>
      </c>
      <c r="E76" s="52">
        <f t="shared" si="7"/>
        <v>1.5568689635288901E-2</v>
      </c>
      <c r="F76" s="286">
        <v>901.7</v>
      </c>
      <c r="G76" s="52">
        <f t="shared" si="8"/>
        <v>1.4856499718626903E-2</v>
      </c>
      <c r="H76" s="286">
        <v>1151.4000000000001</v>
      </c>
      <c r="I76" s="52">
        <f t="shared" si="9"/>
        <v>1.7947131111307746E-2</v>
      </c>
      <c r="J76" s="286">
        <v>899.9</v>
      </c>
      <c r="K76" s="52">
        <f t="shared" si="3"/>
        <v>1.010214389942754E-2</v>
      </c>
      <c r="L76" s="286">
        <v>1147.2</v>
      </c>
      <c r="M76" s="52">
        <f t="shared" si="4"/>
        <v>1.3964999116139243E-2</v>
      </c>
      <c r="N76" s="28"/>
    </row>
    <row r="77" spans="1:14" x14ac:dyDescent="0.25">
      <c r="A77" s="345">
        <v>39783</v>
      </c>
      <c r="B77" s="269">
        <v>1100.5999999999999</v>
      </c>
      <c r="C77" s="50">
        <f t="shared" si="6"/>
        <v>8.9842317565089758E-3</v>
      </c>
      <c r="D77" s="269">
        <v>715.3</v>
      </c>
      <c r="E77" s="50">
        <f t="shared" si="7"/>
        <v>1.533002129169625E-2</v>
      </c>
      <c r="F77" s="269">
        <v>909.5</v>
      </c>
      <c r="G77" s="50">
        <f t="shared" si="8"/>
        <v>8.6503271598092901E-3</v>
      </c>
      <c r="H77" s="269">
        <v>1165.3</v>
      </c>
      <c r="I77" s="50">
        <f t="shared" si="9"/>
        <v>1.207225985756466E-2</v>
      </c>
      <c r="J77" s="269">
        <v>912.4</v>
      </c>
      <c r="K77" s="50">
        <f t="shared" si="3"/>
        <v>1.3890432270252218E-2</v>
      </c>
      <c r="L77" s="269">
        <v>1166.5</v>
      </c>
      <c r="M77" s="50">
        <f t="shared" si="4"/>
        <v>1.6823570432356938E-2</v>
      </c>
      <c r="N77" s="28"/>
    </row>
    <row r="78" spans="1:14" x14ac:dyDescent="0.25">
      <c r="A78" s="345">
        <v>39873</v>
      </c>
      <c r="B78" s="269">
        <v>1112.2</v>
      </c>
      <c r="C78" s="50">
        <f t="shared" si="6"/>
        <v>1.0539705615119077E-2</v>
      </c>
      <c r="D78" s="269">
        <f>AVERAGE(D77,D79)</f>
        <v>720.95</v>
      </c>
      <c r="E78" s="50">
        <f t="shared" si="7"/>
        <v>7.8987837271076167E-3</v>
      </c>
      <c r="F78" s="269">
        <v>921.5</v>
      </c>
      <c r="G78" s="50">
        <f t="shared" si="8"/>
        <v>1.3194062671797679E-2</v>
      </c>
      <c r="H78" s="269">
        <v>1183.4000000000001</v>
      </c>
      <c r="I78" s="50">
        <f t="shared" si="9"/>
        <v>1.5532480906204515E-2</v>
      </c>
      <c r="J78" s="269">
        <v>916.1</v>
      </c>
      <c r="K78" s="50">
        <f t="shared" si="3"/>
        <v>4.055238930293692E-3</v>
      </c>
      <c r="L78" s="269">
        <v>1181.5999999999999</v>
      </c>
      <c r="M78" s="50">
        <f t="shared" si="4"/>
        <v>1.2944706386626592E-2</v>
      </c>
      <c r="N78" s="28"/>
    </row>
    <row r="79" spans="1:14" ht="15.75" thickBot="1" x14ac:dyDescent="0.3">
      <c r="A79" s="346">
        <v>39965</v>
      </c>
      <c r="B79" s="285">
        <v>1109.8</v>
      </c>
      <c r="C79" s="51">
        <f t="shared" si="6"/>
        <v>-2.1578852724331021E-3</v>
      </c>
      <c r="D79" s="285">
        <v>726.6</v>
      </c>
      <c r="E79" s="51">
        <f t="shared" si="7"/>
        <v>7.8368818919480887E-3</v>
      </c>
      <c r="F79" s="285">
        <v>918.8</v>
      </c>
      <c r="G79" s="51">
        <f t="shared" si="8"/>
        <v>-2.930005425936022E-3</v>
      </c>
      <c r="H79" s="285">
        <v>1195.5999999999999</v>
      </c>
      <c r="I79" s="51">
        <f t="shared" si="9"/>
        <v>1.0309278350515205E-2</v>
      </c>
      <c r="J79" s="285">
        <v>922.5</v>
      </c>
      <c r="K79" s="51">
        <f t="shared" si="3"/>
        <v>6.9861368846195759E-3</v>
      </c>
      <c r="L79" s="285">
        <v>1196.5</v>
      </c>
      <c r="M79" s="51">
        <f t="shared" si="4"/>
        <v>1.2610020311442094E-2</v>
      </c>
      <c r="N79" s="28"/>
    </row>
    <row r="80" spans="1:14" x14ac:dyDescent="0.25">
      <c r="A80" s="344">
        <v>40057</v>
      </c>
      <c r="B80" s="286">
        <v>1141</v>
      </c>
      <c r="C80" s="52">
        <f t="shared" si="6"/>
        <v>2.8113173544782821E-2</v>
      </c>
      <c r="D80" s="269">
        <f>AVERAGE(D79,D81)</f>
        <v>735.40000000000009</v>
      </c>
      <c r="E80" s="52">
        <f t="shared" si="7"/>
        <v>1.2111202862647996E-2</v>
      </c>
      <c r="F80" s="286">
        <v>940</v>
      </c>
      <c r="G80" s="52">
        <f t="shared" si="8"/>
        <v>2.307357422725298E-2</v>
      </c>
      <c r="H80" s="286">
        <v>1204.2</v>
      </c>
      <c r="I80" s="52">
        <f t="shared" si="9"/>
        <v>7.1930411508867032E-3</v>
      </c>
      <c r="J80" s="286">
        <v>938</v>
      </c>
      <c r="K80" s="52">
        <f t="shared" si="3"/>
        <v>1.6802168021680108E-2</v>
      </c>
      <c r="L80" s="286">
        <v>1200.5999999999999</v>
      </c>
      <c r="M80" s="52">
        <f t="shared" si="4"/>
        <v>3.4266610948598952E-3</v>
      </c>
      <c r="N80" s="28"/>
    </row>
    <row r="81" spans="1:14" x14ac:dyDescent="0.25">
      <c r="A81" s="345">
        <v>40148</v>
      </c>
      <c r="B81" s="269">
        <v>1162.7</v>
      </c>
      <c r="C81" s="50">
        <f t="shared" si="6"/>
        <v>1.9018404907975572E-2</v>
      </c>
      <c r="D81" s="269">
        <v>744.2</v>
      </c>
      <c r="E81" s="50">
        <f t="shared" si="7"/>
        <v>1.1966276856132607E-2</v>
      </c>
      <c r="F81" s="269">
        <v>955</v>
      </c>
      <c r="G81" s="50">
        <f t="shared" si="8"/>
        <v>1.5957446808510634E-2</v>
      </c>
      <c r="H81" s="269">
        <v>1226.8</v>
      </c>
      <c r="I81" s="50">
        <f t="shared" si="9"/>
        <v>1.8767646570337027E-2</v>
      </c>
      <c r="J81" s="269">
        <v>956.2</v>
      </c>
      <c r="K81" s="50">
        <f t="shared" si="3"/>
        <v>1.9402985074626899E-2</v>
      </c>
      <c r="L81" s="269">
        <v>1226.7</v>
      </c>
      <c r="M81" s="50">
        <f t="shared" si="4"/>
        <v>2.1739130434782705E-2</v>
      </c>
      <c r="N81" s="28"/>
    </row>
    <row r="82" spans="1:14" x14ac:dyDescent="0.25">
      <c r="A82" s="345">
        <v>40238</v>
      </c>
      <c r="B82" s="269">
        <v>1178.7</v>
      </c>
      <c r="C82" s="50">
        <f t="shared" si="6"/>
        <v>1.3761073363722343E-2</v>
      </c>
      <c r="D82" s="269">
        <f>AVERAGE(D81,D83)</f>
        <v>754.75</v>
      </c>
      <c r="E82" s="50">
        <f t="shared" si="7"/>
        <v>1.4176296694436985E-2</v>
      </c>
      <c r="F82" s="269">
        <v>973.8</v>
      </c>
      <c r="G82" s="50">
        <f t="shared" si="8"/>
        <v>1.9685863874345566E-2</v>
      </c>
      <c r="H82" s="269">
        <v>1243.9000000000001</v>
      </c>
      <c r="I82" s="50">
        <f t="shared" si="9"/>
        <v>1.3938702314965967E-2</v>
      </c>
      <c r="J82" s="269">
        <v>968.1</v>
      </c>
      <c r="K82" s="50">
        <f t="shared" ref="K82:K99" si="10">J82/J81-1</f>
        <v>1.2445095168374776E-2</v>
      </c>
      <c r="L82" s="269">
        <v>1242.2</v>
      </c>
      <c r="M82" s="50">
        <f t="shared" ref="M82:M127" si="11">L82/L81-1</f>
        <v>1.2635526208526926E-2</v>
      </c>
      <c r="N82" s="28"/>
    </row>
    <row r="83" spans="1:14" ht="15.75" thickBot="1" x14ac:dyDescent="0.3">
      <c r="A83" s="346">
        <v>40330</v>
      </c>
      <c r="B83" s="285">
        <v>1183.4000000000001</v>
      </c>
      <c r="C83" s="51">
        <f t="shared" si="6"/>
        <v>3.9874437940103924E-3</v>
      </c>
      <c r="D83" s="285">
        <v>765.3</v>
      </c>
      <c r="E83" s="51">
        <f t="shared" si="7"/>
        <v>1.3978138456442579E-2</v>
      </c>
      <c r="F83" s="285">
        <v>977.1</v>
      </c>
      <c r="G83" s="51">
        <f t="shared" si="8"/>
        <v>3.3887861983981082E-3</v>
      </c>
      <c r="H83" s="285">
        <v>1250.0999999999999</v>
      </c>
      <c r="I83" s="51">
        <f t="shared" si="9"/>
        <v>4.9843234986732821E-3</v>
      </c>
      <c r="J83" s="285">
        <v>982.4</v>
      </c>
      <c r="K83" s="51">
        <f t="shared" si="10"/>
        <v>1.4771201322177463E-2</v>
      </c>
      <c r="L83" s="285">
        <v>1253.0999999999999</v>
      </c>
      <c r="M83" s="51">
        <f t="shared" si="11"/>
        <v>8.7747544678795641E-3</v>
      </c>
      <c r="N83" s="28"/>
    </row>
    <row r="84" spans="1:14" x14ac:dyDescent="0.25">
      <c r="A84" s="344">
        <v>40422</v>
      </c>
      <c r="B84" s="286">
        <v>1183.4000000000001</v>
      </c>
      <c r="C84" s="52">
        <f t="shared" si="6"/>
        <v>0</v>
      </c>
      <c r="D84" s="269">
        <f>AVERAGE(D83,D85)</f>
        <v>774.55</v>
      </c>
      <c r="E84" s="52">
        <f t="shared" si="7"/>
        <v>1.2086763360773523E-2</v>
      </c>
      <c r="F84" s="286">
        <v>978.4</v>
      </c>
      <c r="G84" s="52">
        <f t="shared" si="8"/>
        <v>1.330467710572103E-3</v>
      </c>
      <c r="H84" s="286">
        <v>1258.8</v>
      </c>
      <c r="I84" s="52">
        <f t="shared" si="9"/>
        <v>6.9594432445405641E-3</v>
      </c>
      <c r="J84" s="286">
        <v>977.4</v>
      </c>
      <c r="K84" s="52">
        <f t="shared" si="10"/>
        <v>-5.0895765472313004E-3</v>
      </c>
      <c r="L84" s="286">
        <v>1257.2</v>
      </c>
      <c r="M84" s="52">
        <f t="shared" si="11"/>
        <v>3.2718857234059762E-3</v>
      </c>
      <c r="N84" s="28"/>
    </row>
    <row r="85" spans="1:14" x14ac:dyDescent="0.25">
      <c r="A85" s="345">
        <v>40513</v>
      </c>
      <c r="B85" s="269">
        <v>1209.5999999999999</v>
      </c>
      <c r="C85" s="50">
        <f t="shared" si="6"/>
        <v>2.2139597769139652E-2</v>
      </c>
      <c r="D85" s="269">
        <v>783.8</v>
      </c>
      <c r="E85" s="50">
        <f t="shared" si="7"/>
        <v>1.1942418178296998E-2</v>
      </c>
      <c r="F85" s="269">
        <v>996.6</v>
      </c>
      <c r="G85" s="50">
        <f t="shared" si="8"/>
        <v>1.8601798855274021E-2</v>
      </c>
      <c r="H85" s="362">
        <v>1275.2</v>
      </c>
      <c r="I85" s="50">
        <f t="shared" si="9"/>
        <v>1.3028280902446898E-2</v>
      </c>
      <c r="J85" s="269">
        <v>992.5</v>
      </c>
      <c r="K85" s="50">
        <f t="shared" si="10"/>
        <v>1.5449150808266809E-2</v>
      </c>
      <c r="L85" s="269">
        <v>1272.5</v>
      </c>
      <c r="M85" s="50">
        <f t="shared" si="11"/>
        <v>1.2169901368119573E-2</v>
      </c>
      <c r="N85" s="28"/>
    </row>
    <row r="86" spans="1:14" x14ac:dyDescent="0.25">
      <c r="A86" s="345">
        <v>40603</v>
      </c>
      <c r="B86" s="269">
        <v>1224.0999999999999</v>
      </c>
      <c r="C86" s="50">
        <f t="shared" si="6"/>
        <v>1.1987433862433949E-2</v>
      </c>
      <c r="D86" s="269">
        <f>AVERAGE(D85,D87)</f>
        <v>789.84999999999991</v>
      </c>
      <c r="E86" s="50">
        <f t="shared" si="7"/>
        <v>7.7188058178105923E-3</v>
      </c>
      <c r="F86" s="269">
        <v>1011.8</v>
      </c>
      <c r="G86" s="50">
        <f t="shared" si="8"/>
        <v>1.5251856311458978E-2</v>
      </c>
      <c r="H86" s="269">
        <v>1291.3</v>
      </c>
      <c r="I86" s="50">
        <f t="shared" si="9"/>
        <v>1.2625470514429082E-2</v>
      </c>
      <c r="J86" s="269">
        <v>1005.5</v>
      </c>
      <c r="K86" s="50">
        <f t="shared" si="10"/>
        <v>1.3098236775818561E-2</v>
      </c>
      <c r="L86" s="269">
        <v>1288.8</v>
      </c>
      <c r="M86" s="50">
        <f t="shared" si="11"/>
        <v>1.280943025540271E-2</v>
      </c>
      <c r="N86" s="28"/>
    </row>
    <row r="87" spans="1:14" ht="15.75" thickBot="1" x14ac:dyDescent="0.3">
      <c r="A87" s="346">
        <v>40695</v>
      </c>
      <c r="B87" s="285">
        <v>1236.5</v>
      </c>
      <c r="C87" s="51">
        <f t="shared" si="6"/>
        <v>1.0129891348746201E-2</v>
      </c>
      <c r="D87" s="285">
        <v>795.9</v>
      </c>
      <c r="E87" s="51">
        <f t="shared" si="7"/>
        <v>7.6596822181427271E-3</v>
      </c>
      <c r="F87" s="285">
        <v>1015.2</v>
      </c>
      <c r="G87" s="51">
        <f t="shared" si="8"/>
        <v>3.3603478948409649E-3</v>
      </c>
      <c r="H87" s="285">
        <v>1304.7</v>
      </c>
      <c r="I87" s="51">
        <f t="shared" si="9"/>
        <v>1.0377139316967376E-2</v>
      </c>
      <c r="J87" s="285">
        <v>1019.3</v>
      </c>
      <c r="K87" s="51">
        <f t="shared" si="10"/>
        <v>1.3724515166583684E-2</v>
      </c>
      <c r="L87" s="285">
        <v>1305.5999999999999</v>
      </c>
      <c r="M87" s="51">
        <f t="shared" si="11"/>
        <v>1.3035381750465591E-2</v>
      </c>
      <c r="N87" s="28"/>
    </row>
    <row r="88" spans="1:14" x14ac:dyDescent="0.25">
      <c r="A88" s="344">
        <v>40787</v>
      </c>
      <c r="B88" s="286">
        <v>1244.9000000000001</v>
      </c>
      <c r="C88" s="52">
        <f t="shared" si="6"/>
        <v>6.793368378487763E-3</v>
      </c>
      <c r="D88" s="269">
        <f>AVERAGE(D87,D89)</f>
        <v>802</v>
      </c>
      <c r="E88" s="52">
        <f t="shared" si="7"/>
        <v>7.6642794320895824E-3</v>
      </c>
      <c r="F88" s="286">
        <v>1024.2</v>
      </c>
      <c r="G88" s="52">
        <f>F88/F87-1</f>
        <v>8.8652482269504507E-3</v>
      </c>
      <c r="H88" s="286">
        <v>1324.9</v>
      </c>
      <c r="I88" s="52">
        <f t="shared" si="9"/>
        <v>1.548248639534E-2</v>
      </c>
      <c r="J88" s="286">
        <v>1023.5</v>
      </c>
      <c r="K88" s="52">
        <f t="shared" si="10"/>
        <v>4.1204748356715726E-3</v>
      </c>
      <c r="L88" s="286">
        <v>1322.9</v>
      </c>
      <c r="M88" s="52">
        <f t="shared" si="11"/>
        <v>1.32506127450982E-2</v>
      </c>
      <c r="N88" s="28"/>
    </row>
    <row r="89" spans="1:14" x14ac:dyDescent="0.25">
      <c r="A89" s="345">
        <v>40878</v>
      </c>
      <c r="B89" s="269">
        <v>1255</v>
      </c>
      <c r="C89" s="50">
        <f t="shared" si="6"/>
        <v>8.113101453931959E-3</v>
      </c>
      <c r="D89" s="269">
        <v>808.1</v>
      </c>
      <c r="E89" s="50">
        <f t="shared" si="7"/>
        <v>7.6059850374066151E-3</v>
      </c>
      <c r="F89" s="269">
        <v>1033.7</v>
      </c>
      <c r="G89" s="50">
        <f t="shared" si="8"/>
        <v>9.275532122632324E-3</v>
      </c>
      <c r="H89" s="269">
        <v>1330.1</v>
      </c>
      <c r="I89" s="50">
        <f t="shared" si="9"/>
        <v>3.9248245150576011E-3</v>
      </c>
      <c r="J89" s="269">
        <v>1032.2</v>
      </c>
      <c r="K89" s="50">
        <f t="shared" si="10"/>
        <v>8.5002442598924866E-3</v>
      </c>
      <c r="L89" s="269">
        <v>1330.2</v>
      </c>
      <c r="M89" s="50">
        <f t="shared" si="11"/>
        <v>5.5181797565952984E-3</v>
      </c>
      <c r="N89" s="28"/>
    </row>
    <row r="90" spans="1:14" x14ac:dyDescent="0.25">
      <c r="A90" s="345">
        <v>40969</v>
      </c>
      <c r="B90" s="269">
        <v>1284.9000000000001</v>
      </c>
      <c r="C90" s="50">
        <f t="shared" si="6"/>
        <v>2.3824701195219289E-2</v>
      </c>
      <c r="D90" s="269">
        <f>AVERAGE(D89,D91)</f>
        <v>815</v>
      </c>
      <c r="E90" s="50">
        <f t="shared" si="7"/>
        <v>8.5385472095036441E-3</v>
      </c>
      <c r="F90" s="269">
        <v>1056.2</v>
      </c>
      <c r="G90" s="50">
        <f t="shared" si="8"/>
        <v>2.1766469962271495E-2</v>
      </c>
      <c r="H90" s="269">
        <v>1348.1</v>
      </c>
      <c r="I90" s="50">
        <f t="shared" si="9"/>
        <v>1.3532817081422399E-2</v>
      </c>
      <c r="J90" s="269">
        <v>1050.2</v>
      </c>
      <c r="K90" s="50">
        <f t="shared" si="10"/>
        <v>1.7438480914551358E-2</v>
      </c>
      <c r="L90" s="269">
        <v>1346</v>
      </c>
      <c r="M90" s="50">
        <f t="shared" si="11"/>
        <v>1.1877913095775128E-2</v>
      </c>
      <c r="N90" s="28"/>
    </row>
    <row r="91" spans="1:14" ht="15.75" thickBot="1" x14ac:dyDescent="0.3">
      <c r="A91" s="346">
        <v>41061</v>
      </c>
      <c r="B91" s="285">
        <v>1285.0999999999999</v>
      </c>
      <c r="C91" s="51">
        <f t="shared" si="6"/>
        <v>1.5565413650864279E-4</v>
      </c>
      <c r="D91" s="285">
        <v>821.9</v>
      </c>
      <c r="E91" s="51">
        <f t="shared" si="7"/>
        <v>8.4662576687115632E-3</v>
      </c>
      <c r="F91" s="285">
        <v>1053.2</v>
      </c>
      <c r="G91" s="51">
        <f t="shared" si="8"/>
        <v>-2.8403711418292232E-3</v>
      </c>
      <c r="H91" s="285">
        <v>1349.2</v>
      </c>
      <c r="I91" s="51">
        <f>H91/H90-1</f>
        <v>8.1596320747734374E-4</v>
      </c>
      <c r="J91" s="285">
        <v>1057.3</v>
      </c>
      <c r="K91" s="51">
        <f t="shared" si="10"/>
        <v>6.7606170253284859E-3</v>
      </c>
      <c r="L91" s="285">
        <v>1351.2</v>
      </c>
      <c r="M91" s="51">
        <f t="shared" si="11"/>
        <v>3.8632986627042953E-3</v>
      </c>
      <c r="N91" s="28"/>
    </row>
    <row r="92" spans="1:14" s="5" customFormat="1" x14ac:dyDescent="0.25">
      <c r="A92" s="482">
        <v>41153</v>
      </c>
      <c r="B92" s="286">
        <f>AVERAGE(B91,B93)</f>
        <v>1304.6999999999998</v>
      </c>
      <c r="C92" s="52">
        <f t="shared" si="6"/>
        <v>1.5251731382771805E-2</v>
      </c>
      <c r="D92" s="269">
        <f>AVERAGE(D91,D93)</f>
        <v>830.95</v>
      </c>
      <c r="E92" s="52">
        <f t="shared" si="7"/>
        <v>1.1011071906558145E-2</v>
      </c>
      <c r="F92" s="286">
        <f>AVERAGE(F91,F93)</f>
        <v>1067.25</v>
      </c>
      <c r="G92" s="52">
        <f t="shared" si="8"/>
        <v>1.3340296240030414E-2</v>
      </c>
      <c r="H92" s="286">
        <f>AVERAGE(H91,H93)</f>
        <v>1372.6</v>
      </c>
      <c r="I92" s="52">
        <f t="shared" si="9"/>
        <v>1.7343611028757699E-2</v>
      </c>
      <c r="J92" s="286">
        <f>AVERAGE(J91,J93)</f>
        <v>1069.3</v>
      </c>
      <c r="K92" s="52">
        <f t="shared" si="10"/>
        <v>1.1349664239099555E-2</v>
      </c>
      <c r="L92" s="286">
        <f>AVERAGE(L91,L93)</f>
        <v>1373.6</v>
      </c>
      <c r="M92" s="365">
        <f t="shared" si="11"/>
        <v>1.6577856719952599E-2</v>
      </c>
    </row>
    <row r="93" spans="1:14" s="5" customFormat="1" x14ac:dyDescent="0.25">
      <c r="A93" s="485">
        <v>41244</v>
      </c>
      <c r="B93" s="362">
        <v>1324.3</v>
      </c>
      <c r="C93" s="50">
        <f t="shared" si="6"/>
        <v>1.5022610561814975E-2</v>
      </c>
      <c r="D93" s="942">
        <v>840</v>
      </c>
      <c r="E93" s="50">
        <f t="shared" si="7"/>
        <v>1.089114868523966E-2</v>
      </c>
      <c r="F93" s="362">
        <v>1081.3</v>
      </c>
      <c r="G93" s="50">
        <f t="shared" si="8"/>
        <v>1.3164675568048789E-2</v>
      </c>
      <c r="H93" s="362">
        <v>1396</v>
      </c>
      <c r="I93" s="50">
        <f t="shared" si="9"/>
        <v>1.704793821943773E-2</v>
      </c>
      <c r="J93" s="362">
        <v>1081.3</v>
      </c>
      <c r="K93" s="50">
        <f t="shared" si="10"/>
        <v>1.1222294959319257E-2</v>
      </c>
      <c r="L93" s="362">
        <v>1396</v>
      </c>
      <c r="M93" s="363">
        <f t="shared" si="11"/>
        <v>1.6307513104251603E-2</v>
      </c>
    </row>
    <row r="94" spans="1:14" s="5" customFormat="1" x14ac:dyDescent="0.25">
      <c r="A94" s="485">
        <v>41334</v>
      </c>
      <c r="B94" s="269">
        <f>AVERAGE(B93,B95)</f>
        <v>1340.5</v>
      </c>
      <c r="C94" s="50">
        <f t="shared" si="6"/>
        <v>1.2232877746734205E-2</v>
      </c>
      <c r="D94" s="269">
        <f>AVERAGE(D93,D95)</f>
        <v>844.95</v>
      </c>
      <c r="E94" s="50">
        <f t="shared" si="7"/>
        <v>5.8928571428571441E-3</v>
      </c>
      <c r="F94" s="269">
        <f>AVERAGE(F93,F95)</f>
        <v>1093.1500000000001</v>
      </c>
      <c r="G94" s="50">
        <f t="shared" si="8"/>
        <v>1.0959030796263924E-2</v>
      </c>
      <c r="H94" s="269">
        <f>AVERAGE(H93,H95)</f>
        <v>1408.45</v>
      </c>
      <c r="I94" s="50">
        <f t="shared" si="9"/>
        <v>8.9183381088826508E-3</v>
      </c>
      <c r="J94" s="269">
        <f>AVERAGE(J93,J95)</f>
        <v>1093.1500000000001</v>
      </c>
      <c r="K94" s="50">
        <f t="shared" si="10"/>
        <v>1.0959030796263924E-2</v>
      </c>
      <c r="L94" s="269">
        <f>AVERAGE(L93,L95)</f>
        <v>1408.45</v>
      </c>
      <c r="M94" s="363">
        <f t="shared" si="11"/>
        <v>8.9183381088826508E-3</v>
      </c>
    </row>
    <row r="95" spans="1:14" s="5" customFormat="1" ht="15.75" thickBot="1" x14ac:dyDescent="0.3">
      <c r="A95" s="481">
        <v>41426</v>
      </c>
      <c r="B95" s="479">
        <v>1356.7</v>
      </c>
      <c r="C95" s="51">
        <f t="shared" si="6"/>
        <v>1.2085042894442344E-2</v>
      </c>
      <c r="D95" s="945">
        <v>849.9</v>
      </c>
      <c r="E95" s="51">
        <f t="shared" si="7"/>
        <v>5.8583348127108081E-3</v>
      </c>
      <c r="F95" s="479">
        <v>1105</v>
      </c>
      <c r="G95" s="51">
        <f t="shared" si="8"/>
        <v>1.0840232356035262E-2</v>
      </c>
      <c r="H95" s="479">
        <v>1420.9</v>
      </c>
      <c r="I95" s="51">
        <f>H95/H94-1</f>
        <v>8.839504419752231E-3</v>
      </c>
      <c r="J95" s="479">
        <v>1105</v>
      </c>
      <c r="K95" s="51">
        <f t="shared" si="10"/>
        <v>1.0840232356035262E-2</v>
      </c>
      <c r="L95" s="479">
        <v>1420.9</v>
      </c>
      <c r="M95" s="361">
        <f t="shared" si="11"/>
        <v>8.839504419752231E-3</v>
      </c>
    </row>
    <row r="96" spans="1:14" x14ac:dyDescent="0.25">
      <c r="A96" s="485">
        <v>41518</v>
      </c>
      <c r="B96" s="828">
        <f>AVERAGE(B95,B97)</f>
        <v>1352.3000000000002</v>
      </c>
      <c r="C96" s="365">
        <f t="shared" si="6"/>
        <v>-3.2431635586348539E-3</v>
      </c>
      <c r="D96" s="269">
        <f>AVERAGE(D95,D97)</f>
        <v>861.25</v>
      </c>
      <c r="E96" s="943">
        <f t="shared" si="7"/>
        <v>1.335451229556428E-2</v>
      </c>
      <c r="F96" s="828">
        <f>AVERAGE(F95,F97)</f>
        <v>1109.5999999999999</v>
      </c>
      <c r="G96" s="363">
        <f t="shared" si="8"/>
        <v>4.1628959276016619E-3</v>
      </c>
      <c r="H96" s="828">
        <f>AVERAGE(H95,H97)</f>
        <v>1428.95</v>
      </c>
      <c r="I96" s="365">
        <f>H96/H95-1</f>
        <v>5.6654233232458218E-3</v>
      </c>
      <c r="J96" s="362">
        <f>AVERAGE(J95,J97)</f>
        <v>1109.5999999999999</v>
      </c>
      <c r="K96" s="363">
        <f t="shared" si="10"/>
        <v>4.1628959276016619E-3</v>
      </c>
      <c r="L96" s="828">
        <f>AVERAGE(L95,L97)</f>
        <v>1428.95</v>
      </c>
      <c r="M96" s="363">
        <f t="shared" si="11"/>
        <v>5.6654233232458218E-3</v>
      </c>
      <c r="N96" s="502"/>
    </row>
    <row r="97" spans="1:34" x14ac:dyDescent="0.25">
      <c r="A97" s="485">
        <v>41609</v>
      </c>
      <c r="B97" s="362">
        <v>1347.9</v>
      </c>
      <c r="C97" s="363">
        <f t="shared" si="6"/>
        <v>-3.2537158914442976E-3</v>
      </c>
      <c r="D97" s="942">
        <v>872.6</v>
      </c>
      <c r="E97" s="943">
        <f t="shared" si="7"/>
        <v>1.3178519593614046E-2</v>
      </c>
      <c r="F97" s="362">
        <v>1114.2</v>
      </c>
      <c r="G97" s="363">
        <f t="shared" si="8"/>
        <v>4.1456380677722393E-3</v>
      </c>
      <c r="H97" s="362">
        <v>1437</v>
      </c>
      <c r="I97" s="363">
        <f t="shared" si="9"/>
        <v>5.6335071206130571E-3</v>
      </c>
      <c r="J97" s="362">
        <v>1114.2</v>
      </c>
      <c r="K97" s="363">
        <f t="shared" si="10"/>
        <v>4.1456380677722393E-3</v>
      </c>
      <c r="L97" s="362">
        <v>1437</v>
      </c>
      <c r="M97" s="363">
        <f t="shared" si="11"/>
        <v>5.6335071206130571E-3</v>
      </c>
      <c r="N97" s="28"/>
      <c r="O97" s="697"/>
      <c r="P97" s="697"/>
      <c r="Q97" s="697"/>
      <c r="R97" s="697"/>
      <c r="S97" s="697"/>
      <c r="T97" s="697"/>
      <c r="U97" s="697"/>
      <c r="V97" s="697"/>
      <c r="W97" s="697"/>
      <c r="X97" s="697"/>
      <c r="Y97" s="697"/>
      <c r="Z97" s="697"/>
      <c r="AA97" s="697"/>
      <c r="AB97" s="697"/>
      <c r="AC97" s="697"/>
      <c r="AD97" s="697"/>
      <c r="AE97" s="697"/>
      <c r="AF97" s="697"/>
      <c r="AG97" s="697"/>
      <c r="AH97" s="697"/>
    </row>
    <row r="98" spans="1:34" x14ac:dyDescent="0.25">
      <c r="A98" s="485">
        <v>41699</v>
      </c>
      <c r="B98" s="362">
        <f>AVERAGE(B97,B99)</f>
        <v>1356.25</v>
      </c>
      <c r="C98" s="363">
        <f t="shared" si="6"/>
        <v>6.1948215743006241E-3</v>
      </c>
      <c r="D98" s="269">
        <f>AVERAGE(D97,D99)</f>
        <v>876.95</v>
      </c>
      <c r="E98" s="943">
        <f t="shared" si="7"/>
        <v>4.9851019940407859E-3</v>
      </c>
      <c r="F98" s="362">
        <f>AVERAGE(F97,F99)</f>
        <v>1118.5999999999999</v>
      </c>
      <c r="G98" s="363">
        <f>F98/F97-1</f>
        <v>3.9490217196194166E-3</v>
      </c>
      <c r="H98" s="362">
        <f>AVERAGE(H97,H99)</f>
        <v>1445.55</v>
      </c>
      <c r="I98" s="363">
        <f t="shared" si="9"/>
        <v>5.9498956158663407E-3</v>
      </c>
      <c r="J98" s="362">
        <f>AVERAGE(J97,J99)</f>
        <v>1118.5999999999999</v>
      </c>
      <c r="K98" s="363">
        <f t="shared" si="10"/>
        <v>3.9490217196194166E-3</v>
      </c>
      <c r="L98" s="362">
        <f>AVERAGE(L97,L99)</f>
        <v>1445.55</v>
      </c>
      <c r="M98" s="363">
        <f t="shared" si="11"/>
        <v>5.9498956158663407E-3</v>
      </c>
      <c r="N98" s="28"/>
      <c r="O98" s="697"/>
      <c r="P98" s="697"/>
      <c r="Q98" s="697"/>
      <c r="R98" s="697"/>
      <c r="S98" s="697"/>
      <c r="T98" s="697"/>
      <c r="U98" s="697"/>
      <c r="V98" s="697"/>
      <c r="W98" s="697"/>
      <c r="X98" s="697"/>
      <c r="Y98" s="697"/>
      <c r="Z98" s="697"/>
      <c r="AA98" s="697"/>
      <c r="AB98" s="697"/>
      <c r="AC98" s="697"/>
      <c r="AD98" s="697"/>
      <c r="AE98" s="697"/>
      <c r="AF98" s="697"/>
      <c r="AG98" s="697"/>
      <c r="AH98" s="697"/>
    </row>
    <row r="99" spans="1:34" ht="15.75" thickBot="1" x14ac:dyDescent="0.3">
      <c r="A99" s="481">
        <v>41791</v>
      </c>
      <c r="B99" s="479">
        <v>1364.6</v>
      </c>
      <c r="C99" s="361">
        <f t="shared" si="6"/>
        <v>6.1566820276497403E-3</v>
      </c>
      <c r="D99" s="945">
        <v>881.3</v>
      </c>
      <c r="E99" s="361">
        <f t="shared" si="7"/>
        <v>4.9603740236043858E-3</v>
      </c>
      <c r="F99" s="479">
        <v>1123</v>
      </c>
      <c r="G99" s="361">
        <f>F99/F98-1</f>
        <v>3.9334882889325851E-3</v>
      </c>
      <c r="H99" s="479">
        <v>1454.1</v>
      </c>
      <c r="I99" s="361">
        <f t="shared" si="9"/>
        <v>5.9147037459790219E-3</v>
      </c>
      <c r="J99" s="479">
        <v>1123</v>
      </c>
      <c r="K99" s="361">
        <f t="shared" si="10"/>
        <v>3.9334882889325851E-3</v>
      </c>
      <c r="L99" s="479">
        <v>1454.1</v>
      </c>
      <c r="M99" s="361">
        <f t="shared" si="11"/>
        <v>5.9147037459790219E-3</v>
      </c>
      <c r="N99" s="28"/>
    </row>
    <row r="100" spans="1:34" x14ac:dyDescent="0.25">
      <c r="A100" s="482">
        <v>41883</v>
      </c>
      <c r="B100" s="828">
        <f>AVERAGE(B99,B101)</f>
        <v>1368.05</v>
      </c>
      <c r="C100" s="365">
        <f t="shared" si="6"/>
        <v>2.5282133958670627E-3</v>
      </c>
      <c r="D100" s="269">
        <f>AVERAGE(D99,D101)</f>
        <v>884.59999999999991</v>
      </c>
      <c r="E100" s="943">
        <f t="shared" si="7"/>
        <v>3.7444683989560357E-3</v>
      </c>
      <c r="F100" s="828">
        <f>AVERAGE(F99,F101)</f>
        <v>1125.8499999999999</v>
      </c>
      <c r="G100" s="363">
        <f>F100/F99-1</f>
        <v>2.5378450578805722E-3</v>
      </c>
      <c r="H100" s="828">
        <f>AVERAGE(H99,H101)</f>
        <v>1465.55</v>
      </c>
      <c r="I100" s="365">
        <f t="shared" si="9"/>
        <v>7.8742865002408013E-3</v>
      </c>
      <c r="J100" s="828">
        <f t="shared" ref="J100:J127" si="12">J99*(1+K100)</f>
        <v>1125.8499999999999</v>
      </c>
      <c r="K100" s="365">
        <f>G100</f>
        <v>2.5378450578805722E-3</v>
      </c>
      <c r="L100" s="828">
        <f>AVERAGE(L99,L101)</f>
        <v>1465.55</v>
      </c>
      <c r="M100" s="365">
        <f t="shared" si="11"/>
        <v>7.8742865002408013E-3</v>
      </c>
      <c r="N100" s="28"/>
      <c r="O100" s="697"/>
      <c r="P100" s="697"/>
      <c r="Q100" s="697"/>
      <c r="R100" s="697"/>
      <c r="S100" s="697"/>
      <c r="T100" s="697"/>
      <c r="U100" s="697"/>
      <c r="V100" s="697"/>
      <c r="W100" s="697"/>
      <c r="X100" s="697"/>
      <c r="Y100" s="697"/>
      <c r="Z100" s="697"/>
      <c r="AA100" s="697"/>
      <c r="AB100" s="697"/>
      <c r="AC100" s="697"/>
      <c r="AD100" s="697"/>
      <c r="AE100" s="697"/>
    </row>
    <row r="101" spans="1:34" x14ac:dyDescent="0.25">
      <c r="A101" s="485">
        <v>41974</v>
      </c>
      <c r="B101" s="362">
        <v>1371.5</v>
      </c>
      <c r="C101" s="363">
        <f t="shared" si="6"/>
        <v>2.5218376521325414E-3</v>
      </c>
      <c r="D101" s="942">
        <v>887.9</v>
      </c>
      <c r="E101" s="943">
        <f t="shared" si="7"/>
        <v>3.7304996608638064E-3</v>
      </c>
      <c r="F101" s="362">
        <v>1128.7</v>
      </c>
      <c r="G101" s="363">
        <f t="shared" si="8"/>
        <v>2.531420704356746E-3</v>
      </c>
      <c r="H101" s="362">
        <v>1477</v>
      </c>
      <c r="I101" s="363">
        <f t="shared" si="9"/>
        <v>7.8127665381597655E-3</v>
      </c>
      <c r="J101" s="362">
        <v>1128.7</v>
      </c>
      <c r="K101" s="363">
        <f t="shared" ref="K101:K127" si="13">G101</f>
        <v>2.531420704356746E-3</v>
      </c>
      <c r="L101" s="362">
        <v>1477</v>
      </c>
      <c r="M101" s="363">
        <f t="shared" si="11"/>
        <v>7.8127665381597655E-3</v>
      </c>
      <c r="N101" s="28"/>
      <c r="O101" s="697"/>
      <c r="P101" s="697"/>
      <c r="Q101" s="697"/>
      <c r="R101" s="697"/>
      <c r="S101" s="697"/>
      <c r="T101" s="697"/>
      <c r="U101" s="697"/>
      <c r="V101" s="697"/>
      <c r="W101" s="697"/>
      <c r="X101" s="697"/>
      <c r="Y101" s="697"/>
      <c r="Z101" s="697"/>
      <c r="AA101" s="697"/>
      <c r="AB101" s="697"/>
      <c r="AC101" s="697"/>
      <c r="AD101" s="697"/>
      <c r="AE101" s="697"/>
    </row>
    <row r="102" spans="1:34" x14ac:dyDescent="0.25">
      <c r="A102" s="485">
        <v>42064</v>
      </c>
      <c r="B102" s="362">
        <f>AVERAGE(B101,B103)</f>
        <v>1370.5</v>
      </c>
      <c r="C102" s="363">
        <f t="shared" si="6"/>
        <v>-7.2912869121399826E-4</v>
      </c>
      <c r="D102" s="269">
        <f>AVERAGE(D101,D103)</f>
        <v>897.84999999999991</v>
      </c>
      <c r="E102" s="943">
        <f t="shared" si="7"/>
        <v>1.12062169163194E-2</v>
      </c>
      <c r="F102" s="362">
        <f>AVERAGE(F101,F103)</f>
        <v>1132.8000000000002</v>
      </c>
      <c r="G102" s="363">
        <f t="shared" si="8"/>
        <v>3.6324975635688705E-3</v>
      </c>
      <c r="H102" s="362">
        <f>AVERAGE(H101,H103)</f>
        <v>1480.05</v>
      </c>
      <c r="I102" s="363">
        <f t="shared" si="9"/>
        <v>2.0649966147596732E-3</v>
      </c>
      <c r="J102" s="362">
        <f t="shared" si="12"/>
        <v>1132.8000000000002</v>
      </c>
      <c r="K102" s="363">
        <f t="shared" si="13"/>
        <v>3.6324975635688705E-3</v>
      </c>
      <c r="L102" s="362">
        <f>AVERAGE(L101,L103)</f>
        <v>1480.05</v>
      </c>
      <c r="M102" s="363">
        <f t="shared" si="11"/>
        <v>2.0649966147596732E-3</v>
      </c>
      <c r="N102" s="28"/>
      <c r="O102" s="697"/>
    </row>
    <row r="103" spans="1:34" ht="15.75" thickBot="1" x14ac:dyDescent="0.3">
      <c r="A103" s="481">
        <v>42156</v>
      </c>
      <c r="B103" s="940">
        <v>1369.5</v>
      </c>
      <c r="C103" s="361">
        <f t="shared" si="6"/>
        <v>-7.2966070777091829E-4</v>
      </c>
      <c r="D103" s="945">
        <v>907.8</v>
      </c>
      <c r="E103" s="361">
        <f t="shared" si="7"/>
        <v>1.1082029292198037E-2</v>
      </c>
      <c r="F103" s="941">
        <v>1136.9000000000001</v>
      </c>
      <c r="G103" s="361">
        <f t="shared" si="8"/>
        <v>3.6193502824857227E-3</v>
      </c>
      <c r="H103" s="941">
        <v>1483.1</v>
      </c>
      <c r="I103" s="361">
        <f t="shared" si="9"/>
        <v>2.060741191175941E-3</v>
      </c>
      <c r="J103" s="479">
        <f>J102*(1+K103)</f>
        <v>1136.9000000000001</v>
      </c>
      <c r="K103" s="361">
        <f t="shared" si="13"/>
        <v>3.6193502824857227E-3</v>
      </c>
      <c r="L103" s="945">
        <v>1483.1</v>
      </c>
      <c r="M103" s="361">
        <f t="shared" si="11"/>
        <v>2.060741191175941E-3</v>
      </c>
      <c r="N103" s="28"/>
      <c r="O103" s="697"/>
      <c r="P103" s="270"/>
      <c r="Q103" s="270"/>
      <c r="T103" s="270"/>
      <c r="V103" s="270"/>
      <c r="W103" s="270"/>
      <c r="Z103" s="270"/>
    </row>
    <row r="104" spans="1:34" x14ac:dyDescent="0.25">
      <c r="A104" s="482">
        <v>42248</v>
      </c>
      <c r="B104" s="828">
        <f>AVERAGE(B103,B105)</f>
        <v>1372.15</v>
      </c>
      <c r="C104" s="365">
        <f t="shared" si="6"/>
        <v>1.9350127783863691E-3</v>
      </c>
      <c r="D104" s="269">
        <f>AVERAGE(D103,D105)</f>
        <v>911.3</v>
      </c>
      <c r="E104" s="943">
        <f t="shared" si="7"/>
        <v>3.8554747741792461E-3</v>
      </c>
      <c r="F104" s="828">
        <f>AVERAGE(F103,F105)</f>
        <v>1141.3000000000002</v>
      </c>
      <c r="G104" s="943">
        <f t="shared" si="8"/>
        <v>3.8701732782127074E-3</v>
      </c>
      <c r="H104" s="828">
        <f>AVERAGE(H103,H105)</f>
        <v>1491.8</v>
      </c>
      <c r="I104" s="365">
        <f t="shared" si="9"/>
        <v>5.8660912952599453E-3</v>
      </c>
      <c r="J104" s="828">
        <f>J103*(1+K104)</f>
        <v>1141.3000000000002</v>
      </c>
      <c r="K104" s="365">
        <f>G104</f>
        <v>3.8701732782127074E-3</v>
      </c>
      <c r="L104" s="828">
        <f>AVERAGE(L103,L105)</f>
        <v>1491.8</v>
      </c>
      <c r="M104" s="365">
        <f t="shared" si="11"/>
        <v>5.8660912952599453E-3</v>
      </c>
      <c r="N104" s="28"/>
      <c r="O104" s="697"/>
      <c r="P104" s="270"/>
    </row>
    <row r="105" spans="1:34" x14ac:dyDescent="0.25">
      <c r="A105" s="946">
        <v>42339</v>
      </c>
      <c r="B105" s="942">
        <v>1374.8</v>
      </c>
      <c r="C105" s="943">
        <f t="shared" si="6"/>
        <v>1.931275735159943E-3</v>
      </c>
      <c r="D105" s="942">
        <v>914.8</v>
      </c>
      <c r="E105" s="943">
        <f t="shared" si="7"/>
        <v>3.8406671787556412E-3</v>
      </c>
      <c r="F105" s="942">
        <v>1145.7</v>
      </c>
      <c r="G105" s="943">
        <f t="shared" si="8"/>
        <v>3.8552527819153415E-3</v>
      </c>
      <c r="H105" s="942">
        <v>1500.5</v>
      </c>
      <c r="I105" s="943">
        <f t="shared" si="9"/>
        <v>5.8318809491888501E-3</v>
      </c>
      <c r="J105" s="942">
        <f>J104*(1+K105)</f>
        <v>1145.7000000000003</v>
      </c>
      <c r="K105" s="943">
        <f t="shared" si="13"/>
        <v>3.8552527819153415E-3</v>
      </c>
      <c r="L105" s="942">
        <v>1500.5</v>
      </c>
      <c r="M105" s="943">
        <f t="shared" si="11"/>
        <v>5.8318809491888501E-3</v>
      </c>
      <c r="N105" s="28"/>
      <c r="O105" s="697"/>
      <c r="P105" s="980"/>
      <c r="Q105" s="270"/>
      <c r="T105" s="270"/>
      <c r="W105" s="270"/>
      <c r="Z105" s="270"/>
    </row>
    <row r="106" spans="1:34" x14ac:dyDescent="0.25">
      <c r="A106" s="946">
        <v>42430</v>
      </c>
      <c r="B106" s="942">
        <f>AVERAGE(B105,B107)</f>
        <v>1384.9499999999998</v>
      </c>
      <c r="C106" s="943">
        <f>B106/B105-1</f>
        <v>7.3828920570264689E-3</v>
      </c>
      <c r="D106" s="942">
        <f>AVERAGE(D105,D107)</f>
        <v>920.3</v>
      </c>
      <c r="E106" s="943">
        <f t="shared" si="7"/>
        <v>6.0122431132487719E-3</v>
      </c>
      <c r="F106" s="942">
        <f>AVERAGE(F105,F107)</f>
        <v>1153.3000000000002</v>
      </c>
      <c r="G106" s="943">
        <f t="shared" si="8"/>
        <v>6.6334991708127955E-3</v>
      </c>
      <c r="H106" s="942">
        <f>AVERAGE(H105,H107)</f>
        <v>1508.25</v>
      </c>
      <c r="I106" s="943">
        <f t="shared" si="9"/>
        <v>5.164945018327316E-3</v>
      </c>
      <c r="J106" s="942">
        <f t="shared" si="12"/>
        <v>1153.3000000000004</v>
      </c>
      <c r="K106" s="943">
        <f t="shared" si="13"/>
        <v>6.6334991708127955E-3</v>
      </c>
      <c r="L106" s="942">
        <f>AVERAGE(L105,L107)</f>
        <v>1508.25</v>
      </c>
      <c r="M106" s="943">
        <f>L106/L105-1</f>
        <v>5.164945018327316E-3</v>
      </c>
      <c r="N106" s="28"/>
      <c r="O106" s="270"/>
      <c r="P106" s="270"/>
      <c r="Q106" s="270"/>
      <c r="R106" s="270"/>
    </row>
    <row r="107" spans="1:34" ht="15.75" thickBot="1" x14ac:dyDescent="0.3">
      <c r="A107" s="481">
        <v>42522</v>
      </c>
      <c r="B107" s="945">
        <v>1395.1</v>
      </c>
      <c r="C107" s="361">
        <f t="shared" si="6"/>
        <v>7.3287844326510587E-3</v>
      </c>
      <c r="D107" s="945">
        <v>925.8</v>
      </c>
      <c r="E107" s="361">
        <f t="shared" si="7"/>
        <v>5.9763120721503249E-3</v>
      </c>
      <c r="F107" s="945">
        <v>1160.9000000000001</v>
      </c>
      <c r="G107" s="361">
        <f t="shared" si="8"/>
        <v>6.5897858319603486E-3</v>
      </c>
      <c r="H107" s="945">
        <v>1516</v>
      </c>
      <c r="I107" s="361">
        <f t="shared" si="9"/>
        <v>5.1384054367644705E-3</v>
      </c>
      <c r="J107" s="945">
        <f t="shared" si="12"/>
        <v>1160.9000000000003</v>
      </c>
      <c r="K107" s="361">
        <f t="shared" si="13"/>
        <v>6.5897858319603486E-3</v>
      </c>
      <c r="L107" s="945">
        <v>1516</v>
      </c>
      <c r="M107" s="361">
        <f t="shared" si="11"/>
        <v>5.1384054367644705E-3</v>
      </c>
      <c r="N107" s="28"/>
      <c r="O107" s="270"/>
      <c r="P107" s="270"/>
      <c r="Q107" s="270"/>
      <c r="R107" s="270"/>
      <c r="T107" s="270"/>
      <c r="W107" s="270"/>
      <c r="Z107" s="270"/>
    </row>
    <row r="108" spans="1:34" s="475" customFormat="1" x14ac:dyDescent="0.25">
      <c r="A108" s="482">
        <v>42614</v>
      </c>
      <c r="B108" s="828">
        <f>AVERAGE(B107,B109)</f>
        <v>1396.5</v>
      </c>
      <c r="C108" s="365">
        <f t="shared" si="6"/>
        <v>1.0035122930256435E-3</v>
      </c>
      <c r="D108" s="1044"/>
      <c r="E108" s="1044"/>
      <c r="F108" s="828">
        <f>AVERAGE(F107,F109)</f>
        <v>1162.2</v>
      </c>
      <c r="G108" s="943">
        <f t="shared" si="8"/>
        <v>1.1198208286673506E-3</v>
      </c>
      <c r="H108" s="828">
        <f>AVERAGE(H107,H109)</f>
        <v>1524.7</v>
      </c>
      <c r="I108" s="365">
        <f t="shared" si="9"/>
        <v>5.7387862796833833E-3</v>
      </c>
      <c r="J108" s="828">
        <f>J107*(1+K108)</f>
        <v>1162.2000000000003</v>
      </c>
      <c r="K108" s="365">
        <f t="shared" si="13"/>
        <v>1.1198208286673506E-3</v>
      </c>
      <c r="L108" s="828">
        <f>AVERAGE(L107,L109)</f>
        <v>1524.7</v>
      </c>
      <c r="M108" s="365">
        <f t="shared" si="11"/>
        <v>5.7387862796833833E-3</v>
      </c>
      <c r="O108" s="270"/>
      <c r="P108" s="270"/>
      <c r="Q108" s="270"/>
      <c r="R108" s="270"/>
    </row>
    <row r="109" spans="1:34" s="5" customFormat="1" x14ac:dyDescent="0.25">
      <c r="A109" s="946">
        <v>42705</v>
      </c>
      <c r="B109" s="1058">
        <v>1397.9</v>
      </c>
      <c r="C109" s="943">
        <f t="shared" si="6"/>
        <v>1.002506265664227E-3</v>
      </c>
      <c r="D109" s="1060"/>
      <c r="E109" s="1060"/>
      <c r="F109" s="1058">
        <v>1163.5</v>
      </c>
      <c r="G109" s="943">
        <f t="shared" si="8"/>
        <v>1.1185682326622093E-3</v>
      </c>
      <c r="H109" s="1058">
        <v>1533.4</v>
      </c>
      <c r="I109" s="943">
        <f t="shared" si="9"/>
        <v>5.7060405325637387E-3</v>
      </c>
      <c r="J109" s="942">
        <f t="shared" si="12"/>
        <v>1163.5000000000002</v>
      </c>
      <c r="K109" s="943">
        <f t="shared" si="13"/>
        <v>1.1185682326622093E-3</v>
      </c>
      <c r="L109" s="1058">
        <v>1533.4</v>
      </c>
      <c r="M109" s="943">
        <f t="shared" si="11"/>
        <v>5.7060405325637387E-3</v>
      </c>
      <c r="O109" s="483"/>
      <c r="P109" s="483"/>
      <c r="Q109" s="483"/>
      <c r="R109" s="483"/>
      <c r="T109" s="483"/>
      <c r="U109" s="483"/>
      <c r="W109" s="483"/>
      <c r="Z109" s="483"/>
    </row>
    <row r="110" spans="1:34" s="5" customFormat="1" x14ac:dyDescent="0.25">
      <c r="A110" s="946">
        <v>42795</v>
      </c>
      <c r="B110" s="942">
        <f>AVERAGE(B109,B111)</f>
        <v>1407.5500000000002</v>
      </c>
      <c r="C110" s="943">
        <f t="shared" si="6"/>
        <v>6.90321196079835E-3</v>
      </c>
      <c r="D110" s="1060"/>
      <c r="E110" s="1060"/>
      <c r="F110" s="942">
        <f>AVERAGE(F109,F111)</f>
        <v>1171.25</v>
      </c>
      <c r="G110" s="943">
        <f t="shared" si="8"/>
        <v>6.660936828534636E-3</v>
      </c>
      <c r="H110" s="500">
        <f>AVERAGE(H109,H111)</f>
        <v>1538.3000000000002</v>
      </c>
      <c r="I110" s="943">
        <f t="shared" si="9"/>
        <v>3.1955132385548257E-3</v>
      </c>
      <c r="J110" s="942">
        <f t="shared" si="12"/>
        <v>1171.2500000000002</v>
      </c>
      <c r="K110" s="943">
        <f t="shared" si="13"/>
        <v>6.660936828534636E-3</v>
      </c>
      <c r="L110" s="500">
        <f>AVERAGE(L109,L111)</f>
        <v>1538.3000000000002</v>
      </c>
      <c r="M110" s="943">
        <f t="shared" si="11"/>
        <v>3.1955132385548257E-3</v>
      </c>
      <c r="O110" s="483"/>
      <c r="P110" s="483"/>
      <c r="Q110" s="483"/>
      <c r="R110" s="483"/>
      <c r="S110" s="483"/>
      <c r="U110" s="483"/>
    </row>
    <row r="111" spans="1:34" s="5" customFormat="1" ht="15.75" thickBot="1" x14ac:dyDescent="0.3">
      <c r="A111" s="481">
        <v>42887</v>
      </c>
      <c r="B111" s="501">
        <v>1417.2</v>
      </c>
      <c r="C111" s="361">
        <f t="shared" si="6"/>
        <v>6.8558843380339685E-3</v>
      </c>
      <c r="D111" s="1094"/>
      <c r="E111" s="1094"/>
      <c r="F111" s="501">
        <v>1179</v>
      </c>
      <c r="G111" s="361">
        <f t="shared" si="8"/>
        <v>6.6168623265741022E-3</v>
      </c>
      <c r="H111" s="501">
        <v>1543.2</v>
      </c>
      <c r="I111" s="361">
        <f t="shared" si="9"/>
        <v>3.1853344601182609E-3</v>
      </c>
      <c r="J111" s="945">
        <f t="shared" si="12"/>
        <v>1179.0000000000002</v>
      </c>
      <c r="K111" s="361">
        <f t="shared" si="13"/>
        <v>6.6168623265741022E-3</v>
      </c>
      <c r="L111" s="501">
        <v>1543.2</v>
      </c>
      <c r="M111" s="361">
        <f t="shared" si="11"/>
        <v>3.1853344601182609E-3</v>
      </c>
      <c r="O111" s="483"/>
      <c r="P111" s="483"/>
      <c r="Q111" s="483"/>
      <c r="R111" s="483"/>
      <c r="S111" s="483"/>
      <c r="T111" s="483"/>
      <c r="U111" s="483"/>
      <c r="W111" s="483"/>
      <c r="Z111" s="483"/>
    </row>
    <row r="112" spans="1:34" x14ac:dyDescent="0.25">
      <c r="A112" s="351">
        <v>42979</v>
      </c>
      <c r="B112" s="1108">
        <v>1426</v>
      </c>
      <c r="C112" s="287">
        <f t="shared" si="6"/>
        <v>6.2094270392323292E-3</v>
      </c>
      <c r="D112" s="1010"/>
      <c r="E112" s="1010"/>
      <c r="F112" s="1108">
        <v>1186.3</v>
      </c>
      <c r="G112" s="274">
        <f t="shared" si="8"/>
        <v>6.1916878710770451E-3</v>
      </c>
      <c r="H112" s="1108">
        <v>1552.8</v>
      </c>
      <c r="I112" s="287">
        <f t="shared" si="9"/>
        <v>6.2208398133747345E-3</v>
      </c>
      <c r="J112" s="880">
        <f t="shared" si="12"/>
        <v>1186.3</v>
      </c>
      <c r="K112" s="923">
        <f t="shared" si="13"/>
        <v>6.1916878710770451E-3</v>
      </c>
      <c r="L112" s="1108">
        <v>1552.8</v>
      </c>
      <c r="M112" s="287">
        <f t="shared" si="11"/>
        <v>6.2208398133747345E-3</v>
      </c>
      <c r="N112" s="28"/>
      <c r="O112" s="270"/>
      <c r="P112" s="270"/>
      <c r="Q112" s="270"/>
      <c r="R112" s="270"/>
      <c r="S112" s="270"/>
      <c r="U112" s="270"/>
    </row>
    <row r="113" spans="1:26" x14ac:dyDescent="0.25">
      <c r="A113" s="352">
        <v>43070</v>
      </c>
      <c r="B113" s="1109">
        <v>1434.8</v>
      </c>
      <c r="C113" s="274">
        <f t="shared" si="6"/>
        <v>6.1711079943898017E-3</v>
      </c>
      <c r="D113" s="1008"/>
      <c r="E113" s="1008"/>
      <c r="F113" s="1109">
        <v>1193.5999999999999</v>
      </c>
      <c r="G113" s="274">
        <f t="shared" si="8"/>
        <v>6.1535867824327184E-3</v>
      </c>
      <c r="H113" s="1109">
        <v>1562.4</v>
      </c>
      <c r="I113" s="274">
        <f t="shared" si="9"/>
        <v>6.1823802163833985E-3</v>
      </c>
      <c r="J113" s="882">
        <f t="shared" si="12"/>
        <v>1193.5999999999999</v>
      </c>
      <c r="K113" s="925">
        <f t="shared" si="13"/>
        <v>6.1535867824327184E-3</v>
      </c>
      <c r="L113" s="1109">
        <v>1562.4</v>
      </c>
      <c r="M113" s="274">
        <f t="shared" si="11"/>
        <v>6.1823802163833985E-3</v>
      </c>
      <c r="N113" s="28"/>
      <c r="O113" s="270"/>
      <c r="P113" s="270"/>
      <c r="Q113" s="270"/>
      <c r="R113" s="270"/>
      <c r="S113" s="270"/>
      <c r="T113" s="270"/>
      <c r="U113" s="270"/>
      <c r="V113" s="999"/>
      <c r="W113" s="270"/>
      <c r="Z113" s="270"/>
    </row>
    <row r="114" spans="1:26" x14ac:dyDescent="0.25">
      <c r="A114" s="352">
        <v>43160</v>
      </c>
      <c r="B114" s="1109">
        <v>1443.7</v>
      </c>
      <c r="C114" s="274">
        <f t="shared" si="6"/>
        <v>6.2029551156956853E-3</v>
      </c>
      <c r="D114" s="1008"/>
      <c r="E114" s="1008"/>
      <c r="F114" s="1109">
        <v>1201</v>
      </c>
      <c r="G114" s="274">
        <f t="shared" si="8"/>
        <v>6.1997319034854392E-3</v>
      </c>
      <c r="H114" s="1109">
        <v>1572.1</v>
      </c>
      <c r="I114" s="274">
        <f t="shared" si="9"/>
        <v>6.2083973374293944E-3</v>
      </c>
      <c r="J114" s="882">
        <f t="shared" si="12"/>
        <v>1201.0000000000002</v>
      </c>
      <c r="K114" s="925">
        <f t="shared" si="13"/>
        <v>6.1997319034854392E-3</v>
      </c>
      <c r="L114" s="1109">
        <v>1572.1</v>
      </c>
      <c r="M114" s="274">
        <f t="shared" si="11"/>
        <v>6.2083973374293944E-3</v>
      </c>
      <c r="N114" s="28"/>
      <c r="O114" s="270"/>
      <c r="P114" s="270"/>
      <c r="Q114" s="270"/>
      <c r="R114" s="270"/>
      <c r="S114" s="270"/>
      <c r="U114" s="270"/>
    </row>
    <row r="115" spans="1:26" ht="15.75" thickBot="1" x14ac:dyDescent="0.3">
      <c r="A115" s="353">
        <v>43252</v>
      </c>
      <c r="B115" s="1107">
        <v>1452.6</v>
      </c>
      <c r="C115" s="288">
        <f t="shared" si="6"/>
        <v>6.1647156611484011E-3</v>
      </c>
      <c r="D115" s="1009"/>
      <c r="E115" s="1009"/>
      <c r="F115" s="1107">
        <v>1208.5</v>
      </c>
      <c r="G115" s="288">
        <f t="shared" si="8"/>
        <v>6.2447960033304994E-3</v>
      </c>
      <c r="H115" s="1107">
        <v>1581.8</v>
      </c>
      <c r="I115" s="288">
        <f t="shared" si="9"/>
        <v>6.1700909611348553E-3</v>
      </c>
      <c r="J115" s="884">
        <f t="shared" si="12"/>
        <v>1208.5000000000002</v>
      </c>
      <c r="K115" s="927">
        <f t="shared" si="13"/>
        <v>6.2447960033304994E-3</v>
      </c>
      <c r="L115" s="1107">
        <v>1581.8</v>
      </c>
      <c r="M115" s="288">
        <f t="shared" si="11"/>
        <v>6.1700909611348553E-3</v>
      </c>
      <c r="N115" s="28"/>
      <c r="O115" s="270"/>
      <c r="P115" s="270"/>
      <c r="Q115" s="270"/>
      <c r="R115" s="270"/>
      <c r="S115" s="270"/>
      <c r="T115" s="270"/>
      <c r="U115" s="270"/>
      <c r="V115" s="999"/>
      <c r="W115" s="270"/>
      <c r="Z115" s="270"/>
    </row>
    <row r="116" spans="1:26" x14ac:dyDescent="0.25">
      <c r="A116" s="351">
        <v>43344</v>
      </c>
      <c r="B116" s="1108">
        <v>1463.1</v>
      </c>
      <c r="C116" s="287">
        <f t="shared" si="6"/>
        <v>7.2284180090871342E-3</v>
      </c>
      <c r="D116" s="1010"/>
      <c r="E116" s="1010"/>
      <c r="F116" s="1108">
        <v>1217.0999999999999</v>
      </c>
      <c r="G116" s="274">
        <f t="shared" si="8"/>
        <v>7.1162598262308752E-3</v>
      </c>
      <c r="H116" s="1108">
        <v>1593.1</v>
      </c>
      <c r="I116" s="287">
        <f t="shared" si="9"/>
        <v>7.1437602731065919E-3</v>
      </c>
      <c r="J116" s="880">
        <f t="shared" si="12"/>
        <v>1217.1000000000001</v>
      </c>
      <c r="K116" s="923">
        <f t="shared" si="13"/>
        <v>7.1162598262308752E-3</v>
      </c>
      <c r="L116" s="1108">
        <v>1593.1</v>
      </c>
      <c r="M116" s="287">
        <f t="shared" si="11"/>
        <v>7.1437602731065919E-3</v>
      </c>
      <c r="N116" s="28"/>
      <c r="O116" s="270"/>
      <c r="P116" s="270"/>
      <c r="Q116" s="270"/>
      <c r="R116" s="270"/>
      <c r="S116" s="270"/>
      <c r="U116" s="270"/>
    </row>
    <row r="117" spans="1:26" x14ac:dyDescent="0.25">
      <c r="A117" s="352">
        <v>43435</v>
      </c>
      <c r="B117" s="1109">
        <v>1473.5</v>
      </c>
      <c r="C117" s="274">
        <f t="shared" si="6"/>
        <v>7.1081949285762835E-3</v>
      </c>
      <c r="D117" s="1008"/>
      <c r="E117" s="1008"/>
      <c r="F117" s="1109">
        <v>1225.9000000000001</v>
      </c>
      <c r="G117" s="274">
        <f t="shared" si="8"/>
        <v>7.2303015364392209E-3</v>
      </c>
      <c r="H117" s="1109">
        <v>1604.6</v>
      </c>
      <c r="I117" s="274">
        <f t="shared" si="9"/>
        <v>7.2186303433556809E-3</v>
      </c>
      <c r="J117" s="882">
        <f t="shared" si="12"/>
        <v>1225.9000000000003</v>
      </c>
      <c r="K117" s="925">
        <f t="shared" si="13"/>
        <v>7.2303015364392209E-3</v>
      </c>
      <c r="L117" s="1109">
        <v>1604.6</v>
      </c>
      <c r="M117" s="274">
        <f t="shared" si="11"/>
        <v>7.2186303433556809E-3</v>
      </c>
      <c r="N117" s="28"/>
      <c r="O117" s="270"/>
      <c r="P117" s="270"/>
      <c r="Q117" s="270"/>
      <c r="R117" s="270"/>
      <c r="S117" s="270"/>
      <c r="T117" s="270"/>
      <c r="U117" s="270"/>
      <c r="V117" s="999"/>
      <c r="W117" s="270"/>
      <c r="Z117" s="270"/>
    </row>
    <row r="118" spans="1:26" x14ac:dyDescent="0.25">
      <c r="A118" s="352">
        <v>43525</v>
      </c>
      <c r="B118" s="1109">
        <v>1484.1</v>
      </c>
      <c r="C118" s="274">
        <f t="shared" si="6"/>
        <v>7.1937563624022705E-3</v>
      </c>
      <c r="D118" s="1008"/>
      <c r="E118" s="1008"/>
      <c r="F118" s="1109">
        <v>1234.7</v>
      </c>
      <c r="G118" s="274">
        <f t="shared" si="8"/>
        <v>7.1783995431926595E-3</v>
      </c>
      <c r="H118" s="1109">
        <v>1616.1</v>
      </c>
      <c r="I118" s="274">
        <f t="shared" si="9"/>
        <v>7.1668951763679267E-3</v>
      </c>
      <c r="J118" s="882">
        <f t="shared" si="12"/>
        <v>1234.7000000000003</v>
      </c>
      <c r="K118" s="925">
        <f t="shared" si="13"/>
        <v>7.1783995431926595E-3</v>
      </c>
      <c r="L118" s="1109">
        <v>1616.1</v>
      </c>
      <c r="M118" s="274">
        <f t="shared" si="11"/>
        <v>7.1668951763679267E-3</v>
      </c>
      <c r="N118" s="28"/>
      <c r="O118" s="270"/>
      <c r="P118" s="270"/>
      <c r="Q118" s="270"/>
      <c r="R118" s="270"/>
      <c r="S118" s="270"/>
      <c r="U118" s="270"/>
    </row>
    <row r="119" spans="1:26" ht="15.75" thickBot="1" x14ac:dyDescent="0.3">
      <c r="A119" s="353">
        <v>43617</v>
      </c>
      <c r="B119" s="1107">
        <v>1494.8</v>
      </c>
      <c r="C119" s="288">
        <f t="shared" si="6"/>
        <v>7.2097567549356256E-3</v>
      </c>
      <c r="D119" s="1009"/>
      <c r="E119" s="1009"/>
      <c r="F119" s="1107">
        <v>1243.5</v>
      </c>
      <c r="G119" s="288">
        <f t="shared" si="8"/>
        <v>7.1272373855997273E-3</v>
      </c>
      <c r="H119" s="1107">
        <v>1627.7</v>
      </c>
      <c r="I119" s="288">
        <f t="shared" si="9"/>
        <v>7.1777736526206226E-3</v>
      </c>
      <c r="J119" s="884">
        <f t="shared" si="12"/>
        <v>1243.5000000000002</v>
      </c>
      <c r="K119" s="927">
        <f t="shared" si="13"/>
        <v>7.1272373855997273E-3</v>
      </c>
      <c r="L119" s="1107">
        <v>1627.7</v>
      </c>
      <c r="M119" s="288">
        <f t="shared" si="11"/>
        <v>7.1777736526206226E-3</v>
      </c>
      <c r="N119" s="28"/>
      <c r="O119" s="999" t="s">
        <v>980</v>
      </c>
      <c r="P119" s="270"/>
      <c r="Q119" s="270"/>
      <c r="R119" s="270"/>
      <c r="S119" s="270"/>
      <c r="T119" s="270"/>
      <c r="U119" s="270"/>
      <c r="V119" s="999"/>
      <c r="W119" s="270"/>
      <c r="Z119" s="270"/>
    </row>
    <row r="120" spans="1:26" x14ac:dyDescent="0.25">
      <c r="A120" s="351">
        <v>43709</v>
      </c>
      <c r="B120" s="1109">
        <v>1507.7</v>
      </c>
      <c r="C120" s="287">
        <f t="shared" si="6"/>
        <v>8.6299170457586616E-3</v>
      </c>
      <c r="D120" s="1010"/>
      <c r="E120" s="1010"/>
      <c r="F120" s="1108">
        <v>1254.3</v>
      </c>
      <c r="G120" s="274">
        <f t="shared" si="8"/>
        <v>8.6851628468034292E-3</v>
      </c>
      <c r="H120" s="1108">
        <v>1641.7</v>
      </c>
      <c r="I120" s="287">
        <f t="shared" si="9"/>
        <v>8.6010935676106293E-3</v>
      </c>
      <c r="J120" s="880">
        <f t="shared" si="12"/>
        <v>1254.3000000000002</v>
      </c>
      <c r="K120" s="923">
        <f t="shared" si="13"/>
        <v>8.6851628468034292E-3</v>
      </c>
      <c r="L120" s="1108">
        <v>1641.7</v>
      </c>
      <c r="M120" s="287">
        <f t="shared" si="11"/>
        <v>8.6010935676106293E-3</v>
      </c>
      <c r="N120" s="28"/>
      <c r="O120" s="270"/>
      <c r="P120" s="270"/>
      <c r="Q120" s="270"/>
      <c r="R120" s="270"/>
      <c r="S120" s="270"/>
      <c r="U120" s="270"/>
    </row>
    <row r="121" spans="1:26" x14ac:dyDescent="0.25">
      <c r="A121" s="352">
        <v>43800</v>
      </c>
      <c r="B121" s="1109">
        <v>1520.7</v>
      </c>
      <c r="C121" s="274">
        <f t="shared" si="6"/>
        <v>8.6224049877297038E-3</v>
      </c>
      <c r="D121" s="1008"/>
      <c r="E121" s="1008"/>
      <c r="F121" s="1109">
        <v>1265.0999999999999</v>
      </c>
      <c r="G121" s="274">
        <f t="shared" si="8"/>
        <v>8.6103802917962824E-3</v>
      </c>
      <c r="H121" s="1109">
        <v>1655.9</v>
      </c>
      <c r="I121" s="274">
        <f t="shared" si="9"/>
        <v>8.6495705670950329E-3</v>
      </c>
      <c r="J121" s="882">
        <f t="shared" si="12"/>
        <v>1265.1000000000004</v>
      </c>
      <c r="K121" s="925">
        <f t="shared" si="13"/>
        <v>8.6103802917962824E-3</v>
      </c>
      <c r="L121" s="1109">
        <v>1655.9</v>
      </c>
      <c r="M121" s="274">
        <f t="shared" si="11"/>
        <v>8.6495705670950329E-3</v>
      </c>
      <c r="N121" s="28"/>
      <c r="O121" s="270"/>
      <c r="P121" s="270"/>
      <c r="Q121" s="270"/>
      <c r="R121" s="270"/>
      <c r="S121" s="270"/>
      <c r="T121" s="270"/>
      <c r="U121" s="270"/>
      <c r="V121" s="999"/>
    </row>
    <row r="122" spans="1:26" x14ac:dyDescent="0.25">
      <c r="A122" s="352">
        <v>43891</v>
      </c>
      <c r="B122" s="1109">
        <v>1533.8</v>
      </c>
      <c r="C122" s="274">
        <f t="shared" si="6"/>
        <v>8.6144538699282069E-3</v>
      </c>
      <c r="D122" s="1008"/>
      <c r="E122" s="1008"/>
      <c r="F122" s="1109">
        <v>1276</v>
      </c>
      <c r="G122" s="274">
        <f t="shared" si="8"/>
        <v>8.6159196901431923E-3</v>
      </c>
      <c r="H122" s="1109">
        <v>1670.2</v>
      </c>
      <c r="I122" s="274">
        <f t="shared" si="9"/>
        <v>8.6357871852165147E-3</v>
      </c>
      <c r="J122" s="882">
        <f t="shared" si="12"/>
        <v>1276.0000000000005</v>
      </c>
      <c r="K122" s="925">
        <f t="shared" si="13"/>
        <v>8.6159196901431923E-3</v>
      </c>
      <c r="L122" s="1109">
        <v>1670.2</v>
      </c>
      <c r="M122" s="274">
        <f t="shared" si="11"/>
        <v>8.6357871852165147E-3</v>
      </c>
      <c r="N122" s="28"/>
      <c r="O122" s="270"/>
      <c r="P122" s="270"/>
      <c r="Q122" s="270"/>
      <c r="R122" s="270"/>
      <c r="S122" s="270"/>
      <c r="U122" s="270"/>
    </row>
    <row r="123" spans="1:26" ht="15.75" thickBot="1" x14ac:dyDescent="0.3">
      <c r="A123" s="353">
        <v>43983</v>
      </c>
      <c r="B123" s="1109">
        <v>1547.1</v>
      </c>
      <c r="C123" s="274">
        <f t="shared" si="6"/>
        <v>8.6712739600991462E-3</v>
      </c>
      <c r="D123" s="1009"/>
      <c r="E123" s="1009"/>
      <c r="F123" s="1109">
        <v>1287.0999999999999</v>
      </c>
      <c r="G123" s="274">
        <f t="shared" si="8"/>
        <v>8.699059561128486E-3</v>
      </c>
      <c r="H123" s="1109">
        <v>1684.6</v>
      </c>
      <c r="I123" s="274">
        <f t="shared" si="9"/>
        <v>8.6217219494670871E-3</v>
      </c>
      <c r="J123" s="882">
        <f t="shared" si="12"/>
        <v>1287.1000000000004</v>
      </c>
      <c r="K123" s="925">
        <f t="shared" si="13"/>
        <v>8.699059561128486E-3</v>
      </c>
      <c r="L123" s="1109">
        <v>1684.6</v>
      </c>
      <c r="M123" s="274">
        <f t="shared" si="11"/>
        <v>8.6217219494670871E-3</v>
      </c>
      <c r="N123" s="28"/>
      <c r="O123" s="270"/>
      <c r="P123" s="270"/>
      <c r="Q123" s="270"/>
      <c r="R123" s="270"/>
      <c r="T123" s="270"/>
      <c r="U123" s="270"/>
      <c r="V123" s="999"/>
    </row>
    <row r="124" spans="1:26" x14ac:dyDescent="0.25">
      <c r="A124" s="1095">
        <v>44075</v>
      </c>
      <c r="B124" s="1108">
        <v>1561.2</v>
      </c>
      <c r="C124" s="287">
        <f t="shared" si="6"/>
        <v>9.1138258677525563E-3</v>
      </c>
      <c r="D124" s="1010"/>
      <c r="E124" s="1010"/>
      <c r="F124" s="1108">
        <v>1298.8</v>
      </c>
      <c r="G124" s="1010">
        <f t="shared" si="8"/>
        <v>9.0902027814467878E-3</v>
      </c>
      <c r="H124" s="1108">
        <v>1700</v>
      </c>
      <c r="I124" s="1010">
        <f t="shared" si="9"/>
        <v>9.1416359966758343E-3</v>
      </c>
      <c r="J124" s="880">
        <f t="shared" si="12"/>
        <v>1298.8000000000006</v>
      </c>
      <c r="K124" s="1011">
        <f t="shared" si="13"/>
        <v>9.0902027814467878E-3</v>
      </c>
      <c r="L124" s="1108">
        <v>1700</v>
      </c>
      <c r="M124" s="287">
        <f t="shared" si="11"/>
        <v>9.1416359966758343E-3</v>
      </c>
      <c r="N124" s="28"/>
    </row>
    <row r="125" spans="1:26" x14ac:dyDescent="0.25">
      <c r="A125" s="1096">
        <v>44166</v>
      </c>
      <c r="B125" s="1109">
        <v>1575.5</v>
      </c>
      <c r="C125" s="274">
        <f t="shared" si="6"/>
        <v>9.159620804509272E-3</v>
      </c>
      <c r="D125" s="1008"/>
      <c r="E125" s="1008"/>
      <c r="F125" s="1109">
        <v>1310.7</v>
      </c>
      <c r="G125" s="1008">
        <f t="shared" si="8"/>
        <v>9.162303664921545E-3</v>
      </c>
      <c r="H125" s="1109">
        <v>1715.5</v>
      </c>
      <c r="I125" s="1008">
        <f t="shared" si="9"/>
        <v>9.1176470588234526E-3</v>
      </c>
      <c r="J125" s="882">
        <f t="shared" si="12"/>
        <v>1310.7000000000007</v>
      </c>
      <c r="K125" s="1012">
        <f t="shared" si="13"/>
        <v>9.162303664921545E-3</v>
      </c>
      <c r="L125" s="1109">
        <v>1715.5</v>
      </c>
      <c r="M125" s="274">
        <f t="shared" si="11"/>
        <v>9.1176470588234526E-3</v>
      </c>
      <c r="N125" s="28"/>
    </row>
    <row r="126" spans="1:26" x14ac:dyDescent="0.25">
      <c r="A126" s="1096">
        <v>44256</v>
      </c>
      <c r="B126" s="1109">
        <v>1589.8</v>
      </c>
      <c r="C126" s="274">
        <f t="shared" si="6"/>
        <v>9.0764836559822371E-3</v>
      </c>
      <c r="D126" s="1008"/>
      <c r="E126" s="1008"/>
      <c r="F126" s="1109">
        <v>1322.6</v>
      </c>
      <c r="G126" s="1008">
        <f t="shared" si="8"/>
        <v>9.0791180285343387E-3</v>
      </c>
      <c r="H126" s="1109">
        <v>1731.2</v>
      </c>
      <c r="I126" s="1008">
        <f t="shared" si="9"/>
        <v>9.1518507723695741E-3</v>
      </c>
      <c r="J126" s="882">
        <f t="shared" si="12"/>
        <v>1322.6000000000006</v>
      </c>
      <c r="K126" s="1012">
        <f t="shared" si="13"/>
        <v>9.0791180285343387E-3</v>
      </c>
      <c r="L126" s="1109">
        <v>1731.2</v>
      </c>
      <c r="M126" s="274">
        <f t="shared" si="11"/>
        <v>9.1518507723695741E-3</v>
      </c>
      <c r="N126" s="28"/>
    </row>
    <row r="127" spans="1:26" ht="15.75" thickBot="1" x14ac:dyDescent="0.3">
      <c r="A127" s="1097">
        <v>44348</v>
      </c>
      <c r="B127" s="1107">
        <v>1604.3</v>
      </c>
      <c r="C127" s="288">
        <f t="shared" si="6"/>
        <v>9.1206441061768562E-3</v>
      </c>
      <c r="D127" s="1009"/>
      <c r="E127" s="1009"/>
      <c r="F127" s="1107">
        <v>1334.7</v>
      </c>
      <c r="G127" s="1009">
        <f t="shared" si="8"/>
        <v>9.1486466051717841E-3</v>
      </c>
      <c r="H127" s="1107">
        <v>1747</v>
      </c>
      <c r="I127" s="1009">
        <f t="shared" si="9"/>
        <v>9.1266173752311275E-3</v>
      </c>
      <c r="J127" s="884">
        <f t="shared" si="12"/>
        <v>1334.7000000000007</v>
      </c>
      <c r="K127" s="1013">
        <f t="shared" si="13"/>
        <v>9.1486466051717841E-3</v>
      </c>
      <c r="L127" s="1107">
        <v>1747</v>
      </c>
      <c r="M127" s="288">
        <f t="shared" si="11"/>
        <v>9.1266173752311275E-3</v>
      </c>
      <c r="N127" s="28"/>
    </row>
    <row r="128" spans="1:26" x14ac:dyDescent="0.25">
      <c r="N128" s="28"/>
      <c r="O128" s="270"/>
      <c r="P128" s="279"/>
      <c r="Q128" s="270"/>
      <c r="R128" s="279"/>
    </row>
    <row r="129" spans="14:18" x14ac:dyDescent="0.25">
      <c r="N129" s="28"/>
      <c r="O129" s="270"/>
      <c r="P129" s="279"/>
      <c r="Q129" s="270"/>
      <c r="R129" s="279"/>
    </row>
    <row r="130" spans="14:18" x14ac:dyDescent="0.25">
      <c r="N130" s="28"/>
      <c r="O130" s="270"/>
      <c r="P130" s="279"/>
      <c r="Q130" s="270"/>
      <c r="R130" s="279"/>
    </row>
    <row r="131" spans="14:18" x14ac:dyDescent="0.25">
      <c r="N131" s="28"/>
      <c r="O131" s="270"/>
      <c r="P131" s="279"/>
      <c r="Q131" s="270"/>
      <c r="R131" s="279"/>
    </row>
    <row r="132" spans="14:18" x14ac:dyDescent="0.25">
      <c r="N132" s="28"/>
      <c r="O132" s="270"/>
      <c r="P132" s="279"/>
      <c r="Q132" s="270"/>
      <c r="R132" s="279"/>
    </row>
    <row r="133" spans="14:18" x14ac:dyDescent="0.25">
      <c r="N133" s="28"/>
      <c r="O133" s="270"/>
      <c r="P133" s="279"/>
      <c r="Q133" s="270"/>
      <c r="R133" s="279"/>
    </row>
    <row r="134" spans="14:18" x14ac:dyDescent="0.25">
      <c r="N134" s="28"/>
      <c r="O134" s="270"/>
      <c r="P134" s="279"/>
      <c r="Q134" s="270"/>
      <c r="R134" s="279"/>
    </row>
    <row r="135" spans="14:18" x14ac:dyDescent="0.25">
      <c r="N135" s="28"/>
      <c r="O135" s="270"/>
      <c r="P135" s="279"/>
      <c r="Q135" s="270"/>
      <c r="R135" s="279"/>
    </row>
    <row r="136" spans="14:18" x14ac:dyDescent="0.25">
      <c r="N136" s="28"/>
      <c r="O136" s="270"/>
      <c r="P136" s="279"/>
      <c r="Q136" s="270"/>
      <c r="R136" s="279"/>
    </row>
    <row r="137" spans="14:18" x14ac:dyDescent="0.25">
      <c r="N137" s="28"/>
      <c r="O137" s="270"/>
      <c r="P137" s="279"/>
      <c r="Q137" s="270"/>
      <c r="R137" s="279"/>
    </row>
    <row r="138" spans="14:18" x14ac:dyDescent="0.25">
      <c r="N138" s="28"/>
      <c r="O138" s="270"/>
      <c r="P138" s="279"/>
      <c r="Q138" s="270"/>
      <c r="R138" s="279"/>
    </row>
    <row r="139" spans="14:18" x14ac:dyDescent="0.25">
      <c r="N139" s="28"/>
      <c r="O139" s="270"/>
      <c r="P139" s="279"/>
      <c r="Q139" s="270"/>
      <c r="R139" s="279"/>
    </row>
    <row r="140" spans="14:18" x14ac:dyDescent="0.25">
      <c r="N140" s="28"/>
      <c r="O140" s="270"/>
      <c r="P140" s="279"/>
      <c r="Q140" s="270"/>
      <c r="R140" s="279"/>
    </row>
    <row r="141" spans="14:18" x14ac:dyDescent="0.25">
      <c r="N141" s="28"/>
      <c r="O141" s="270"/>
      <c r="P141" s="279"/>
      <c r="Q141" s="270"/>
      <c r="R141" s="279"/>
    </row>
    <row r="142" spans="14:18" x14ac:dyDescent="0.25">
      <c r="N142" s="28"/>
      <c r="O142" s="270"/>
      <c r="P142" s="279"/>
      <c r="Q142" s="270"/>
      <c r="R142" s="279"/>
    </row>
    <row r="143" spans="14:18" x14ac:dyDescent="0.25">
      <c r="N143" s="28"/>
      <c r="O143" s="270"/>
      <c r="P143" s="279"/>
      <c r="Q143" s="270"/>
      <c r="R143" s="279"/>
    </row>
  </sheetData>
  <customSheetViews>
    <customSheetView guid="{E49C2F27-B0B9-497E-BEC0-5B59561292FE}" hiddenRows="1" topLeftCell="A3">
      <pane xSplit="1" ySplit="5" topLeftCell="B8" activePane="bottomRight" state="frozen"/>
      <selection pane="bottomRight" activeCell="I20" sqref="I20"/>
      <pageMargins left="0.7" right="0.7" top="0.75" bottom="0.75" header="0.3" footer="0.3"/>
      <pageSetup paperSize="9" orientation="portrait" r:id="rId1"/>
    </customSheetView>
    <customSheetView guid="{A5953138-1481-4137-BEAD-32FA4FDF03E6}" topLeftCell="A3">
      <pane xSplit="1" ySplit="5" topLeftCell="B8" activePane="bottomRight" state="frozen"/>
      <selection pane="bottomRight" activeCell="I20" sqref="I20"/>
      <pageMargins left="0.7" right="0.7" top="0.75" bottom="0.75" header="0.3" footer="0.3"/>
      <pageSetup paperSize="9" orientation="portrait" r:id="rId2"/>
    </customSheetView>
    <customSheetView guid="{2A1F94CA-1A34-4418-88FD-EABF7586C2B2}" hiddenRows="1" topLeftCell="A3">
      <pane xSplit="1" ySplit="5" topLeftCell="B8" activePane="bottomRight" state="frozen"/>
      <selection pane="bottomRight" activeCell="I20" sqref="I20"/>
      <pageMargins left="0.7" right="0.7" top="0.75" bottom="0.75" header="0.3" footer="0.3"/>
      <pageSetup paperSize="9" orientation="portrait" r:id="rId3"/>
    </customSheetView>
  </customSheetViews>
  <mergeCells count="9">
    <mergeCell ref="J3:M3"/>
    <mergeCell ref="B4:C4"/>
    <mergeCell ref="A3:A5"/>
    <mergeCell ref="F4:G4"/>
    <mergeCell ref="H4:I4"/>
    <mergeCell ref="B3:I3"/>
    <mergeCell ref="J4:K4"/>
    <mergeCell ref="L4:M4"/>
    <mergeCell ref="D4:E4"/>
  </mergeCells>
  <pageMargins left="0.7" right="0.7" top="0.75" bottom="0.75" header="0.3" footer="0.3"/>
  <pageSetup paperSize="9" orientation="portrait" r:id="rId4"/>
  <legacyDrawing r:id="rId5"/>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Sheet12">
    <tabColor rgb="FF00B050"/>
  </sheetPr>
  <dimension ref="A1:Y61"/>
  <sheetViews>
    <sheetView topLeftCell="A4" zoomScale="70" zoomScaleNormal="70" workbookViewId="0">
      <pane xSplit="1" ySplit="4" topLeftCell="B8" activePane="bottomRight" state="frozen"/>
      <selection activeCell="A4" sqref="A4"/>
      <selection pane="topRight" activeCell="B4" sqref="B4"/>
      <selection pane="bottomLeft" activeCell="A8" sqref="A8"/>
      <selection pane="bottomRight" activeCell="D46" sqref="D46"/>
    </sheetView>
  </sheetViews>
  <sheetFormatPr defaultRowHeight="15" x14ac:dyDescent="0.25"/>
  <cols>
    <col min="1" max="1" width="14.28515625" style="28" customWidth="1"/>
    <col min="2" max="2" width="12.42578125" style="28" customWidth="1"/>
    <col min="3" max="3" width="25.5703125" style="28" customWidth="1"/>
    <col min="4" max="4" width="16" style="999" customWidth="1"/>
    <col min="5" max="5" width="15.85546875" style="999" customWidth="1"/>
    <col min="6" max="10" width="12.42578125" style="28" customWidth="1"/>
    <col min="11" max="11" width="13.42578125" style="28" customWidth="1"/>
    <col min="12" max="12" width="12.42578125" style="28" customWidth="1"/>
    <col min="13" max="13" width="14.140625" style="28" customWidth="1"/>
    <col min="14" max="14" width="9.140625" style="16"/>
    <col min="15" max="15" width="9.140625" style="28"/>
    <col min="16" max="16" width="13.28515625" style="28" customWidth="1"/>
    <col min="17" max="16384" width="9.140625" style="28"/>
  </cols>
  <sheetData>
    <row r="1" spans="1:14" s="502" customFormat="1" hidden="1" x14ac:dyDescent="0.25">
      <c r="D1" s="999"/>
      <c r="E1" s="999"/>
      <c r="N1" s="16"/>
    </row>
    <row r="2" spans="1:14" s="502" customFormat="1" hidden="1" x14ac:dyDescent="0.25">
      <c r="D2" s="999"/>
      <c r="E2" s="999"/>
      <c r="N2" s="16"/>
    </row>
    <row r="3" spans="1:14" s="502" customFormat="1" ht="15.75" hidden="1" thickBot="1" x14ac:dyDescent="0.3">
      <c r="D3" s="999"/>
      <c r="E3" s="999"/>
      <c r="N3" s="16"/>
    </row>
    <row r="4" spans="1:14" ht="15.75" thickBot="1" x14ac:dyDescent="0.3">
      <c r="A4" s="1154" t="s">
        <v>2</v>
      </c>
      <c r="B4" s="1149" t="s">
        <v>4</v>
      </c>
      <c r="C4" s="1150"/>
      <c r="D4" s="1150"/>
      <c r="E4" s="1150"/>
      <c r="F4" s="1150"/>
      <c r="G4" s="1150"/>
      <c r="H4" s="1150"/>
      <c r="I4" s="1151"/>
      <c r="J4" s="1149" t="s">
        <v>6</v>
      </c>
      <c r="K4" s="1150"/>
      <c r="L4" s="1150"/>
      <c r="M4" s="1151"/>
      <c r="N4" s="28"/>
    </row>
    <row r="5" spans="1:14" ht="63" customHeight="1" thickBot="1" x14ac:dyDescent="0.3">
      <c r="A5" s="1154"/>
      <c r="B5" s="1152" t="s">
        <v>3</v>
      </c>
      <c r="C5" s="1153"/>
      <c r="D5" s="1152" t="s">
        <v>865</v>
      </c>
      <c r="E5" s="1153"/>
      <c r="F5" s="1152" t="s">
        <v>8</v>
      </c>
      <c r="G5" s="1153"/>
      <c r="H5" s="1152" t="s">
        <v>5</v>
      </c>
      <c r="I5" s="1153"/>
      <c r="J5" s="1152" t="s">
        <v>8</v>
      </c>
      <c r="K5" s="1153"/>
      <c r="L5" s="1152" t="s">
        <v>5</v>
      </c>
      <c r="M5" s="1153"/>
      <c r="N5" s="28"/>
    </row>
    <row r="6" spans="1:14" ht="37.5" customHeight="1" thickBot="1" x14ac:dyDescent="0.3">
      <c r="A6" s="1155"/>
      <c r="B6" s="40" t="s">
        <v>1</v>
      </c>
      <c r="C6" s="281" t="s">
        <v>107</v>
      </c>
      <c r="D6" s="282" t="s">
        <v>1</v>
      </c>
      <c r="E6" s="282" t="s">
        <v>107</v>
      </c>
      <c r="F6" s="46" t="s">
        <v>1</v>
      </c>
      <c r="G6" s="282" t="s">
        <v>107</v>
      </c>
      <c r="H6" s="46"/>
      <c r="I6" s="282" t="s">
        <v>107</v>
      </c>
      <c r="J6" s="40" t="s">
        <v>1</v>
      </c>
      <c r="K6" s="281" t="s">
        <v>107</v>
      </c>
      <c r="L6" s="46" t="s">
        <v>1</v>
      </c>
      <c r="M6" s="47" t="s">
        <v>107</v>
      </c>
      <c r="N6" s="28"/>
    </row>
    <row r="7" spans="1:14" ht="17.25" customHeight="1" thickBot="1" x14ac:dyDescent="0.3">
      <c r="A7" s="283" t="s">
        <v>550</v>
      </c>
      <c r="B7" s="284" t="s">
        <v>309</v>
      </c>
      <c r="C7" s="244" t="s">
        <v>310</v>
      </c>
      <c r="D7" s="244" t="s">
        <v>866</v>
      </c>
      <c r="E7" s="244" t="s">
        <v>867</v>
      </c>
      <c r="F7" s="48" t="s">
        <v>311</v>
      </c>
      <c r="G7" s="244" t="s">
        <v>312</v>
      </c>
      <c r="H7" s="48" t="s">
        <v>313</v>
      </c>
      <c r="I7" s="244" t="s">
        <v>314</v>
      </c>
      <c r="J7" s="48" t="s">
        <v>315</v>
      </c>
      <c r="K7" s="244" t="s">
        <v>316</v>
      </c>
      <c r="L7" s="48" t="s">
        <v>317</v>
      </c>
      <c r="M7" s="49" t="s">
        <v>318</v>
      </c>
      <c r="N7" s="28"/>
    </row>
    <row r="8" spans="1:14" ht="17.25" customHeight="1" x14ac:dyDescent="0.25">
      <c r="A8" s="344">
        <v>33756</v>
      </c>
      <c r="B8" s="269">
        <f>SimpleAverage($A8,B$7,AWE!$B$7:$M$127,AWE!$A$7:$A$127,AWE!$B$7:$M$7)</f>
        <v>590.35</v>
      </c>
      <c r="C8" s="50"/>
      <c r="D8" s="355"/>
      <c r="E8" s="355"/>
      <c r="F8" s="2">
        <v>500.75</v>
      </c>
      <c r="G8" s="50"/>
      <c r="H8" s="2"/>
      <c r="I8" s="50"/>
      <c r="J8" s="269"/>
      <c r="K8" s="50"/>
      <c r="L8" s="273"/>
      <c r="M8" s="50"/>
      <c r="N8" s="28"/>
    </row>
    <row r="9" spans="1:14" ht="17.25" customHeight="1" x14ac:dyDescent="0.25">
      <c r="A9" s="345">
        <v>34121</v>
      </c>
      <c r="B9" s="269">
        <f>SimpleAverage($A9,B$7,AWE!$B$7:$M$127,AWE!$A$7:$A$127,AWE!$B$7:$M$7)</f>
        <v>605.22500000000002</v>
      </c>
      <c r="C9" s="50">
        <f t="shared" ref="C9:E24" si="0">B9/B8-1</f>
        <v>2.5196917083086356E-2</v>
      </c>
      <c r="D9" s="355"/>
      <c r="E9" s="355"/>
      <c r="F9" s="2">
        <v>510.95</v>
      </c>
      <c r="G9" s="50">
        <f t="shared" ref="G9:G24" si="1">F9/F8-1</f>
        <v>2.0369445831253108E-2</v>
      </c>
      <c r="H9" s="2"/>
      <c r="I9" s="50"/>
      <c r="J9" s="269"/>
      <c r="K9" s="50"/>
      <c r="L9" s="273"/>
      <c r="M9" s="50"/>
      <c r="N9" s="28"/>
    </row>
    <row r="10" spans="1:14" ht="17.25" customHeight="1" x14ac:dyDescent="0.25">
      <c r="A10" s="345">
        <v>34486</v>
      </c>
      <c r="B10" s="269">
        <f>SimpleAverage($A10,B$7,AWE!$B$7:$M$127,AWE!$A$7:$A$127,AWE!$B$7:$M$7)</f>
        <v>621.95000000000005</v>
      </c>
      <c r="C10" s="50">
        <f t="shared" si="0"/>
        <v>2.763435086124999E-2</v>
      </c>
      <c r="D10" s="355"/>
      <c r="E10" s="355"/>
      <c r="F10" s="2">
        <v>525.72500000000002</v>
      </c>
      <c r="G10" s="50">
        <f t="shared" si="1"/>
        <v>2.8916723749877749E-2</v>
      </c>
      <c r="H10" s="2"/>
      <c r="I10" s="50"/>
      <c r="J10" s="269">
        <f>SimpleAverage($A10,J$7,AWE!$B$7:$M$127,AWE!$A$7:$A$127,AWE!$B$7:$M$7)</f>
        <v>394.32500000000005</v>
      </c>
      <c r="K10" s="50"/>
      <c r="L10" s="273">
        <v>457.77499999999998</v>
      </c>
      <c r="M10" s="50"/>
      <c r="N10" s="28"/>
    </row>
    <row r="11" spans="1:14" ht="17.25" customHeight="1" x14ac:dyDescent="0.25">
      <c r="A11" s="345">
        <v>34851</v>
      </c>
      <c r="B11" s="269">
        <f>SimpleAverage($A11,B$7,AWE!$B$7:$M$127,AWE!$A$7:$A$127,AWE!$B$7:$M$7)</f>
        <v>644.375</v>
      </c>
      <c r="C11" s="50">
        <f t="shared" si="0"/>
        <v>3.6055953050888156E-2</v>
      </c>
      <c r="D11" s="355"/>
      <c r="E11" s="355"/>
      <c r="F11" s="2">
        <v>543.5</v>
      </c>
      <c r="G11" s="50">
        <f t="shared" si="1"/>
        <v>3.3810452232631016E-2</v>
      </c>
      <c r="H11" s="2">
        <v>633.95000000000005</v>
      </c>
      <c r="I11" s="50"/>
      <c r="J11" s="269">
        <f>SimpleAverage($A11,J$7,AWE!$B$7:$M$127,AWE!$A$7:$A$127,AWE!$B$7:$M$7)</f>
        <v>543.54999999999995</v>
      </c>
      <c r="K11" s="50">
        <f t="shared" ref="K11:K24" si="2">J11/J10-1</f>
        <v>0.3784314968617255</v>
      </c>
      <c r="L11" s="273">
        <v>633.875</v>
      </c>
      <c r="M11" s="50">
        <f t="shared" ref="M11:M24" si="3">L11/L10-1</f>
        <v>0.38468680028398228</v>
      </c>
      <c r="N11" s="28"/>
    </row>
    <row r="12" spans="1:14" ht="17.25" customHeight="1" x14ac:dyDescent="0.25">
      <c r="A12" s="345">
        <v>35217</v>
      </c>
      <c r="B12" s="269">
        <f>SimpleAverage($A12,B$7,AWE!$B$7:$M$127,AWE!$A$7:$A$127,AWE!$B$7:$M$7)</f>
        <v>664.27499999999998</v>
      </c>
      <c r="C12" s="50">
        <f t="shared" si="0"/>
        <v>3.0882638215324887E-2</v>
      </c>
      <c r="D12" s="269">
        <f>SimpleAverage($A12,D$7,AWE!$B$7:$M$127,AWE!$A$7:$A$127,AWE!$B$7:$M$7)</f>
        <v>435.08749999999998</v>
      </c>
      <c r="E12" s="355"/>
      <c r="F12" s="2">
        <v>557.27499999999998</v>
      </c>
      <c r="G12" s="50">
        <f t="shared" si="1"/>
        <v>2.5344986200551922E-2</v>
      </c>
      <c r="H12" s="2">
        <v>662.52499999999998</v>
      </c>
      <c r="I12" s="50">
        <f t="shared" ref="I12:I22" si="4">H12/H11-1</f>
        <v>4.5074532691852465E-2</v>
      </c>
      <c r="J12" s="269">
        <f>SimpleAverage($A12,J$7,AWE!$B$7:$M$127,AWE!$A$7:$A$127,AWE!$B$7:$M$7)</f>
        <v>557.27499999999998</v>
      </c>
      <c r="K12" s="50">
        <f t="shared" si="2"/>
        <v>2.5250666911967645E-2</v>
      </c>
      <c r="L12" s="273">
        <v>662.5</v>
      </c>
      <c r="M12" s="50">
        <f t="shared" si="3"/>
        <v>4.5158745809505074E-2</v>
      </c>
      <c r="N12" s="28"/>
    </row>
    <row r="13" spans="1:14" ht="17.25" customHeight="1" x14ac:dyDescent="0.25">
      <c r="A13" s="345">
        <v>35582</v>
      </c>
      <c r="B13" s="269">
        <v>684.4</v>
      </c>
      <c r="C13" s="50">
        <f t="shared" si="0"/>
        <v>3.0296187572917743E-2</v>
      </c>
      <c r="D13" s="269">
        <f>SimpleAverage($A13,D$7,AWE!$B$7:$M$127,AWE!$A$7:$A$127,AWE!$B$7:$M$7)</f>
        <v>450.75</v>
      </c>
      <c r="E13" s="50">
        <f t="shared" si="0"/>
        <v>3.5998506047634216E-2</v>
      </c>
      <c r="F13" s="2">
        <v>574.35</v>
      </c>
      <c r="G13" s="50">
        <f t="shared" si="1"/>
        <v>3.0640168677941837E-2</v>
      </c>
      <c r="H13" s="2">
        <v>691.2</v>
      </c>
      <c r="I13" s="50">
        <f t="shared" si="4"/>
        <v>4.3281385608090472E-2</v>
      </c>
      <c r="J13" s="269">
        <f>SimpleAverage($A13,J$7,AWE!$B$7:$M$127,AWE!$A$7:$A$127,AWE!$B$7:$M$7)</f>
        <v>573.92499999999995</v>
      </c>
      <c r="K13" s="50">
        <f t="shared" si="2"/>
        <v>2.9877529047597662E-2</v>
      </c>
      <c r="L13" s="273">
        <v>691.2</v>
      </c>
      <c r="M13" s="50">
        <f t="shared" si="3"/>
        <v>4.3320754716981158E-2</v>
      </c>
      <c r="N13" s="28"/>
    </row>
    <row r="14" spans="1:14" ht="17.25" customHeight="1" x14ac:dyDescent="0.25">
      <c r="A14" s="345">
        <v>35947</v>
      </c>
      <c r="B14" s="269">
        <v>712.25</v>
      </c>
      <c r="C14" s="50">
        <f t="shared" si="0"/>
        <v>4.0692577440093469E-2</v>
      </c>
      <c r="D14" s="269">
        <f>SimpleAverage($A14,D$7,AWE!$B$7:$M$127,AWE!$A$7:$A$127,AWE!$B$7:$M$7)</f>
        <v>465.65</v>
      </c>
      <c r="E14" s="50">
        <f t="shared" si="0"/>
        <v>3.3056017748197331E-2</v>
      </c>
      <c r="F14" s="2">
        <v>594.29999999999995</v>
      </c>
      <c r="G14" s="50">
        <f t="shared" si="1"/>
        <v>3.4734917733089565E-2</v>
      </c>
      <c r="H14" s="2">
        <v>718.15000000000009</v>
      </c>
      <c r="I14" s="50">
        <f t="shared" si="4"/>
        <v>3.8990162037037202E-2</v>
      </c>
      <c r="J14" s="269">
        <f>SimpleAverage($A14,J$7,AWE!$B$7:$M$127,AWE!$A$7:$A$127,AWE!$B$7:$M$7)</f>
        <v>592.1</v>
      </c>
      <c r="K14" s="50">
        <f t="shared" si="2"/>
        <v>3.1667900858126208E-2</v>
      </c>
      <c r="L14" s="273">
        <v>718.2</v>
      </c>
      <c r="M14" s="50">
        <f t="shared" si="3"/>
        <v>3.90625E-2</v>
      </c>
      <c r="N14" s="28"/>
    </row>
    <row r="15" spans="1:14" ht="17.25" customHeight="1" x14ac:dyDescent="0.25">
      <c r="A15" s="345">
        <v>36312</v>
      </c>
      <c r="B15" s="269">
        <v>728.05</v>
      </c>
      <c r="C15" s="50">
        <f t="shared" si="0"/>
        <v>2.2183222183222107E-2</v>
      </c>
      <c r="D15" s="269">
        <f>SimpleAverage($A15,D$7,AWE!$B$7:$M$127,AWE!$A$7:$A$127,AWE!$B$7:$M$7)</f>
        <v>476.91249999999997</v>
      </c>
      <c r="E15" s="50">
        <f t="shared" si="0"/>
        <v>2.4186620852571616E-2</v>
      </c>
      <c r="F15" s="2">
        <v>606.9</v>
      </c>
      <c r="G15" s="50">
        <f t="shared" si="1"/>
        <v>2.1201413427561988E-2</v>
      </c>
      <c r="H15" s="2">
        <v>744</v>
      </c>
      <c r="I15" s="50">
        <f t="shared" si="4"/>
        <v>3.5995265613033345E-2</v>
      </c>
      <c r="J15" s="269">
        <f>SimpleAverage($A15,J$7,AWE!$B$7:$M$127,AWE!$A$7:$A$127,AWE!$B$7:$M$7)</f>
        <v>606.67499999999995</v>
      </c>
      <c r="K15" s="50">
        <f t="shared" si="2"/>
        <v>2.4615774362438669E-2</v>
      </c>
      <c r="L15" s="273">
        <v>744</v>
      </c>
      <c r="M15" s="50">
        <f t="shared" si="3"/>
        <v>3.5923141186299024E-2</v>
      </c>
      <c r="N15" s="28"/>
    </row>
    <row r="16" spans="1:14" ht="17.25" customHeight="1" x14ac:dyDescent="0.25">
      <c r="A16" s="345">
        <v>36678</v>
      </c>
      <c r="B16" s="269">
        <v>749.5</v>
      </c>
      <c r="C16" s="50">
        <f t="shared" si="0"/>
        <v>2.9462262207265999E-2</v>
      </c>
      <c r="D16" s="269">
        <f>SimpleAverage($A16,D$7,AWE!$B$7:$M$127,AWE!$A$7:$A$127,AWE!$B$7:$M$7)</f>
        <v>489.72500000000002</v>
      </c>
      <c r="E16" s="50">
        <f t="shared" si="0"/>
        <v>2.686551516263469E-2</v>
      </c>
      <c r="F16" s="2">
        <v>623.4</v>
      </c>
      <c r="G16" s="50">
        <f t="shared" si="1"/>
        <v>2.7187345526445972E-2</v>
      </c>
      <c r="H16" s="2">
        <v>769.95</v>
      </c>
      <c r="I16" s="50">
        <f t="shared" si="4"/>
        <v>3.4879032258064546E-2</v>
      </c>
      <c r="J16" s="269">
        <f>SimpleAverage($A16,J$7,AWE!$B$7:$M$127,AWE!$A$7:$A$127,AWE!$B$7:$M$7)</f>
        <v>619.97500000000002</v>
      </c>
      <c r="K16" s="50">
        <f t="shared" si="2"/>
        <v>2.1922775786046955E-2</v>
      </c>
      <c r="L16" s="273">
        <v>770</v>
      </c>
      <c r="M16" s="50">
        <f t="shared" si="3"/>
        <v>3.4946236559139754E-2</v>
      </c>
      <c r="N16" s="28"/>
    </row>
    <row r="17" spans="1:14" ht="17.25" customHeight="1" x14ac:dyDescent="0.25">
      <c r="A17" s="345">
        <v>37043</v>
      </c>
      <c r="B17" s="269">
        <v>777.7</v>
      </c>
      <c r="C17" s="50">
        <f t="shared" si="0"/>
        <v>3.7625083388926006E-2</v>
      </c>
      <c r="D17" s="269">
        <f>SimpleAverage($A17,D$7,AWE!$B$7:$M$127,AWE!$A$7:$A$127,AWE!$B$7:$M$7)</f>
        <v>513.72500000000002</v>
      </c>
      <c r="E17" s="50">
        <f t="shared" si="0"/>
        <v>4.9007095819082025E-2</v>
      </c>
      <c r="F17" s="2">
        <v>651.70000000000005</v>
      </c>
      <c r="G17" s="50">
        <f t="shared" si="1"/>
        <v>4.5396214308630167E-2</v>
      </c>
      <c r="H17" s="2">
        <v>808.45</v>
      </c>
      <c r="I17" s="50">
        <f t="shared" si="4"/>
        <v>5.0003246964088532E-2</v>
      </c>
      <c r="J17" s="269">
        <f>SimpleAverage($A17,J$7,AWE!$B$7:$M$127,AWE!$A$7:$A$127,AWE!$B$7:$M$7)</f>
        <v>653.72500000000002</v>
      </c>
      <c r="K17" s="50">
        <f t="shared" si="2"/>
        <v>5.4437678938666911E-2</v>
      </c>
      <c r="L17" s="273">
        <v>808.5</v>
      </c>
      <c r="M17" s="50">
        <f t="shared" si="3"/>
        <v>5.0000000000000044E-2</v>
      </c>
      <c r="N17" s="28"/>
    </row>
    <row r="18" spans="1:14" ht="17.25" customHeight="1" x14ac:dyDescent="0.25">
      <c r="A18" s="345">
        <v>37408</v>
      </c>
      <c r="B18" s="269">
        <v>816.25</v>
      </c>
      <c r="C18" s="50">
        <f t="shared" si="0"/>
        <v>4.9569242638549449E-2</v>
      </c>
      <c r="D18" s="269">
        <f>SimpleAverage($A18,D$7,AWE!$B$7:$M$127,AWE!$A$7:$A$127,AWE!$B$7:$M$7)</f>
        <v>530.45000000000005</v>
      </c>
      <c r="E18" s="50">
        <f t="shared" si="0"/>
        <v>3.2556328775122934E-2</v>
      </c>
      <c r="F18" s="2">
        <v>678.7</v>
      </c>
      <c r="G18" s="50">
        <f t="shared" si="1"/>
        <v>4.1430105876937295E-2</v>
      </c>
      <c r="H18" s="2">
        <v>851.35</v>
      </c>
      <c r="I18" s="50">
        <f t="shared" si="4"/>
        <v>5.3064506153750912E-2</v>
      </c>
      <c r="J18" s="269">
        <f>SimpleAverage($A18,J$7,AWE!$B$7:$M$127,AWE!$A$7:$A$127,AWE!$B$7:$M$7)</f>
        <v>681</v>
      </c>
      <c r="K18" s="50">
        <f t="shared" si="2"/>
        <v>4.1722436804466634E-2</v>
      </c>
      <c r="L18" s="273">
        <v>851.4</v>
      </c>
      <c r="M18" s="50">
        <f t="shared" si="3"/>
        <v>5.3061224489795888E-2</v>
      </c>
      <c r="N18" s="28"/>
    </row>
    <row r="19" spans="1:14" ht="17.25" customHeight="1" x14ac:dyDescent="0.25">
      <c r="A19" s="345">
        <v>37773</v>
      </c>
      <c r="B19" s="269">
        <v>857.3</v>
      </c>
      <c r="C19" s="50">
        <f t="shared" si="0"/>
        <v>5.0290964777947922E-2</v>
      </c>
      <c r="D19" s="269">
        <f>SimpleAverage($A19,D$7,AWE!$B$7:$M$127,AWE!$A$7:$A$127,AWE!$B$7:$M$7)</f>
        <v>550.67500000000007</v>
      </c>
      <c r="E19" s="50">
        <f t="shared" si="0"/>
        <v>3.8128004524460302E-2</v>
      </c>
      <c r="F19" s="2">
        <v>710.4</v>
      </c>
      <c r="G19" s="50">
        <f t="shared" si="1"/>
        <v>4.6706939737733766E-2</v>
      </c>
      <c r="H19" s="2">
        <v>897.45</v>
      </c>
      <c r="I19" s="50">
        <f t="shared" si="4"/>
        <v>5.4149292300464058E-2</v>
      </c>
      <c r="J19" s="269">
        <f>SimpleAverage($A19,J$7,AWE!$B$7:$M$127,AWE!$A$7:$A$127,AWE!$B$7:$M$7)</f>
        <v>710.3</v>
      </c>
      <c r="K19" s="50">
        <f t="shared" si="2"/>
        <v>4.3024963289280294E-2</v>
      </c>
      <c r="L19" s="273">
        <v>897.5</v>
      </c>
      <c r="M19" s="50">
        <f t="shared" si="3"/>
        <v>5.4146112285647252E-2</v>
      </c>
      <c r="N19" s="28"/>
    </row>
    <row r="20" spans="1:14" ht="17.25" customHeight="1" x14ac:dyDescent="0.25">
      <c r="A20" s="345">
        <v>38139</v>
      </c>
      <c r="B20" s="269">
        <v>889.34999999999991</v>
      </c>
      <c r="C20" s="50">
        <f t="shared" si="0"/>
        <v>3.7384812784322818E-2</v>
      </c>
      <c r="D20" s="269">
        <f>SimpleAverage($A20,D$7,AWE!$B$7:$M$127,AWE!$A$7:$A$127,AWE!$B$7:$M$7)</f>
        <v>574.97500000000002</v>
      </c>
      <c r="E20" s="50">
        <f t="shared" si="0"/>
        <v>4.4127661506333071E-2</v>
      </c>
      <c r="F20" s="2">
        <v>740.84999999999991</v>
      </c>
      <c r="G20" s="50">
        <f t="shared" si="1"/>
        <v>4.2863175675675658E-2</v>
      </c>
      <c r="H20" s="2">
        <v>934.05</v>
      </c>
      <c r="I20" s="50">
        <f t="shared" si="4"/>
        <v>4.0782216279458439E-2</v>
      </c>
      <c r="J20" s="269">
        <f>SimpleAverage($A20,J$7,AWE!$B$7:$M$127,AWE!$A$7:$A$127,AWE!$B$7:$M$7)</f>
        <v>744.3</v>
      </c>
      <c r="K20" s="50">
        <f t="shared" si="2"/>
        <v>4.7867098409122955E-2</v>
      </c>
      <c r="L20" s="273">
        <v>934.1</v>
      </c>
      <c r="M20" s="50">
        <f t="shared" si="3"/>
        <v>4.077994428969367E-2</v>
      </c>
      <c r="N20" s="28"/>
    </row>
    <row r="21" spans="1:14" ht="17.25" customHeight="1" x14ac:dyDescent="0.25">
      <c r="A21" s="345">
        <v>38504</v>
      </c>
      <c r="B21" s="269">
        <v>923.2</v>
      </c>
      <c r="C21" s="50">
        <f t="shared" si="0"/>
        <v>3.8061505593973255E-2</v>
      </c>
      <c r="D21" s="269">
        <f>SimpleAverage($A21,D$7,AWE!$B$7:$M$127,AWE!$A$7:$A$127,AWE!$B$7:$M$7)</f>
        <v>600.875</v>
      </c>
      <c r="E21" s="50">
        <f t="shared" si="0"/>
        <v>4.5045436758119894E-2</v>
      </c>
      <c r="F21" s="2">
        <v>772.95</v>
      </c>
      <c r="G21" s="50">
        <f t="shared" si="1"/>
        <v>4.332860903016833E-2</v>
      </c>
      <c r="H21" s="2">
        <v>979.4</v>
      </c>
      <c r="I21" s="50">
        <f t="shared" si="4"/>
        <v>4.8552004710668673E-2</v>
      </c>
      <c r="J21" s="269">
        <f>SimpleAverage($A21,J$7,AWE!$B$7:$M$127,AWE!$A$7:$A$127,AWE!$B$7:$M$7)</f>
        <v>776.27499999999998</v>
      </c>
      <c r="K21" s="50">
        <f t="shared" si="2"/>
        <v>4.2959828026333469E-2</v>
      </c>
      <c r="L21" s="273">
        <v>979.4</v>
      </c>
      <c r="M21" s="50">
        <f t="shared" si="3"/>
        <v>4.8495878385611757E-2</v>
      </c>
      <c r="N21" s="28"/>
    </row>
    <row r="22" spans="1:14" ht="17.25" customHeight="1" x14ac:dyDescent="0.25">
      <c r="A22" s="345">
        <v>38869</v>
      </c>
      <c r="B22" s="269">
        <v>968.5</v>
      </c>
      <c r="C22" s="50">
        <f t="shared" si="0"/>
        <v>4.9068457538994803E-2</v>
      </c>
      <c r="D22" s="269">
        <f>SimpleAverage($A22,D$7,AWE!$B$7:$M$127,AWE!$A$7:$A$127,AWE!$B$7:$M$7)</f>
        <v>629.57500000000005</v>
      </c>
      <c r="E22" s="50">
        <f t="shared" si="0"/>
        <v>4.7763677969627771E-2</v>
      </c>
      <c r="F22" s="2">
        <v>810.15000000000009</v>
      </c>
      <c r="G22" s="50">
        <f t="shared" si="1"/>
        <v>4.812730448282565E-2</v>
      </c>
      <c r="H22" s="2">
        <v>1018.8</v>
      </c>
      <c r="I22" s="50">
        <f t="shared" si="4"/>
        <v>4.0228711455993382E-2</v>
      </c>
      <c r="J22" s="269">
        <f>SimpleAverage($A22,J$7,AWE!$B$7:$M$127,AWE!$A$7:$A$127,AWE!$B$7:$M$7)</f>
        <v>815.45</v>
      </c>
      <c r="K22" s="50">
        <f t="shared" si="2"/>
        <v>5.046536343434993E-2</v>
      </c>
      <c r="L22" s="273">
        <v>1018.8</v>
      </c>
      <c r="M22" s="50">
        <f t="shared" si="3"/>
        <v>4.0228711455993382E-2</v>
      </c>
      <c r="N22" s="28"/>
    </row>
    <row r="23" spans="1:14" ht="17.25" customHeight="1" x14ac:dyDescent="0.25">
      <c r="A23" s="345">
        <v>39234</v>
      </c>
      <c r="B23" s="269">
        <v>1020.35</v>
      </c>
      <c r="C23" s="50">
        <f t="shared" si="0"/>
        <v>5.353639648941666E-2</v>
      </c>
      <c r="D23" s="269">
        <f>SimpleAverage($A23,D$7,AWE!$B$7:$M$127,AWE!$A$7:$A$127,AWE!$B$7:$M$7)</f>
        <v>658.83750000000009</v>
      </c>
      <c r="E23" s="50">
        <f t="shared" si="0"/>
        <v>4.6479768097526186E-2</v>
      </c>
      <c r="F23" s="2">
        <v>847.95</v>
      </c>
      <c r="G23" s="50">
        <f t="shared" si="1"/>
        <v>4.6658026291427346E-2</v>
      </c>
      <c r="H23" s="2">
        <v>1060.4499999999998</v>
      </c>
      <c r="I23" s="50">
        <f>H23/H22-1</f>
        <v>4.0881429132312297E-2</v>
      </c>
      <c r="J23" s="269">
        <f>SimpleAverage($A23,J$7,AWE!$B$7:$M$127,AWE!$A$7:$A$127,AWE!$B$7:$M$7)</f>
        <v>851.375</v>
      </c>
      <c r="K23" s="50">
        <f t="shared" si="2"/>
        <v>4.4055429517444233E-2</v>
      </c>
      <c r="L23" s="273">
        <v>1060.5</v>
      </c>
      <c r="M23" s="50">
        <f t="shared" si="3"/>
        <v>4.0930506478209727E-2</v>
      </c>
      <c r="N23" s="28"/>
    </row>
    <row r="24" spans="1:14" x14ac:dyDescent="0.25">
      <c r="A24" s="345">
        <v>39600</v>
      </c>
      <c r="B24" s="269">
        <v>1060.4000000000001</v>
      </c>
      <c r="C24" s="50">
        <f t="shared" si="0"/>
        <v>3.9251237320527377E-2</v>
      </c>
      <c r="D24" s="269">
        <f>SimpleAverage($A24,D$7,AWE!$B$7:$M$127,AWE!$A$7:$A$127,AWE!$B$7:$M$7)</f>
        <v>685.6</v>
      </c>
      <c r="E24" s="50">
        <f t="shared" si="0"/>
        <v>4.0620790407346119E-2</v>
      </c>
      <c r="F24" s="2">
        <v>879.1</v>
      </c>
      <c r="G24" s="50">
        <f t="shared" si="1"/>
        <v>3.6735656583524845E-2</v>
      </c>
      <c r="H24" s="2">
        <v>1109.0999999999999</v>
      </c>
      <c r="I24" s="50">
        <f t="shared" ref="I24:I36" si="5">H24/H23-1</f>
        <v>4.5876750436135705E-2</v>
      </c>
      <c r="J24" s="269">
        <f>SimpleAverage($A24,J$7,AWE!$B$7:$M$127,AWE!$A$7:$A$127,AWE!$B$7:$M$7)</f>
        <v>882.25</v>
      </c>
      <c r="K24" s="50">
        <f t="shared" si="2"/>
        <v>3.6264865658493628E-2</v>
      </c>
      <c r="L24" s="273">
        <v>1109.0999999999999</v>
      </c>
      <c r="M24" s="50">
        <f t="shared" si="3"/>
        <v>4.5827439886845678E-2</v>
      </c>
      <c r="N24" s="28"/>
    </row>
    <row r="25" spans="1:14" x14ac:dyDescent="0.25">
      <c r="A25" s="345">
        <v>39965</v>
      </c>
      <c r="B25" s="269">
        <v>1105.6999999999998</v>
      </c>
      <c r="C25" s="50">
        <f t="shared" ref="C25:C36" si="6">B25/B24-1</f>
        <v>4.2719728404375434E-2</v>
      </c>
      <c r="D25" s="269">
        <f>SimpleAverage($A25,D$7,AWE!$B$7:$M$127,AWE!$A$7:$A$127,AWE!$B$7:$M$7)</f>
        <v>716.83749999999998</v>
      </c>
      <c r="E25" s="50">
        <f t="shared" ref="E25:E32" si="7">D25/D24-1</f>
        <v>4.5562281213535449E-2</v>
      </c>
      <c r="F25" s="2">
        <v>914.05</v>
      </c>
      <c r="G25" s="50">
        <f t="shared" ref="G25:G37" si="8">F25/F24-1</f>
        <v>3.9756569218518889E-2</v>
      </c>
      <c r="H25" s="2">
        <v>1172.9000000000001</v>
      </c>
      <c r="I25" s="50">
        <f t="shared" si="5"/>
        <v>5.7524118654765255E-2</v>
      </c>
      <c r="J25" s="269">
        <f>SimpleAverage($A25,J$7,AWE!$B$7:$M$127,AWE!$A$7:$A$127,AWE!$B$7:$M$7)</f>
        <v>912.72500000000002</v>
      </c>
      <c r="K25" s="50">
        <f t="shared" ref="K25:K37" si="9">J25/J24-1</f>
        <v>3.4542363275715582E-2</v>
      </c>
      <c r="L25" s="273">
        <v>1172.9000000000001</v>
      </c>
      <c r="M25" s="50">
        <f t="shared" ref="M25:M36" si="10">L25/L24-1</f>
        <v>5.7524118654765255E-2</v>
      </c>
      <c r="N25" s="28"/>
    </row>
    <row r="26" spans="1:14" x14ac:dyDescent="0.25">
      <c r="A26" s="345">
        <v>40330</v>
      </c>
      <c r="B26" s="269">
        <v>1173.0500000000002</v>
      </c>
      <c r="C26" s="50">
        <f t="shared" si="6"/>
        <v>6.0911639685267582E-2</v>
      </c>
      <c r="D26" s="269">
        <f>SimpleAverage($A26,D$7,AWE!$B$7:$M$127,AWE!$A$7:$A$127,AWE!$B$7:$M$7)</f>
        <v>749.91250000000002</v>
      </c>
      <c r="E26" s="50">
        <f t="shared" si="7"/>
        <v>4.6140164263169803E-2</v>
      </c>
      <c r="F26" s="2">
        <v>966.05</v>
      </c>
      <c r="G26" s="50">
        <f t="shared" si="8"/>
        <v>5.6889666867239175E-2</v>
      </c>
      <c r="H26" s="2">
        <v>1238.4499999999998</v>
      </c>
      <c r="I26" s="50">
        <f t="shared" si="5"/>
        <v>5.5887117401312691E-2</v>
      </c>
      <c r="J26" s="269">
        <f>SimpleAverage($A26,J$7,AWE!$B$7:$M$127,AWE!$A$7:$A$127,AWE!$B$7:$M$7)</f>
        <v>961.17499999999995</v>
      </c>
      <c r="K26" s="50">
        <f t="shared" si="9"/>
        <v>5.3082801500999643E-2</v>
      </c>
      <c r="L26" s="273">
        <v>1238.5</v>
      </c>
      <c r="M26" s="50">
        <f t="shared" si="10"/>
        <v>5.592974678148166E-2</v>
      </c>
      <c r="N26" s="28"/>
    </row>
    <row r="27" spans="1:14" x14ac:dyDescent="0.25">
      <c r="A27" s="345">
        <v>40695</v>
      </c>
      <c r="B27" s="269">
        <v>1223.7</v>
      </c>
      <c r="C27" s="50">
        <f t="shared" si="6"/>
        <v>4.3178040151740982E-2</v>
      </c>
      <c r="D27" s="269">
        <f>SimpleAverage($A27,D$7,AWE!$B$7:$M$127,AWE!$A$7:$A$127,AWE!$B$7:$M$7)</f>
        <v>786.02499999999998</v>
      </c>
      <c r="E27" s="50">
        <f t="shared" si="7"/>
        <v>4.8155618155451441E-2</v>
      </c>
      <c r="F27" s="2">
        <v>1005.6500000000001</v>
      </c>
      <c r="G27" s="50">
        <f t="shared" si="8"/>
        <v>4.0991667097976414E-2</v>
      </c>
      <c r="H27" s="2">
        <v>1289.95</v>
      </c>
      <c r="I27" s="50">
        <f t="shared" si="5"/>
        <v>4.1584238362469383E-2</v>
      </c>
      <c r="J27" s="269">
        <f>SimpleAverage($A27,J$7,AWE!$B$7:$M$127,AWE!$A$7:$A$127,AWE!$B$7:$M$7)</f>
        <v>998.67499999999995</v>
      </c>
      <c r="K27" s="50">
        <f t="shared" si="9"/>
        <v>3.9014747574583231E-2</v>
      </c>
      <c r="L27" s="273">
        <v>1290</v>
      </c>
      <c r="M27" s="50">
        <f t="shared" si="10"/>
        <v>4.158255954784007E-2</v>
      </c>
      <c r="N27" s="28"/>
    </row>
    <row r="28" spans="1:14" x14ac:dyDescent="0.25">
      <c r="A28" s="946">
        <v>41061</v>
      </c>
      <c r="B28" s="942">
        <v>1270.05</v>
      </c>
      <c r="C28" s="943">
        <f t="shared" si="6"/>
        <v>3.7876930620249993E-2</v>
      </c>
      <c r="D28" s="269">
        <f>SimpleAverage($A28,D$7,AWE!$B$7:$M$127,AWE!$A$7:$A$127,AWE!$B$7:$M$7)</f>
        <v>811.75</v>
      </c>
      <c r="E28" s="50">
        <f t="shared" si="7"/>
        <v>3.2727966667726927E-2</v>
      </c>
      <c r="F28" s="944">
        <v>1043.45</v>
      </c>
      <c r="G28" s="943">
        <f t="shared" si="8"/>
        <v>3.7587629891115082E-2</v>
      </c>
      <c r="H28" s="944">
        <v>1339.65</v>
      </c>
      <c r="I28" s="943">
        <f t="shared" si="5"/>
        <v>3.8528625140509254E-2</v>
      </c>
      <c r="J28" s="942">
        <f>SimpleAverage($A28,J$7,AWE!$B$7:$M$127,AWE!$A$7:$A$127,AWE!$B$7:$M$7)</f>
        <v>1040.8</v>
      </c>
      <c r="K28" s="943">
        <f t="shared" si="9"/>
        <v>4.2180889678824496E-2</v>
      </c>
      <c r="L28" s="947">
        <v>1339.7</v>
      </c>
      <c r="M28" s="943">
        <f t="shared" si="10"/>
        <v>3.8527131782945867E-2</v>
      </c>
      <c r="N28" s="28"/>
    </row>
    <row r="29" spans="1:14" x14ac:dyDescent="0.25">
      <c r="A29" s="946">
        <v>41426</v>
      </c>
      <c r="B29" s="942">
        <v>1340.5</v>
      </c>
      <c r="C29" s="943">
        <f t="shared" si="6"/>
        <v>5.5470257076493112E-2</v>
      </c>
      <c r="D29" s="269">
        <f>SimpleAverage($A29,D$7,AWE!$B$7:$M$127,AWE!$A$7:$A$127,AWE!$B$7:$M$7)</f>
        <v>841.45</v>
      </c>
      <c r="E29" s="50">
        <f t="shared" si="7"/>
        <v>3.6587619340930244E-2</v>
      </c>
      <c r="F29" s="944">
        <v>1093.1500000000001</v>
      </c>
      <c r="G29" s="943">
        <f t="shared" si="8"/>
        <v>4.7630456658201092E-2</v>
      </c>
      <c r="H29" s="944">
        <v>1408.45</v>
      </c>
      <c r="I29" s="943">
        <f t="shared" si="5"/>
        <v>5.1356697644907134E-2</v>
      </c>
      <c r="J29" s="942">
        <f>SimpleAverage($A29,J$7,AWE!$B$7:$M$127,AWE!$A$7:$A$127,AWE!$B$7:$M$7)</f>
        <v>1087.1875</v>
      </c>
      <c r="K29" s="943">
        <f t="shared" si="9"/>
        <v>4.4569081475787975E-2</v>
      </c>
      <c r="L29" s="947">
        <v>1408</v>
      </c>
      <c r="M29" s="943">
        <f t="shared" si="10"/>
        <v>5.0981563036500699E-2</v>
      </c>
      <c r="N29" s="28"/>
    </row>
    <row r="30" spans="1:14" x14ac:dyDescent="0.25">
      <c r="A30" s="946">
        <v>41791</v>
      </c>
      <c r="B30" s="942">
        <v>1356.25</v>
      </c>
      <c r="C30" s="943">
        <f t="shared" si="6"/>
        <v>1.1749347258485532E-2</v>
      </c>
      <c r="D30" s="269">
        <f>SimpleAverage($A30,D$7,AWE!$B$7:$M$127,AWE!$A$7:$A$127,AWE!$B$7:$M$7)</f>
        <v>873.02499999999998</v>
      </c>
      <c r="E30" s="50">
        <f t="shared" si="7"/>
        <v>3.7524511260324411E-2</v>
      </c>
      <c r="F30" s="944">
        <v>1118.5999999999999</v>
      </c>
      <c r="G30" s="943">
        <f t="shared" si="8"/>
        <v>2.3281342908109348E-2</v>
      </c>
      <c r="H30" s="944">
        <v>1445.55</v>
      </c>
      <c r="I30" s="943">
        <f t="shared" si="5"/>
        <v>2.6341013170506411E-2</v>
      </c>
      <c r="J30" s="942">
        <f>SimpleAverage($A30,J$7,AWE!$B$7:$M$127,AWE!$A$7:$A$127,AWE!$B$7:$M$7)</f>
        <v>1116.3499999999999</v>
      </c>
      <c r="K30" s="943">
        <f t="shared" si="9"/>
        <v>2.682379994251205E-2</v>
      </c>
      <c r="L30" s="947">
        <v>1445.6</v>
      </c>
      <c r="M30" s="943">
        <f t="shared" si="10"/>
        <v>2.670454545454537E-2</v>
      </c>
      <c r="N30" s="28"/>
    </row>
    <row r="31" spans="1:14" x14ac:dyDescent="0.25">
      <c r="A31" s="946">
        <v>42156</v>
      </c>
      <c r="B31" s="942">
        <v>1370.5</v>
      </c>
      <c r="C31" s="943">
        <f t="shared" si="6"/>
        <v>1.050691244239621E-2</v>
      </c>
      <c r="D31" s="269">
        <f>SimpleAverage($A31,D$7,AWE!$B$7:$M$127,AWE!$A$7:$A$127,AWE!$B$7:$M$7)</f>
        <v>894.53749999999991</v>
      </c>
      <c r="E31" s="50">
        <f t="shared" si="7"/>
        <v>2.4641333295151835E-2</v>
      </c>
      <c r="F31" s="944">
        <v>1132.8000000000002</v>
      </c>
      <c r="G31" s="943">
        <f t="shared" si="8"/>
        <v>1.2694439477919151E-2</v>
      </c>
      <c r="H31" s="944">
        <v>1480.05</v>
      </c>
      <c r="I31" s="943">
        <f t="shared" si="5"/>
        <v>2.3866348448687402E-2</v>
      </c>
      <c r="J31" s="942">
        <f>SimpleAverage($A31,J$7,AWE!$B$7:$M$127,AWE!$A$7:$A$127,AWE!$B$7:$M$7)</f>
        <v>1131.0625</v>
      </c>
      <c r="K31" s="943">
        <f t="shared" si="9"/>
        <v>1.3179110494020874E-2</v>
      </c>
      <c r="L31" s="947">
        <v>1480.1</v>
      </c>
      <c r="M31" s="943">
        <f t="shared" si="10"/>
        <v>2.3865522966242336E-2</v>
      </c>
      <c r="N31" s="28"/>
    </row>
    <row r="32" spans="1:14" s="999" customFormat="1" x14ac:dyDescent="0.25">
      <c r="A32" s="946">
        <v>42522</v>
      </c>
      <c r="B32" s="942">
        <v>1384.9499999999998</v>
      </c>
      <c r="C32" s="943">
        <f t="shared" si="6"/>
        <v>1.0543597227289148E-2</v>
      </c>
      <c r="D32" s="269">
        <f>SimpleAverage($A32,D$7,AWE!$B$7:$M$127,AWE!$A$7:$A$127,AWE!$B$7:$M$7)</f>
        <v>918.05</v>
      </c>
      <c r="E32" s="50">
        <f t="shared" si="7"/>
        <v>2.628453250981666E-2</v>
      </c>
      <c r="F32" s="944">
        <v>1153.3000000000002</v>
      </c>
      <c r="G32" s="943">
        <f t="shared" si="8"/>
        <v>1.8096751412429279E-2</v>
      </c>
      <c r="H32" s="944">
        <v>1508.25</v>
      </c>
      <c r="I32" s="943">
        <f t="shared" si="5"/>
        <v>1.9053410357758205E-2</v>
      </c>
      <c r="J32" s="942">
        <f>SimpleAverage($A32,J$7,AWE!$B$7:$M$127,AWE!$A$7:$A$127,AWE!$B$7:$M$7)</f>
        <v>1150.3000000000002</v>
      </c>
      <c r="K32" s="943">
        <f t="shared" si="9"/>
        <v>1.7008343924407532E-2</v>
      </c>
      <c r="L32" s="947">
        <v>1508.3</v>
      </c>
      <c r="M32" s="943">
        <f t="shared" si="10"/>
        <v>1.9052766704952484E-2</v>
      </c>
    </row>
    <row r="33" spans="1:25" s="5" customFormat="1" x14ac:dyDescent="0.25">
      <c r="A33" s="946">
        <v>42887</v>
      </c>
      <c r="B33" s="942">
        <v>1407.55</v>
      </c>
      <c r="C33" s="943">
        <f t="shared" si="6"/>
        <v>1.6318278638218109E-2</v>
      </c>
      <c r="D33" s="1060"/>
      <c r="E33" s="1060"/>
      <c r="F33" s="942">
        <v>1171.25</v>
      </c>
      <c r="G33" s="943">
        <f t="shared" si="8"/>
        <v>1.5564033642590624E-2</v>
      </c>
      <c r="H33" s="500">
        <v>1538.3</v>
      </c>
      <c r="I33" s="943">
        <f t="shared" si="5"/>
        <v>1.9923752693518981E-2</v>
      </c>
      <c r="J33" s="942">
        <f>SimpleAverage($A33,J$7,AWE!$B$7:$M$127,AWE!$A$7:$A$127,AWE!$B$7:$M$7)</f>
        <v>1168.9875000000002</v>
      </c>
      <c r="K33" s="943">
        <f t="shared" si="9"/>
        <v>1.624576197513683E-2</v>
      </c>
      <c r="L33" s="500">
        <v>1538.3</v>
      </c>
      <c r="M33" s="943">
        <f t="shared" si="10"/>
        <v>1.9889942319167186E-2</v>
      </c>
      <c r="O33" s="483"/>
      <c r="S33" s="483"/>
      <c r="T33" s="483"/>
      <c r="U33" s="483"/>
      <c r="X33" s="483"/>
      <c r="Y33" s="483"/>
    </row>
    <row r="34" spans="1:25" s="697" customFormat="1" x14ac:dyDescent="0.25">
      <c r="A34" s="352">
        <v>43252</v>
      </c>
      <c r="B34" s="1059">
        <f ca="1">OFFSET(AWE!$B$102,(ROW(N4)-1)*4,0)</f>
        <v>1443.7</v>
      </c>
      <c r="C34" s="274">
        <f t="shared" ca="1" si="6"/>
        <v>2.5682924230045145E-2</v>
      </c>
      <c r="D34" s="1008"/>
      <c r="E34" s="1008"/>
      <c r="F34" s="1059">
        <f ca="1">OFFSET(AWE!$F$102,(ROW(R4)-1)*4,0)</f>
        <v>1201</v>
      </c>
      <c r="G34" s="274">
        <f t="shared" ca="1" si="8"/>
        <v>2.5400213447171804E-2</v>
      </c>
      <c r="H34" s="1059">
        <f ca="1">OFFSET(AWE!$H$102,(ROW(T4)-1)*4,0)</f>
        <v>1572.1</v>
      </c>
      <c r="I34" s="274">
        <f t="shared" ca="1" si="5"/>
        <v>2.1972307092244625E-2</v>
      </c>
      <c r="J34" s="882">
        <f>SimpleAverage($A34,J$7,AWE!$B$7:$M$127,AWE!$A$7:$A$127,AWE!$B$7:$M$7)</f>
        <v>1197.3500000000001</v>
      </c>
      <c r="K34" s="925">
        <f t="shared" si="9"/>
        <v>2.4262449341844849E-2</v>
      </c>
      <c r="L34" s="1059">
        <f ca="1">OFFSET(AWE!$L$102,(ROW(X4)-1)*4,0)</f>
        <v>1572.1</v>
      </c>
      <c r="M34" s="274">
        <f t="shared" ca="1" si="10"/>
        <v>2.1972307092244625E-2</v>
      </c>
      <c r="O34" s="270"/>
      <c r="P34" s="999"/>
      <c r="R34" s="999"/>
      <c r="S34" s="270"/>
      <c r="T34" s="270"/>
      <c r="U34" s="270"/>
      <c r="V34" s="999"/>
      <c r="X34" s="270"/>
      <c r="Y34" s="270"/>
    </row>
    <row r="35" spans="1:25" s="697" customFormat="1" x14ac:dyDescent="0.25">
      <c r="A35" s="352">
        <v>43617</v>
      </c>
      <c r="B35" s="1059">
        <f ca="1">OFFSET(AWE!$B$102,(ROW(N5)-1)*4,0)</f>
        <v>1484.1</v>
      </c>
      <c r="C35" s="274">
        <f t="shared" ca="1" si="6"/>
        <v>2.7983653113527573E-2</v>
      </c>
      <c r="D35" s="1008"/>
      <c r="E35" s="1008"/>
      <c r="F35" s="1059">
        <f ca="1">OFFSET(AWE!$F$102,(ROW(R5)-1)*4,0)</f>
        <v>1234.7</v>
      </c>
      <c r="G35" s="274">
        <f t="shared" ca="1" si="8"/>
        <v>2.8059950041632087E-2</v>
      </c>
      <c r="H35" s="1059">
        <f ca="1">OFFSET(AWE!$H$102,(ROW(T5)-1)*4,0)</f>
        <v>1616.1</v>
      </c>
      <c r="I35" s="274">
        <f t="shared" ca="1" si="5"/>
        <v>2.7988041473188785E-2</v>
      </c>
      <c r="J35" s="882">
        <f>SimpleAverage($A35,J$7,AWE!$B$7:$M$127,AWE!$A$7:$A$127,AWE!$B$7:$M$7)</f>
        <v>1230.3000000000002</v>
      </c>
      <c r="K35" s="925">
        <f t="shared" si="9"/>
        <v>2.7519104689522678E-2</v>
      </c>
      <c r="L35" s="1059">
        <f ca="1">OFFSET(AWE!$L$102,(ROW(X5)-1)*4,0)</f>
        <v>1616.1</v>
      </c>
      <c r="M35" s="274">
        <f t="shared" ca="1" si="10"/>
        <v>2.7988041473188785E-2</v>
      </c>
      <c r="O35" s="270"/>
      <c r="P35" s="999"/>
      <c r="R35" s="999"/>
      <c r="S35" s="270"/>
      <c r="T35" s="270"/>
      <c r="U35" s="270"/>
      <c r="V35" s="999"/>
      <c r="X35" s="270"/>
      <c r="Y35" s="270"/>
    </row>
    <row r="36" spans="1:25" x14ac:dyDescent="0.25">
      <c r="A36" s="352">
        <v>43983</v>
      </c>
      <c r="B36" s="1059">
        <f ca="1">OFFSET(AWE!$B$102,(ROW(N6)-1)*4,0)</f>
        <v>1533.8</v>
      </c>
      <c r="C36" s="274">
        <f t="shared" ca="1" si="6"/>
        <v>3.3488309413112427E-2</v>
      </c>
      <c r="D36" s="1008"/>
      <c r="E36" s="1008"/>
      <c r="F36" s="1059">
        <f ca="1">OFFSET(AWE!$F$102,(ROW(R6)-1)*4,0)</f>
        <v>1276</v>
      </c>
      <c r="G36" s="274">
        <f t="shared" ca="1" si="8"/>
        <v>3.3449420911962457E-2</v>
      </c>
      <c r="H36" s="1059">
        <f ca="1">OFFSET(AWE!$H$102,(ROW(T6)-1)*4,0)</f>
        <v>1670.2</v>
      </c>
      <c r="I36" s="274">
        <f t="shared" ca="1" si="5"/>
        <v>3.3475651259204264E-2</v>
      </c>
      <c r="J36" s="882">
        <f>SimpleAverage($A36,J$7,AWE!$B$7:$M$127,AWE!$A$7:$A$127,AWE!$B$7:$M$7)</f>
        <v>1270.6250000000005</v>
      </c>
      <c r="K36" s="925">
        <f t="shared" si="9"/>
        <v>3.2776558562952252E-2</v>
      </c>
      <c r="L36" s="1059">
        <f ca="1">OFFSET(AWE!$L$102,(ROW(X6)-1)*4,0)</f>
        <v>1670.2</v>
      </c>
      <c r="M36" s="274">
        <f t="shared" ca="1" si="10"/>
        <v>3.3475651259204264E-2</v>
      </c>
      <c r="N36" s="28"/>
      <c r="O36" s="270"/>
      <c r="P36" s="999"/>
      <c r="R36" s="999"/>
      <c r="S36" s="270"/>
      <c r="T36" s="270"/>
      <c r="U36" s="270"/>
      <c r="V36" s="999"/>
      <c r="X36" s="270"/>
      <c r="Y36" s="270"/>
    </row>
    <row r="37" spans="1:25" s="999" customFormat="1" x14ac:dyDescent="0.25">
      <c r="A37" s="352">
        <v>44348</v>
      </c>
      <c r="B37" s="1059">
        <f ca="1">OFFSET(AWE!$B$102,(ROW(N7)-1)*4,0)</f>
        <v>1589.8</v>
      </c>
      <c r="C37" s="274">
        <f ca="1">B37/B36-1</f>
        <v>3.6510627200417201E-2</v>
      </c>
      <c r="D37" s="1008"/>
      <c r="E37" s="1008"/>
      <c r="F37" s="1059">
        <f ca="1">OFFSET(AWE!$F$102,(ROW(R7)-1)*4,0)</f>
        <v>1322.6</v>
      </c>
      <c r="G37" s="274">
        <f t="shared" ca="1" si="8"/>
        <v>3.6520376175548597E-2</v>
      </c>
      <c r="H37" s="1059">
        <f ca="1">OFFSET(AWE!$H$102,(ROW(T7)-1)*4,0)</f>
        <v>1731.2</v>
      </c>
      <c r="I37" s="274">
        <f ca="1">H37/H36-1</f>
        <v>3.6522572147048349E-2</v>
      </c>
      <c r="J37" s="882">
        <f>SimpleAverage($A37,J$7,AWE!$B$7:$M$127,AWE!$A$7:$A$127,AWE!$B$7:$M$7)</f>
        <v>1316.7000000000007</v>
      </c>
      <c r="K37" s="925">
        <f t="shared" si="9"/>
        <v>3.6261682242990867E-2</v>
      </c>
      <c r="L37" s="1059">
        <f ca="1">OFFSET(AWE!$L$102,(ROW(X7)-1)*4,0)</f>
        <v>1731.2</v>
      </c>
      <c r="M37" s="274">
        <f ca="1">L37/L36-1</f>
        <v>3.6522572147048349E-2</v>
      </c>
      <c r="O37" s="999" t="s">
        <v>980</v>
      </c>
      <c r="P37" s="5"/>
      <c r="Q37" s="5"/>
      <c r="S37" s="270"/>
      <c r="T37" s="270"/>
      <c r="U37" s="270"/>
      <c r="X37" s="270"/>
      <c r="Y37" s="270"/>
    </row>
    <row r="38" spans="1:25" x14ac:dyDescent="0.25">
      <c r="N38" s="28"/>
    </row>
    <row r="39" spans="1:25" x14ac:dyDescent="0.25">
      <c r="N39" s="28"/>
    </row>
    <row r="40" spans="1:25" x14ac:dyDescent="0.25">
      <c r="N40" s="28"/>
    </row>
    <row r="41" spans="1:25" x14ac:dyDescent="0.25">
      <c r="N41" s="28"/>
    </row>
    <row r="42" spans="1:25" x14ac:dyDescent="0.25">
      <c r="N42" s="28"/>
    </row>
    <row r="43" spans="1:25" x14ac:dyDescent="0.25">
      <c r="N43" s="28"/>
    </row>
    <row r="44" spans="1:25" x14ac:dyDescent="0.25">
      <c r="N44" s="28"/>
    </row>
    <row r="45" spans="1:25" x14ac:dyDescent="0.25">
      <c r="N45" s="28"/>
    </row>
    <row r="46" spans="1:25" x14ac:dyDescent="0.25">
      <c r="N46" s="28"/>
    </row>
    <row r="47" spans="1:25" x14ac:dyDescent="0.25">
      <c r="N47" s="28"/>
    </row>
    <row r="48" spans="1:25" x14ac:dyDescent="0.25">
      <c r="N48" s="28"/>
    </row>
    <row r="49" spans="14:14" x14ac:dyDescent="0.25">
      <c r="N49" s="28"/>
    </row>
    <row r="50" spans="14:14" x14ac:dyDescent="0.25">
      <c r="N50" s="28"/>
    </row>
    <row r="51" spans="14:14" x14ac:dyDescent="0.25">
      <c r="N51" s="28"/>
    </row>
    <row r="52" spans="14:14" x14ac:dyDescent="0.25">
      <c r="N52" s="28"/>
    </row>
    <row r="53" spans="14:14" x14ac:dyDescent="0.25">
      <c r="N53" s="28"/>
    </row>
    <row r="54" spans="14:14" x14ac:dyDescent="0.25">
      <c r="N54" s="28"/>
    </row>
    <row r="55" spans="14:14" x14ac:dyDescent="0.25">
      <c r="N55" s="28"/>
    </row>
    <row r="56" spans="14:14" x14ac:dyDescent="0.25">
      <c r="N56" s="28"/>
    </row>
    <row r="57" spans="14:14" x14ac:dyDescent="0.25">
      <c r="N57" s="28"/>
    </row>
    <row r="58" spans="14:14" x14ac:dyDescent="0.25">
      <c r="N58" s="28"/>
    </row>
    <row r="59" spans="14:14" x14ac:dyDescent="0.25">
      <c r="N59" s="28"/>
    </row>
    <row r="60" spans="14:14" x14ac:dyDescent="0.25">
      <c r="N60" s="28"/>
    </row>
    <row r="61" spans="14:14" x14ac:dyDescent="0.25">
      <c r="N61" s="28"/>
    </row>
  </sheetData>
  <customSheetViews>
    <customSheetView guid="{E49C2F27-B0B9-497E-BEC0-5B59561292FE}" hiddenRows="1" topLeftCell="A75">
      <selection activeCell="A116" sqref="A116"/>
      <pageMargins left="0.7" right="0.7" top="0.75" bottom="0.75" header="0.3" footer="0.3"/>
      <pageSetup paperSize="9" orientation="portrait" r:id="rId1"/>
    </customSheetView>
    <customSheetView guid="{A5953138-1481-4137-BEAD-32FA4FDF03E6}" topLeftCell="A75">
      <selection activeCell="A116" sqref="A116"/>
      <pageMargins left="0.7" right="0.7" top="0.75" bottom="0.75" header="0.3" footer="0.3"/>
      <pageSetup paperSize="9" orientation="portrait" r:id="rId2"/>
    </customSheetView>
    <customSheetView guid="{2A1F94CA-1A34-4418-88FD-EABF7586C2B2}" hiddenRows="1" topLeftCell="A75">
      <selection activeCell="A116" sqref="A116"/>
      <pageMargins left="0.7" right="0.7" top="0.75" bottom="0.75" header="0.3" footer="0.3"/>
      <pageSetup paperSize="9" orientation="portrait" r:id="rId3"/>
    </customSheetView>
  </customSheetViews>
  <mergeCells count="9">
    <mergeCell ref="A4:A6"/>
    <mergeCell ref="B4:I4"/>
    <mergeCell ref="J4:M4"/>
    <mergeCell ref="B5:C5"/>
    <mergeCell ref="F5:G5"/>
    <mergeCell ref="H5:I5"/>
    <mergeCell ref="J5:K5"/>
    <mergeCell ref="L5:M5"/>
    <mergeCell ref="D5:E5"/>
  </mergeCells>
  <pageMargins left="0.7" right="0.7" top="0.75" bottom="0.75" header="0.3" footer="0.3"/>
  <pageSetup paperSize="9" orientation="portrait" r:id="rId4"/>
  <ignoredErrors>
    <ignoredError sqref="C34:C36 C25:C27 C28 C29:C32 C33 K11:K20 C9:C24 M34:M36 M33 M29:M32 M28 M25:M27 K34:K37 K33 K29:K32 K28 K25:K27 I34:I36 I33 I29:I32 I28 I25:I27 G34:G37 G33 G29:G32 G28 G25:G27 I24 G22:G24 K21:K24 G21 M21:M24 I12 I22 G11:G20 I16:I21 I13:I15" formula="1"/>
  </ignoredErrors>
  <legacyDrawing r:id="rId5"/>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codeName="Sheet4">
    <tabColor rgb="FF00B050"/>
  </sheetPr>
  <dimension ref="A1:L63"/>
  <sheetViews>
    <sheetView topLeftCell="A4" zoomScale="70" zoomScaleNormal="70" workbookViewId="0">
      <pane xSplit="1" ySplit="4" topLeftCell="B17" activePane="bottomRight" state="frozen"/>
      <selection activeCell="A4" sqref="A4"/>
      <selection pane="topRight" activeCell="B4" sqref="B4"/>
      <selection pane="bottomLeft" activeCell="A8" sqref="A8"/>
      <selection pane="bottomRight" activeCell="B47" sqref="B44:B47"/>
    </sheetView>
  </sheetViews>
  <sheetFormatPr defaultRowHeight="15" x14ac:dyDescent="0.25"/>
  <cols>
    <col min="1" max="1" width="19.140625" style="28" customWidth="1"/>
    <col min="2" max="3" width="25.7109375" style="28" customWidth="1"/>
    <col min="4" max="4" width="9.140625" style="28"/>
    <col min="5" max="5" width="12.28515625" style="28" bestFit="1" customWidth="1"/>
    <col min="6" max="11" width="9.140625" style="28"/>
    <col min="12" max="12" width="9.140625" style="16"/>
    <col min="13" max="16384" width="9.140625" style="28"/>
  </cols>
  <sheetData>
    <row r="1" spans="1:12" s="502" customFormat="1" hidden="1" x14ac:dyDescent="0.25">
      <c r="L1" s="16"/>
    </row>
    <row r="2" spans="1:12" s="502" customFormat="1" hidden="1" x14ac:dyDescent="0.25">
      <c r="L2" s="16"/>
    </row>
    <row r="3" spans="1:12" s="502" customFormat="1" ht="15.75" hidden="1" thickBot="1" x14ac:dyDescent="0.3">
      <c r="L3" s="16"/>
    </row>
    <row r="4" spans="1:12" ht="30" customHeight="1" thickBot="1" x14ac:dyDescent="0.3">
      <c r="A4" s="1143" t="s">
        <v>9</v>
      </c>
      <c r="B4" s="1152" t="s">
        <v>10</v>
      </c>
      <c r="C4" s="1153"/>
      <c r="L4" s="28"/>
    </row>
    <row r="5" spans="1:12" ht="35.1" customHeight="1" x14ac:dyDescent="0.25">
      <c r="A5" s="1144"/>
      <c r="B5" s="46" t="s">
        <v>1</v>
      </c>
      <c r="C5" s="47" t="s">
        <v>7</v>
      </c>
      <c r="L5" s="28"/>
    </row>
    <row r="6" spans="1:12" s="502" customFormat="1" ht="35.1" customHeight="1" thickBot="1" x14ac:dyDescent="0.3">
      <c r="A6" s="1145"/>
      <c r="B6" s="603" t="s">
        <v>343</v>
      </c>
      <c r="C6" s="605" t="s">
        <v>355</v>
      </c>
    </row>
    <row r="7" spans="1:12" ht="15.75" thickBot="1" x14ac:dyDescent="0.3">
      <c r="A7" s="42" t="s">
        <v>550</v>
      </c>
      <c r="B7" s="275" t="s">
        <v>195</v>
      </c>
      <c r="C7" s="276" t="s">
        <v>196</v>
      </c>
      <c r="L7" s="28"/>
    </row>
    <row r="8" spans="1:12" x14ac:dyDescent="0.25">
      <c r="A8" s="344">
        <v>39326</v>
      </c>
      <c r="B8" s="489">
        <v>86.3</v>
      </c>
      <c r="C8" s="277"/>
      <c r="L8" s="28"/>
    </row>
    <row r="9" spans="1:12" x14ac:dyDescent="0.25">
      <c r="A9" s="345">
        <v>39417</v>
      </c>
      <c r="B9" s="489">
        <v>86.9</v>
      </c>
      <c r="C9" s="278">
        <f>B9/B8-1</f>
        <v>6.9524913093859109E-3</v>
      </c>
      <c r="D9" s="270"/>
      <c r="E9" s="279"/>
      <c r="F9" s="270"/>
      <c r="G9" s="279"/>
      <c r="H9" s="270"/>
      <c r="I9" s="279"/>
      <c r="J9" s="270"/>
      <c r="K9" s="279"/>
      <c r="L9" s="28"/>
    </row>
    <row r="10" spans="1:12" x14ac:dyDescent="0.25">
      <c r="A10" s="345">
        <v>39508</v>
      </c>
      <c r="B10" s="489">
        <v>88.4</v>
      </c>
      <c r="C10" s="278">
        <f t="shared" ref="C10:C63" si="0">B10/B9-1</f>
        <v>1.7261219792865434E-2</v>
      </c>
      <c r="D10" s="270"/>
      <c r="E10" s="279"/>
      <c r="F10" s="270"/>
      <c r="G10" s="279"/>
      <c r="H10" s="270"/>
      <c r="I10" s="279"/>
      <c r="J10" s="270"/>
      <c r="K10" s="279"/>
      <c r="L10" s="28"/>
    </row>
    <row r="11" spans="1:12" ht="15.75" thickBot="1" x14ac:dyDescent="0.3">
      <c r="A11" s="346">
        <v>39600</v>
      </c>
      <c r="B11" s="488">
        <v>89.5</v>
      </c>
      <c r="C11" s="280">
        <f t="shared" si="0"/>
        <v>1.2443438914027105E-2</v>
      </c>
      <c r="D11" s="270"/>
      <c r="E11" s="279"/>
      <c r="F11" s="270"/>
      <c r="G11" s="279"/>
      <c r="H11" s="270"/>
      <c r="I11" s="279"/>
      <c r="J11" s="270"/>
      <c r="K11" s="279"/>
      <c r="L11" s="28"/>
    </row>
    <row r="12" spans="1:12" x14ac:dyDescent="0.25">
      <c r="A12" s="344">
        <v>39692</v>
      </c>
      <c r="B12" s="489">
        <v>90.7</v>
      </c>
      <c r="C12" s="277">
        <f t="shared" si="0"/>
        <v>1.3407821229050265E-2</v>
      </c>
      <c r="D12" s="270"/>
      <c r="E12" s="279"/>
      <c r="F12" s="270"/>
      <c r="G12" s="279"/>
      <c r="H12" s="270"/>
      <c r="I12" s="279"/>
      <c r="J12" s="270"/>
      <c r="K12" s="279"/>
      <c r="L12" s="28"/>
    </row>
    <row r="13" spans="1:12" x14ac:dyDescent="0.25">
      <c r="A13" s="345">
        <v>39783</v>
      </c>
      <c r="B13" s="489">
        <v>90.6</v>
      </c>
      <c r="C13" s="278">
        <f t="shared" si="0"/>
        <v>-1.1025358324145973E-3</v>
      </c>
      <c r="D13" s="270"/>
      <c r="E13" s="279"/>
      <c r="F13" s="270"/>
      <c r="G13" s="279"/>
      <c r="H13" s="270"/>
      <c r="I13" s="279"/>
      <c r="J13" s="270"/>
      <c r="K13" s="279"/>
      <c r="L13" s="28"/>
    </row>
    <row r="14" spans="1:12" x14ac:dyDescent="0.25">
      <c r="A14" s="345">
        <v>39873</v>
      </c>
      <c r="B14" s="489">
        <v>91.5</v>
      </c>
      <c r="C14" s="278">
        <f t="shared" si="0"/>
        <v>9.9337748344372478E-3</v>
      </c>
      <c r="D14" s="270"/>
      <c r="E14" s="279"/>
      <c r="F14" s="270"/>
      <c r="G14" s="279"/>
      <c r="H14" s="270"/>
      <c r="I14" s="279"/>
      <c r="J14" s="270"/>
      <c r="K14" s="279"/>
      <c r="L14" s="28"/>
    </row>
    <row r="15" spans="1:12" ht="15.75" thickBot="1" x14ac:dyDescent="0.3">
      <c r="A15" s="346">
        <v>39965</v>
      </c>
      <c r="B15" s="488">
        <v>91.5</v>
      </c>
      <c r="C15" s="280">
        <f t="shared" si="0"/>
        <v>0</v>
      </c>
      <c r="D15" s="270"/>
      <c r="E15" s="279"/>
      <c r="F15" s="270"/>
      <c r="G15" s="279"/>
      <c r="H15" s="270"/>
      <c r="I15" s="279"/>
      <c r="J15" s="270"/>
      <c r="K15" s="279"/>
      <c r="L15" s="28"/>
    </row>
    <row r="16" spans="1:12" x14ac:dyDescent="0.25">
      <c r="A16" s="344">
        <v>40057</v>
      </c>
      <c r="B16" s="490">
        <v>92.5</v>
      </c>
      <c r="C16" s="277">
        <f t="shared" si="0"/>
        <v>1.0928961748633892E-2</v>
      </c>
      <c r="D16" s="270"/>
      <c r="E16" s="279"/>
      <c r="F16" s="270"/>
      <c r="G16" s="279"/>
      <c r="H16" s="270"/>
      <c r="I16" s="279"/>
      <c r="J16" s="270"/>
      <c r="K16" s="279"/>
      <c r="L16" s="28"/>
    </row>
    <row r="17" spans="1:12" x14ac:dyDescent="0.25">
      <c r="A17" s="345">
        <v>40148</v>
      </c>
      <c r="B17" s="490">
        <v>93</v>
      </c>
      <c r="C17" s="278">
        <f t="shared" si="0"/>
        <v>5.4054054054053502E-3</v>
      </c>
      <c r="D17" s="270"/>
      <c r="E17" s="279"/>
      <c r="F17" s="270"/>
      <c r="G17" s="279"/>
      <c r="H17" s="270"/>
      <c r="I17" s="279"/>
      <c r="J17" s="270"/>
      <c r="K17" s="279"/>
      <c r="L17" s="28"/>
    </row>
    <row r="18" spans="1:12" x14ac:dyDescent="0.25">
      <c r="A18" s="345">
        <v>40238</v>
      </c>
      <c r="B18" s="490">
        <v>94.1</v>
      </c>
      <c r="C18" s="278">
        <f t="shared" si="0"/>
        <v>1.1827956989247213E-2</v>
      </c>
      <c r="D18" s="270"/>
      <c r="E18" s="279"/>
      <c r="F18" s="270"/>
      <c r="G18" s="279"/>
      <c r="H18" s="270"/>
      <c r="I18" s="279"/>
      <c r="J18" s="270"/>
      <c r="K18" s="279"/>
      <c r="L18" s="28"/>
    </row>
    <row r="19" spans="1:12" ht="15.75" thickBot="1" x14ac:dyDescent="0.3">
      <c r="A19" s="346">
        <v>40330</v>
      </c>
      <c r="B19" s="491">
        <v>95</v>
      </c>
      <c r="C19" s="280">
        <f t="shared" si="0"/>
        <v>9.5642933049946421E-3</v>
      </c>
      <c r="D19" s="270"/>
      <c r="E19" s="279"/>
      <c r="F19" s="270"/>
      <c r="G19" s="279"/>
      <c r="H19" s="270"/>
      <c r="I19" s="279"/>
      <c r="J19" s="270"/>
      <c r="K19" s="279"/>
      <c r="L19" s="28"/>
    </row>
    <row r="20" spans="1:12" x14ac:dyDescent="0.25">
      <c r="A20" s="344">
        <v>40422</v>
      </c>
      <c r="B20" s="490">
        <v>96</v>
      </c>
      <c r="C20" s="277">
        <f t="shared" si="0"/>
        <v>1.0526315789473717E-2</v>
      </c>
      <c r="D20" s="270"/>
      <c r="E20" s="279"/>
      <c r="F20" s="270"/>
      <c r="G20" s="279"/>
      <c r="H20" s="270"/>
      <c r="I20" s="279"/>
      <c r="J20" s="270"/>
      <c r="K20" s="279"/>
      <c r="L20" s="28"/>
    </row>
    <row r="21" spans="1:12" x14ac:dyDescent="0.25">
      <c r="A21" s="345">
        <v>40513</v>
      </c>
      <c r="B21" s="492">
        <v>96.7</v>
      </c>
      <c r="C21" s="278">
        <f t="shared" si="0"/>
        <v>7.2916666666666963E-3</v>
      </c>
      <c r="D21" s="270"/>
      <c r="E21" s="279"/>
      <c r="F21" s="270"/>
      <c r="G21" s="279"/>
      <c r="H21" s="270"/>
      <c r="I21" s="279"/>
      <c r="J21" s="270"/>
      <c r="K21" s="279"/>
      <c r="L21" s="28"/>
    </row>
    <row r="22" spans="1:12" x14ac:dyDescent="0.25">
      <c r="A22" s="345">
        <v>40603</v>
      </c>
      <c r="B22" s="490">
        <v>98.5</v>
      </c>
      <c r="C22" s="278">
        <f t="shared" si="0"/>
        <v>1.8614270941054833E-2</v>
      </c>
      <c r="D22" s="270"/>
      <c r="E22" s="279"/>
      <c r="F22" s="270"/>
      <c r="G22" s="279"/>
      <c r="H22" s="270"/>
      <c r="I22" s="279"/>
      <c r="J22" s="270"/>
      <c r="K22" s="279"/>
      <c r="L22" s="28"/>
    </row>
    <row r="23" spans="1:12" ht="15.75" thickBot="1" x14ac:dyDescent="0.3">
      <c r="A23" s="346">
        <v>40695</v>
      </c>
      <c r="B23" s="491">
        <v>99.3</v>
      </c>
      <c r="C23" s="280">
        <f t="shared" si="0"/>
        <v>8.1218274111674038E-3</v>
      </c>
      <c r="D23" s="270"/>
      <c r="E23" s="279"/>
      <c r="F23" s="270"/>
      <c r="G23" s="279"/>
      <c r="H23" s="270"/>
      <c r="I23" s="279"/>
      <c r="J23" s="270"/>
      <c r="K23" s="279"/>
      <c r="L23" s="28"/>
    </row>
    <row r="24" spans="1:12" x14ac:dyDescent="0.25">
      <c r="A24" s="344">
        <v>40787</v>
      </c>
      <c r="B24" s="490">
        <v>100</v>
      </c>
      <c r="C24" s="277">
        <f t="shared" si="0"/>
        <v>7.0493454179254567E-3</v>
      </c>
      <c r="D24" s="270"/>
      <c r="E24" s="279"/>
      <c r="F24" s="270"/>
      <c r="G24" s="279"/>
      <c r="H24" s="270"/>
      <c r="I24" s="279"/>
      <c r="J24" s="270"/>
      <c r="K24" s="279"/>
      <c r="L24" s="28"/>
    </row>
    <row r="25" spans="1:12" x14ac:dyDescent="0.25">
      <c r="A25" s="345">
        <v>40878</v>
      </c>
      <c r="B25" s="490">
        <v>99.8</v>
      </c>
      <c r="C25" s="278">
        <f t="shared" si="0"/>
        <v>-2.0000000000000018E-3</v>
      </c>
      <c r="D25" s="270"/>
      <c r="E25" s="279"/>
      <c r="F25" s="270"/>
      <c r="G25" s="279"/>
      <c r="H25" s="270"/>
      <c r="I25" s="279"/>
      <c r="J25" s="270"/>
      <c r="K25" s="279"/>
      <c r="L25" s="28"/>
    </row>
    <row r="26" spans="1:12" x14ac:dyDescent="0.25">
      <c r="A26" s="345">
        <v>40969</v>
      </c>
      <c r="B26" s="490">
        <v>99.9</v>
      </c>
      <c r="C26" s="278">
        <f t="shared" si="0"/>
        <v>1.0020040080160886E-3</v>
      </c>
      <c r="D26" s="270"/>
      <c r="E26" s="279"/>
      <c r="F26" s="270"/>
      <c r="G26" s="279"/>
      <c r="H26" s="270"/>
      <c r="I26" s="279"/>
      <c r="J26" s="270"/>
      <c r="K26" s="279"/>
      <c r="L26" s="28"/>
    </row>
    <row r="27" spans="1:12" ht="15.75" thickBot="1" x14ac:dyDescent="0.3">
      <c r="A27" s="481">
        <v>41061</v>
      </c>
      <c r="B27" s="491">
        <v>100.4</v>
      </c>
      <c r="C27" s="280">
        <f t="shared" si="0"/>
        <v>5.0050050050050032E-3</v>
      </c>
      <c r="D27" s="270"/>
      <c r="E27" s="279"/>
      <c r="F27" s="270"/>
      <c r="G27" s="279"/>
      <c r="H27" s="270"/>
      <c r="I27" s="279"/>
      <c r="J27" s="270"/>
      <c r="K27" s="279"/>
      <c r="L27" s="28"/>
    </row>
    <row r="28" spans="1:12" s="5" customFormat="1" x14ac:dyDescent="0.25">
      <c r="A28" s="482">
        <v>41153</v>
      </c>
      <c r="B28" s="490">
        <v>102</v>
      </c>
      <c r="C28" s="277">
        <f t="shared" si="0"/>
        <v>1.5936254980079667E-2</v>
      </c>
      <c r="D28" s="483"/>
      <c r="E28" s="484"/>
      <c r="F28" s="483"/>
      <c r="G28" s="484"/>
      <c r="H28" s="483"/>
      <c r="I28" s="484"/>
      <c r="J28" s="483"/>
      <c r="K28" s="484"/>
    </row>
    <row r="29" spans="1:12" s="5" customFormat="1" x14ac:dyDescent="0.25">
      <c r="A29" s="485">
        <v>41244</v>
      </c>
      <c r="B29" s="487">
        <v>102.1</v>
      </c>
      <c r="C29" s="278">
        <f t="shared" si="0"/>
        <v>9.8039215686274161E-4</v>
      </c>
      <c r="D29" s="483"/>
      <c r="E29" s="484"/>
      <c r="F29" s="483"/>
      <c r="G29" s="484"/>
      <c r="H29" s="483"/>
      <c r="I29" s="484"/>
      <c r="J29" s="483"/>
      <c r="K29" s="484"/>
    </row>
    <row r="30" spans="1:12" s="5" customFormat="1" x14ac:dyDescent="0.25">
      <c r="A30" s="485">
        <v>41334</v>
      </c>
      <c r="B30" s="486">
        <v>102.6</v>
      </c>
      <c r="C30" s="278">
        <f t="shared" si="0"/>
        <v>4.8971596474045587E-3</v>
      </c>
      <c r="D30" s="483"/>
      <c r="E30" s="484"/>
      <c r="F30" s="483"/>
      <c r="G30" s="484"/>
      <c r="H30" s="483"/>
      <c r="I30" s="484"/>
      <c r="J30" s="483"/>
      <c r="K30" s="484"/>
    </row>
    <row r="31" spans="1:12" s="5" customFormat="1" ht="15.75" thickBot="1" x14ac:dyDescent="0.3">
      <c r="A31" s="481">
        <v>41426</v>
      </c>
      <c r="B31" s="493">
        <v>102.9</v>
      </c>
      <c r="C31" s="280">
        <f t="shared" si="0"/>
        <v>2.9239766081872176E-3</v>
      </c>
      <c r="D31" s="483"/>
      <c r="E31" s="484"/>
      <c r="F31" s="483"/>
      <c r="G31" s="484"/>
      <c r="H31" s="483"/>
      <c r="I31" s="484"/>
      <c r="J31" s="483"/>
      <c r="K31" s="484"/>
    </row>
    <row r="32" spans="1:12" x14ac:dyDescent="0.25">
      <c r="A32" s="482">
        <v>41518</v>
      </c>
      <c r="B32" s="829">
        <v>103.9</v>
      </c>
      <c r="C32" s="513">
        <f t="shared" si="0"/>
        <v>9.7181729834792119E-3</v>
      </c>
      <c r="D32" s="270"/>
      <c r="E32" s="279"/>
      <c r="F32" s="270"/>
      <c r="G32" s="279"/>
      <c r="H32" s="270"/>
      <c r="I32" s="279"/>
      <c r="J32" s="270"/>
      <c r="K32" s="279"/>
      <c r="L32" s="28"/>
    </row>
    <row r="33" spans="1:12" x14ac:dyDescent="0.25">
      <c r="A33" s="485">
        <v>41609</v>
      </c>
      <c r="B33" s="830">
        <v>104.4</v>
      </c>
      <c r="C33" s="512">
        <f t="shared" si="0"/>
        <v>4.8123195380174177E-3</v>
      </c>
      <c r="D33" s="270"/>
      <c r="E33" s="279"/>
      <c r="F33" s="270"/>
      <c r="G33" s="279"/>
      <c r="H33" s="270"/>
      <c r="I33" s="279"/>
      <c r="J33" s="270"/>
      <c r="K33" s="279"/>
      <c r="L33" s="28"/>
    </row>
    <row r="34" spans="1:12" x14ac:dyDescent="0.25">
      <c r="A34" s="485">
        <v>41699</v>
      </c>
      <c r="B34" s="830">
        <v>105.5</v>
      </c>
      <c r="C34" s="512">
        <f t="shared" si="0"/>
        <v>1.0536398467432928E-2</v>
      </c>
      <c r="D34" s="270"/>
      <c r="E34" s="279"/>
      <c r="F34" s="270"/>
      <c r="G34" s="279"/>
      <c r="H34" s="270"/>
      <c r="I34" s="279"/>
      <c r="J34" s="270"/>
      <c r="K34" s="279"/>
      <c r="L34" s="28"/>
    </row>
    <row r="35" spans="1:12" ht="15.75" thickBot="1" x14ac:dyDescent="0.3">
      <c r="A35" s="481">
        <v>41791</v>
      </c>
      <c r="B35" s="831">
        <v>105.9</v>
      </c>
      <c r="C35" s="510">
        <f t="shared" si="0"/>
        <v>3.7914691943128354E-3</v>
      </c>
      <c r="D35" s="270"/>
      <c r="E35" s="279"/>
      <c r="F35" s="270"/>
      <c r="G35" s="279"/>
      <c r="H35" s="270"/>
      <c r="I35" s="279"/>
      <c r="J35" s="270"/>
      <c r="K35" s="279"/>
      <c r="L35" s="28"/>
    </row>
    <row r="36" spans="1:12" x14ac:dyDescent="0.25">
      <c r="A36" s="482">
        <v>41883</v>
      </c>
      <c r="B36" s="829">
        <v>106.1</v>
      </c>
      <c r="C36" s="513">
        <f t="shared" si="0"/>
        <v>1.8885741265344258E-3</v>
      </c>
      <c r="D36" s="270"/>
      <c r="E36" s="279"/>
      <c r="F36" s="270"/>
      <c r="G36" s="279"/>
      <c r="H36" s="270"/>
      <c r="I36" s="279"/>
      <c r="J36" s="270"/>
      <c r="K36" s="279"/>
      <c r="L36" s="28"/>
    </row>
    <row r="37" spans="1:12" x14ac:dyDescent="0.25">
      <c r="A37" s="485">
        <v>41974</v>
      </c>
      <c r="B37" s="830">
        <v>106.2</v>
      </c>
      <c r="C37" s="512">
        <f t="shared" si="0"/>
        <v>9.425070688031667E-4</v>
      </c>
      <c r="D37" s="270"/>
      <c r="E37" s="279"/>
      <c r="F37" s="270"/>
      <c r="G37" s="279"/>
      <c r="H37" s="270"/>
      <c r="I37" s="279"/>
      <c r="J37" s="270"/>
      <c r="K37" s="279"/>
      <c r="L37" s="28"/>
    </row>
    <row r="38" spans="1:12" x14ac:dyDescent="0.25">
      <c r="A38" s="485">
        <v>42064</v>
      </c>
      <c r="B38" s="830">
        <v>106.4</v>
      </c>
      <c r="C38" s="512">
        <f t="shared" si="0"/>
        <v>1.8832391713747842E-3</v>
      </c>
      <c r="D38" s="270"/>
      <c r="E38" s="279"/>
      <c r="F38" s="270"/>
      <c r="G38" s="279"/>
      <c r="H38" s="270"/>
      <c r="I38" s="279"/>
      <c r="J38" s="270"/>
      <c r="K38" s="279"/>
      <c r="L38" s="28"/>
    </row>
    <row r="39" spans="1:12" ht="15.75" thickBot="1" x14ac:dyDescent="0.3">
      <c r="A39" s="481">
        <v>42156</v>
      </c>
      <c r="B39" s="831">
        <v>107</v>
      </c>
      <c r="C39" s="510">
        <f t="shared" si="0"/>
        <v>5.639097744360777E-3</v>
      </c>
      <c r="D39" s="270"/>
      <c r="E39" s="279"/>
      <c r="F39" s="270"/>
      <c r="G39" s="279"/>
      <c r="H39" s="270"/>
      <c r="I39" s="279"/>
      <c r="J39" s="270"/>
      <c r="K39" s="279"/>
      <c r="L39" s="28"/>
    </row>
    <row r="40" spans="1:12" x14ac:dyDescent="0.25">
      <c r="A40" s="482">
        <v>42248</v>
      </c>
      <c r="B40" s="829">
        <v>107.2</v>
      </c>
      <c r="C40" s="513">
        <f>B40/B39-1</f>
        <v>1.8691588785046953E-3</v>
      </c>
      <c r="D40" s="270"/>
      <c r="E40" s="279"/>
      <c r="F40" s="270"/>
      <c r="G40" s="279"/>
      <c r="H40" s="270"/>
      <c r="I40" s="279"/>
      <c r="J40" s="270"/>
      <c r="K40" s="279"/>
      <c r="L40" s="28"/>
    </row>
    <row r="41" spans="1:12" x14ac:dyDescent="0.25">
      <c r="A41" s="946">
        <v>42339</v>
      </c>
      <c r="B41" s="830">
        <v>107.6</v>
      </c>
      <c r="C41" s="512">
        <f>B41/B40-1</f>
        <v>3.7313432835819338E-3</v>
      </c>
      <c r="D41" s="270"/>
      <c r="E41" s="279"/>
      <c r="F41" s="270"/>
      <c r="G41" s="279"/>
      <c r="H41" s="270"/>
      <c r="I41" s="279"/>
      <c r="J41" s="270"/>
      <c r="K41" s="279"/>
      <c r="L41" s="28"/>
    </row>
    <row r="42" spans="1:12" s="999" customFormat="1" x14ac:dyDescent="0.25">
      <c r="A42" s="946">
        <v>42430</v>
      </c>
      <c r="B42" s="830">
        <v>107.6</v>
      </c>
      <c r="C42" s="1022">
        <f>B42/B41-1</f>
        <v>0</v>
      </c>
      <c r="D42" s="270"/>
      <c r="E42" s="279"/>
      <c r="F42" s="270"/>
      <c r="G42" s="279"/>
      <c r="H42" s="270"/>
      <c r="I42" s="279"/>
      <c r="J42" s="270"/>
      <c r="K42" s="279"/>
    </row>
    <row r="43" spans="1:12" ht="15.75" thickBot="1" x14ac:dyDescent="0.3">
      <c r="A43" s="481">
        <v>42522</v>
      </c>
      <c r="B43" s="831">
        <v>108</v>
      </c>
      <c r="C43" s="510">
        <f t="shared" si="0"/>
        <v>3.7174721189592308E-3</v>
      </c>
      <c r="D43" s="270"/>
      <c r="E43" s="270"/>
      <c r="F43" s="270"/>
      <c r="G43" s="279"/>
      <c r="H43" s="270"/>
      <c r="I43" s="279"/>
      <c r="J43" s="270"/>
      <c r="K43" s="279"/>
      <c r="L43" s="28"/>
    </row>
    <row r="44" spans="1:12" ht="17.25" customHeight="1" x14ac:dyDescent="0.25">
      <c r="A44" s="482">
        <v>42614</v>
      </c>
      <c r="B44" s="829">
        <v>108.8</v>
      </c>
      <c r="C44" s="513">
        <f>B44/B43-1</f>
        <v>7.4074074074073071E-3</v>
      </c>
      <c r="D44" s="270"/>
      <c r="E44" s="279"/>
      <c r="F44" s="270"/>
      <c r="G44" s="279"/>
      <c r="H44" s="270"/>
      <c r="I44" s="279"/>
      <c r="J44" s="270"/>
      <c r="K44" s="279"/>
      <c r="L44" s="28"/>
    </row>
    <row r="45" spans="1:12" x14ac:dyDescent="0.25">
      <c r="A45" s="946">
        <v>42705</v>
      </c>
      <c r="B45" s="1061">
        <v>109.4</v>
      </c>
      <c r="C45" s="1022">
        <f t="shared" si="0"/>
        <v>5.5147058823530326E-3</v>
      </c>
      <c r="D45" s="270"/>
      <c r="E45" s="279"/>
      <c r="F45" s="270"/>
      <c r="G45" s="279"/>
      <c r="H45" s="270"/>
      <c r="I45" s="279"/>
      <c r="J45" s="270"/>
      <c r="K45" s="279"/>
      <c r="L45" s="28"/>
    </row>
    <row r="46" spans="1:12" x14ac:dyDescent="0.25">
      <c r="A46" s="946">
        <v>42795</v>
      </c>
      <c r="B46" s="1061">
        <v>110.2</v>
      </c>
      <c r="C46" s="1022">
        <f t="shared" si="0"/>
        <v>7.3126142595978383E-3</v>
      </c>
      <c r="D46" s="270"/>
      <c r="E46" s="279"/>
      <c r="F46" s="270"/>
      <c r="G46" s="279"/>
      <c r="H46" s="270"/>
      <c r="I46" s="279"/>
      <c r="J46" s="270"/>
      <c r="K46" s="279"/>
      <c r="L46" s="28"/>
    </row>
    <row r="47" spans="1:12" ht="15.75" thickBot="1" x14ac:dyDescent="0.3">
      <c r="A47" s="481">
        <v>42887</v>
      </c>
      <c r="B47" s="831">
        <v>110.2</v>
      </c>
      <c r="C47" s="510">
        <f t="shared" si="0"/>
        <v>0</v>
      </c>
      <c r="D47" s="270"/>
      <c r="E47" s="279"/>
      <c r="F47" s="270"/>
      <c r="G47" s="279"/>
      <c r="H47" s="270"/>
      <c r="I47" s="279"/>
      <c r="J47" s="270"/>
      <c r="K47" s="279"/>
      <c r="L47" s="28"/>
    </row>
    <row r="48" spans="1:12" x14ac:dyDescent="0.25">
      <c r="A48" s="922">
        <v>42979</v>
      </c>
      <c r="B48" s="931">
        <f t="shared" ref="B48:B63" si="1">(B47*(getEcoPar(A48,"peCPIfp")/getEcoPar(A47,"peCPIfp")))</f>
        <v>110.69774164408311</v>
      </c>
      <c r="C48" s="932">
        <f t="shared" si="0"/>
        <v>4.5167118337849921E-3</v>
      </c>
      <c r="D48" s="270"/>
      <c r="E48" s="279"/>
      <c r="F48" s="270"/>
      <c r="G48" s="279"/>
      <c r="H48" s="270"/>
      <c r="I48" s="279"/>
      <c r="J48" s="270"/>
      <c r="K48" s="279"/>
      <c r="L48" s="28"/>
    </row>
    <row r="49" spans="1:12" x14ac:dyDescent="0.25">
      <c r="A49" s="924">
        <v>43070</v>
      </c>
      <c r="B49" s="933">
        <f t="shared" si="1"/>
        <v>111.29503161698284</v>
      </c>
      <c r="C49" s="934">
        <f t="shared" si="0"/>
        <v>5.3956834532373765E-3</v>
      </c>
      <c r="D49" s="270"/>
      <c r="E49" s="279"/>
      <c r="F49" s="270"/>
      <c r="G49" s="279"/>
      <c r="H49" s="270"/>
      <c r="I49" s="279"/>
      <c r="J49" s="270"/>
      <c r="K49" s="279"/>
      <c r="L49" s="28"/>
    </row>
    <row r="50" spans="1:12" x14ac:dyDescent="0.25">
      <c r="A50" s="924">
        <v>43160</v>
      </c>
      <c r="B50" s="933">
        <f t="shared" si="1"/>
        <v>111.89232158988258</v>
      </c>
      <c r="C50" s="934">
        <f t="shared" si="0"/>
        <v>5.3667262969590013E-3</v>
      </c>
      <c r="D50" s="270"/>
      <c r="E50" s="279"/>
      <c r="F50" s="270"/>
      <c r="G50" s="279"/>
      <c r="H50" s="270"/>
      <c r="I50" s="279"/>
      <c r="J50" s="270"/>
      <c r="K50" s="279"/>
      <c r="L50" s="28"/>
    </row>
    <row r="51" spans="1:12" ht="15.75" thickBot="1" x14ac:dyDescent="0.3">
      <c r="A51" s="926">
        <v>43252</v>
      </c>
      <c r="B51" s="929">
        <f t="shared" si="1"/>
        <v>112.39006323396569</v>
      </c>
      <c r="C51" s="930">
        <f t="shared" si="0"/>
        <v>4.4483985765124689E-3</v>
      </c>
      <c r="D51" s="270"/>
      <c r="E51" s="279"/>
      <c r="F51" s="270"/>
      <c r="G51" s="279"/>
      <c r="H51" s="270"/>
      <c r="I51" s="279"/>
      <c r="J51" s="270"/>
      <c r="K51" s="279"/>
      <c r="L51" s="28"/>
    </row>
    <row r="52" spans="1:12" x14ac:dyDescent="0.25">
      <c r="A52" s="922">
        <v>43344</v>
      </c>
      <c r="B52" s="931">
        <f t="shared" si="1"/>
        <v>112.98735320686541</v>
      </c>
      <c r="C52" s="932">
        <f t="shared" si="0"/>
        <v>5.3144375553586531E-3</v>
      </c>
      <c r="D52" s="270"/>
      <c r="E52" s="279"/>
      <c r="F52" s="270"/>
      <c r="G52" s="279"/>
      <c r="H52" s="270"/>
      <c r="I52" s="279"/>
      <c r="J52" s="270"/>
      <c r="K52" s="279"/>
      <c r="L52" s="28"/>
    </row>
    <row r="53" spans="1:12" x14ac:dyDescent="0.25">
      <c r="A53" s="924">
        <v>43435</v>
      </c>
      <c r="B53" s="933">
        <f t="shared" si="1"/>
        <v>113.58464317976512</v>
      </c>
      <c r="C53" s="934">
        <f t="shared" si="0"/>
        <v>5.2863436123347096E-3</v>
      </c>
      <c r="D53" s="270"/>
      <c r="E53" s="279"/>
      <c r="F53" s="270"/>
      <c r="G53" s="279"/>
      <c r="H53" s="270"/>
      <c r="I53" s="279"/>
      <c r="J53" s="270"/>
      <c r="K53" s="279"/>
      <c r="L53" s="28"/>
    </row>
    <row r="54" spans="1:12" x14ac:dyDescent="0.25">
      <c r="A54" s="924">
        <v>43525</v>
      </c>
      <c r="B54" s="933">
        <f t="shared" si="1"/>
        <v>114.28148148148146</v>
      </c>
      <c r="C54" s="934">
        <f t="shared" si="0"/>
        <v>6.1349693251533388E-3</v>
      </c>
      <c r="D54" s="270"/>
      <c r="E54" s="279"/>
      <c r="F54" s="270"/>
      <c r="G54" s="279"/>
      <c r="H54" s="270"/>
      <c r="I54" s="279"/>
      <c r="J54" s="270"/>
      <c r="K54" s="279"/>
      <c r="L54" s="28"/>
    </row>
    <row r="55" spans="1:12" ht="15.75" thickBot="1" x14ac:dyDescent="0.3">
      <c r="A55" s="926">
        <v>43617</v>
      </c>
      <c r="B55" s="929">
        <f t="shared" si="1"/>
        <v>114.87877145438119</v>
      </c>
      <c r="C55" s="930">
        <f t="shared" si="0"/>
        <v>5.2264808362370019E-3</v>
      </c>
      <c r="D55" s="270"/>
      <c r="E55" s="279"/>
      <c r="F55" s="270"/>
      <c r="G55" s="279"/>
      <c r="H55" s="270"/>
      <c r="I55" s="279"/>
      <c r="J55" s="270"/>
      <c r="K55" s="279"/>
      <c r="L55" s="28"/>
    </row>
    <row r="56" spans="1:12" x14ac:dyDescent="0.25">
      <c r="A56" s="922">
        <v>43709</v>
      </c>
      <c r="B56" s="931">
        <f t="shared" si="1"/>
        <v>115.57560975609753</v>
      </c>
      <c r="C56" s="932">
        <f t="shared" si="0"/>
        <v>6.0658578856152001E-3</v>
      </c>
      <c r="D56" s="270"/>
      <c r="E56" s="279"/>
      <c r="F56" s="270"/>
      <c r="G56" s="279"/>
      <c r="H56" s="270"/>
      <c r="I56" s="279"/>
      <c r="J56" s="270"/>
      <c r="K56" s="279"/>
      <c r="L56" s="28"/>
    </row>
    <row r="57" spans="1:12" x14ac:dyDescent="0.25">
      <c r="A57" s="924">
        <v>43800</v>
      </c>
      <c r="B57" s="933">
        <f t="shared" si="1"/>
        <v>116.2724480578139</v>
      </c>
      <c r="C57" s="934">
        <f t="shared" si="0"/>
        <v>6.0292850990526503E-3</v>
      </c>
      <c r="D57" s="270"/>
      <c r="E57" s="279"/>
      <c r="F57" s="270"/>
      <c r="G57" s="279"/>
      <c r="H57" s="270"/>
      <c r="I57" s="279"/>
      <c r="J57" s="270"/>
      <c r="K57" s="279"/>
      <c r="L57" s="28"/>
    </row>
    <row r="58" spans="1:12" x14ac:dyDescent="0.25">
      <c r="A58" s="924">
        <v>43891</v>
      </c>
      <c r="B58" s="933">
        <f t="shared" si="1"/>
        <v>117.06883468834688</v>
      </c>
      <c r="C58" s="934">
        <f t="shared" si="0"/>
        <v>6.8493150684931781E-3</v>
      </c>
      <c r="D58" s="270"/>
      <c r="E58" s="279"/>
      <c r="F58" s="270"/>
      <c r="G58" s="279"/>
      <c r="H58" s="270"/>
      <c r="I58" s="279"/>
      <c r="J58" s="270"/>
      <c r="K58" s="279"/>
      <c r="L58" s="28"/>
    </row>
    <row r="59" spans="1:12" ht="15.75" thickBot="1" x14ac:dyDescent="0.3">
      <c r="A59" s="926">
        <v>43983</v>
      </c>
      <c r="B59" s="929">
        <f t="shared" si="1"/>
        <v>117.76567299006324</v>
      </c>
      <c r="C59" s="930">
        <f t="shared" si="0"/>
        <v>5.9523809523809312E-3</v>
      </c>
      <c r="D59" s="270"/>
      <c r="E59" s="279"/>
      <c r="F59" s="270"/>
      <c r="G59" s="279"/>
      <c r="H59" s="270"/>
      <c r="I59" s="279"/>
      <c r="J59" s="270"/>
      <c r="K59" s="279"/>
      <c r="L59" s="28"/>
    </row>
    <row r="60" spans="1:12" x14ac:dyDescent="0.25">
      <c r="A60" s="922">
        <v>44075</v>
      </c>
      <c r="B60" s="931">
        <f t="shared" si="1"/>
        <v>118.46251129177959</v>
      </c>
      <c r="C60" s="932">
        <f t="shared" si="0"/>
        <v>5.9171597633136397E-3</v>
      </c>
      <c r="D60" s="270"/>
      <c r="E60" s="279"/>
      <c r="F60" s="270"/>
      <c r="G60" s="279"/>
      <c r="H60" s="270"/>
      <c r="I60" s="279"/>
      <c r="J60" s="270"/>
      <c r="K60" s="279"/>
      <c r="L60" s="28"/>
    </row>
    <row r="61" spans="1:12" x14ac:dyDescent="0.25">
      <c r="A61" s="924">
        <v>44166</v>
      </c>
      <c r="B61" s="933">
        <f t="shared" si="1"/>
        <v>119.25889792231256</v>
      </c>
      <c r="C61" s="934">
        <f t="shared" si="0"/>
        <v>6.7226890756302282E-3</v>
      </c>
      <c r="D61" s="270"/>
      <c r="E61" s="279"/>
      <c r="F61" s="270"/>
      <c r="G61" s="279"/>
      <c r="H61" s="270"/>
      <c r="I61" s="279"/>
      <c r="J61" s="270"/>
      <c r="K61" s="279"/>
      <c r="L61" s="28"/>
    </row>
    <row r="62" spans="1:12" x14ac:dyDescent="0.25">
      <c r="A62" s="924">
        <v>44256</v>
      </c>
      <c r="B62" s="933">
        <f t="shared" si="1"/>
        <v>119.95573622402891</v>
      </c>
      <c r="C62" s="934">
        <f t="shared" si="0"/>
        <v>5.8430717863104942E-3</v>
      </c>
      <c r="D62" s="270"/>
      <c r="E62" s="279"/>
      <c r="F62" s="270"/>
      <c r="G62" s="279"/>
      <c r="H62" s="270"/>
      <c r="I62" s="279"/>
      <c r="J62" s="270"/>
      <c r="K62" s="279"/>
      <c r="L62" s="28"/>
    </row>
    <row r="63" spans="1:12" ht="15.75" thickBot="1" x14ac:dyDescent="0.3">
      <c r="A63" s="926">
        <v>44348</v>
      </c>
      <c r="B63" s="929">
        <f t="shared" si="1"/>
        <v>120.65257452574527</v>
      </c>
      <c r="C63" s="930">
        <f t="shared" si="0"/>
        <v>5.8091286307053736E-3</v>
      </c>
      <c r="D63" s="270"/>
      <c r="E63" s="279"/>
      <c r="F63" s="270"/>
      <c r="G63" s="279"/>
      <c r="H63" s="270"/>
      <c r="I63" s="279"/>
      <c r="J63" s="270"/>
      <c r="K63" s="279"/>
      <c r="L63" s="28"/>
    </row>
  </sheetData>
  <customSheetViews>
    <customSheetView guid="{E49C2F27-B0B9-497E-BEC0-5B59561292FE}" hiddenRows="1" topLeftCell="A4">
      <pane xSplit="1" ySplit="4" topLeftCell="B8" activePane="bottomRight" state="frozen"/>
      <selection pane="bottomRight" activeCell="B354" sqref="B354"/>
      <pageMargins left="0.7" right="0.7" top="0.75" bottom="0.75" header="0.3" footer="0.3"/>
    </customSheetView>
    <customSheetView guid="{A5953138-1481-4137-BEAD-32FA4FDF03E6}" topLeftCell="A4">
      <pane xSplit="1" ySplit="4" topLeftCell="B8" activePane="bottomRight" state="frozen"/>
      <selection pane="bottomRight" activeCell="B354" sqref="B354"/>
      <pageMargins left="0.7" right="0.7" top="0.75" bottom="0.75" header="0.3" footer="0.3"/>
    </customSheetView>
    <customSheetView guid="{2A1F94CA-1A34-4418-88FD-EABF7586C2B2}" hiddenRows="1" topLeftCell="A4">
      <pane xSplit="1" ySplit="4" topLeftCell="B8" activePane="bottomRight" state="frozen"/>
      <selection pane="bottomRight" activeCell="B354" sqref="B354"/>
      <pageMargins left="0.7" right="0.7" top="0.75" bottom="0.75" header="0.3" footer="0.3"/>
    </customSheetView>
  </customSheetViews>
  <mergeCells count="2">
    <mergeCell ref="B4:C4"/>
    <mergeCell ref="A4:A6"/>
  </mergeCell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codeName="Sheet13">
    <tabColor rgb="FF00B050"/>
  </sheetPr>
  <dimension ref="A1:L21"/>
  <sheetViews>
    <sheetView topLeftCell="A5" zoomScale="70" zoomScaleNormal="70" workbookViewId="0">
      <selection activeCell="C21" sqref="C21"/>
    </sheetView>
  </sheetViews>
  <sheetFormatPr defaultRowHeight="15" x14ac:dyDescent="0.25"/>
  <cols>
    <col min="1" max="1" width="19.140625" style="28" customWidth="1"/>
    <col min="2" max="3" width="25.7109375" style="28" customWidth="1"/>
    <col min="4" max="11" width="9.140625" style="28"/>
    <col min="12" max="12" width="9.140625" style="16"/>
    <col min="13" max="16384" width="9.140625" style="28"/>
  </cols>
  <sheetData>
    <row r="1" spans="1:12" s="502" customFormat="1" hidden="1" x14ac:dyDescent="0.25">
      <c r="L1" s="16"/>
    </row>
    <row r="2" spans="1:12" s="502" customFormat="1" hidden="1" x14ac:dyDescent="0.25">
      <c r="L2" s="16"/>
    </row>
    <row r="3" spans="1:12" s="502" customFormat="1" hidden="1" x14ac:dyDescent="0.25">
      <c r="L3" s="16"/>
    </row>
    <row r="4" spans="1:12" s="502" customFormat="1" ht="15.75" hidden="1" thickBot="1" x14ac:dyDescent="0.3">
      <c r="L4" s="16"/>
    </row>
    <row r="5" spans="1:12" ht="30" customHeight="1" thickBot="1" x14ac:dyDescent="0.3">
      <c r="A5" s="1143" t="s">
        <v>9</v>
      </c>
      <c r="B5" s="1152" t="s">
        <v>10</v>
      </c>
      <c r="C5" s="1153"/>
      <c r="L5" s="28"/>
    </row>
    <row r="6" spans="1:12" ht="35.1" customHeight="1" thickBot="1" x14ac:dyDescent="0.3">
      <c r="A6" s="1156"/>
      <c r="B6" s="46" t="s">
        <v>1</v>
      </c>
      <c r="C6" s="47" t="s">
        <v>107</v>
      </c>
      <c r="L6" s="28"/>
    </row>
    <row r="7" spans="1:12" ht="15.75" thickBot="1" x14ac:dyDescent="0.3">
      <c r="A7" s="41" t="s">
        <v>550</v>
      </c>
      <c r="B7" s="271" t="s">
        <v>195</v>
      </c>
      <c r="C7" s="272" t="s">
        <v>196</v>
      </c>
      <c r="L7" s="28"/>
    </row>
    <row r="8" spans="1:12" x14ac:dyDescent="0.25">
      <c r="A8" s="344">
        <v>39600</v>
      </c>
      <c r="B8" s="273">
        <v>87.775000000000006</v>
      </c>
      <c r="C8" s="50"/>
      <c r="L8" s="28"/>
    </row>
    <row r="9" spans="1:12" x14ac:dyDescent="0.25">
      <c r="A9" s="345">
        <v>39965</v>
      </c>
      <c r="B9" s="273">
        <v>91.075000000000003</v>
      </c>
      <c r="C9" s="50">
        <f t="shared" ref="C9:C21" si="0">B9/B8-1</f>
        <v>3.7596126459698009E-2</v>
      </c>
      <c r="L9" s="28"/>
    </row>
    <row r="10" spans="1:12" x14ac:dyDescent="0.25">
      <c r="A10" s="345">
        <v>40330</v>
      </c>
      <c r="B10" s="273">
        <v>93.65</v>
      </c>
      <c r="C10" s="50">
        <f t="shared" si="0"/>
        <v>2.827340104309628E-2</v>
      </c>
      <c r="L10" s="28"/>
    </row>
    <row r="11" spans="1:12" x14ac:dyDescent="0.25">
      <c r="A11" s="345">
        <v>40695</v>
      </c>
      <c r="B11" s="273">
        <v>97.625</v>
      </c>
      <c r="C11" s="50">
        <f t="shared" si="0"/>
        <v>4.2445274959957313E-2</v>
      </c>
      <c r="L11" s="28"/>
    </row>
    <row r="12" spans="1:12" x14ac:dyDescent="0.25">
      <c r="A12" s="485">
        <v>41061</v>
      </c>
      <c r="B12" s="939">
        <v>100.02500000000001</v>
      </c>
      <c r="C12" s="363">
        <f t="shared" si="0"/>
        <v>2.4583866837388113E-2</v>
      </c>
      <c r="L12" s="28"/>
    </row>
    <row r="13" spans="1:12" x14ac:dyDescent="0.25">
      <c r="A13" s="485">
        <v>41426</v>
      </c>
      <c r="B13" s="939">
        <v>102.4</v>
      </c>
      <c r="C13" s="363">
        <f t="shared" si="0"/>
        <v>2.3744063984004082E-2</v>
      </c>
      <c r="L13" s="28"/>
    </row>
    <row r="14" spans="1:12" x14ac:dyDescent="0.25">
      <c r="A14" s="485">
        <v>41791</v>
      </c>
      <c r="B14" s="939">
        <v>104.92500000000001</v>
      </c>
      <c r="C14" s="363">
        <f t="shared" si="0"/>
        <v>2.4658203125E-2</v>
      </c>
      <c r="L14" s="28"/>
    </row>
    <row r="15" spans="1:12" x14ac:dyDescent="0.25">
      <c r="A15" s="485">
        <v>42156</v>
      </c>
      <c r="B15" s="939">
        <v>106.425</v>
      </c>
      <c r="C15" s="363">
        <f t="shared" si="0"/>
        <v>1.4295925661186315E-2</v>
      </c>
      <c r="L15" s="28"/>
    </row>
    <row r="16" spans="1:12" x14ac:dyDescent="0.25">
      <c r="A16" s="946">
        <v>42522</v>
      </c>
      <c r="B16" s="947">
        <v>107.6</v>
      </c>
      <c r="C16" s="943">
        <f t="shared" si="0"/>
        <v>1.1040638947615644E-2</v>
      </c>
      <c r="L16" s="28"/>
    </row>
    <row r="17" spans="1:12" x14ac:dyDescent="0.25">
      <c r="A17" s="946">
        <v>42887</v>
      </c>
      <c r="B17" s="947">
        <v>109.65</v>
      </c>
      <c r="C17" s="943">
        <f t="shared" si="0"/>
        <v>1.9052044609665586E-2</v>
      </c>
      <c r="L17" s="28"/>
    </row>
    <row r="18" spans="1:12" x14ac:dyDescent="0.25">
      <c r="A18" s="924">
        <v>43252</v>
      </c>
      <c r="B18" s="928">
        <f>SimpleAverage($A18,B$7,PBLCI!$B$8:$C$63,PBLCI!$A$8:$A$63,PBLCI!$B$7:$C$7)</f>
        <v>111.56878952122855</v>
      </c>
      <c r="C18" s="925">
        <f t="shared" si="0"/>
        <v>1.7499220439840757E-2</v>
      </c>
      <c r="L18" s="28"/>
    </row>
    <row r="19" spans="1:12" x14ac:dyDescent="0.25">
      <c r="A19" s="924">
        <v>43617</v>
      </c>
      <c r="B19" s="928">
        <f>SimpleAverage($A19,B$7,PBLCI!$B$8:$C$63,PBLCI!$A$8:$A$63,PBLCI!$B$7:$C$7)</f>
        <v>113.9330623306233</v>
      </c>
      <c r="C19" s="925">
        <f t="shared" si="0"/>
        <v>2.1191166629489055E-2</v>
      </c>
      <c r="L19" s="28"/>
    </row>
    <row r="20" spans="1:12" x14ac:dyDescent="0.25">
      <c r="A20" s="924">
        <v>43983</v>
      </c>
      <c r="B20" s="928">
        <f>SimpleAverage($A20,B$7,PBLCI!$B$8:$C$63,PBLCI!$A$8:$A$63,PBLCI!$B$7:$C$7)</f>
        <v>116.67064137308039</v>
      </c>
      <c r="C20" s="925">
        <f t="shared" si="0"/>
        <v>2.4027959807776167E-2</v>
      </c>
      <c r="L20" s="28"/>
    </row>
    <row r="21" spans="1:12" x14ac:dyDescent="0.25">
      <c r="A21" s="924">
        <v>44348</v>
      </c>
      <c r="B21" s="928">
        <f>SimpleAverage($A21,B$7,PBLCI!$B$8:$C$63,PBLCI!$A$8:$A$63,PBLCI!$B$7:$C$7)</f>
        <v>119.58242999096657</v>
      </c>
      <c r="C21" s="925">
        <f t="shared" si="0"/>
        <v>2.4957337883959152E-2</v>
      </c>
      <c r="L21" s="28"/>
    </row>
  </sheetData>
  <customSheetViews>
    <customSheetView guid="{E49C2F27-B0B9-497E-BEC0-5B59561292FE}" hiddenRows="1" topLeftCell="A5">
      <selection activeCell="A5" sqref="A5:A6"/>
      <pageMargins left="0.7" right="0.7" top="0.75" bottom="0.75" header="0.3" footer="0.3"/>
    </customSheetView>
    <customSheetView guid="{A5953138-1481-4137-BEAD-32FA4FDF03E6}" topLeftCell="A5">
      <selection activeCell="A5" sqref="A5:A6"/>
      <pageMargins left="0.7" right="0.7" top="0.75" bottom="0.75" header="0.3" footer="0.3"/>
    </customSheetView>
    <customSheetView guid="{2A1F94CA-1A34-4418-88FD-EABF7586C2B2}" hiddenRows="1" topLeftCell="A5">
      <selection activeCell="A5" sqref="A5:A6"/>
      <pageMargins left="0.7" right="0.7" top="0.75" bottom="0.75" header="0.3" footer="0.3"/>
    </customSheetView>
  </customSheetViews>
  <mergeCells count="2">
    <mergeCell ref="A5:A6"/>
    <mergeCell ref="B5:C5"/>
  </mergeCells>
  <pageMargins left="0.7" right="0.7" top="0.75" bottom="0.75" header="0.3" footer="0.3"/>
  <ignoredErrors>
    <ignoredError sqref="C10:C14" evalError="1"/>
  </ignoredErrors>
  <legacyDrawing r:id="rId1"/>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codeName="Sheet17">
    <tabColor rgb="FFFF0000"/>
  </sheetPr>
  <dimension ref="A1:T91"/>
  <sheetViews>
    <sheetView zoomScale="90" zoomScaleNormal="90" workbookViewId="0">
      <pane xSplit="2" ySplit="7" topLeftCell="C61" activePane="bottomRight" state="frozen"/>
      <selection pane="topRight" activeCell="C1" sqref="C1"/>
      <selection pane="bottomLeft" activeCell="A8" sqref="A8"/>
      <selection pane="bottomRight" activeCell="G99" sqref="G99"/>
    </sheetView>
  </sheetViews>
  <sheetFormatPr defaultRowHeight="15" x14ac:dyDescent="0.25"/>
  <cols>
    <col min="1" max="2" width="11.7109375" style="26" customWidth="1"/>
    <col min="3" max="3" width="13.85546875" style="26" customWidth="1"/>
    <col min="4" max="4" width="17.140625" style="26" bestFit="1" customWidth="1"/>
    <col min="5" max="6" width="13.85546875" style="26" customWidth="1"/>
    <col min="7" max="7" width="15.5703125" style="26" bestFit="1" customWidth="1"/>
    <col min="8" max="8" width="15.5703125" style="26" customWidth="1"/>
    <col min="9" max="9" width="15.5703125" style="26" bestFit="1" customWidth="1"/>
    <col min="10" max="10" width="15.5703125" style="26" customWidth="1"/>
    <col min="11" max="11" width="19.42578125" style="26" bestFit="1" customWidth="1"/>
    <col min="12" max="12" width="22.5703125" style="26" bestFit="1" customWidth="1"/>
    <col min="13" max="13" width="14.28515625" style="26" bestFit="1" customWidth="1"/>
    <col min="14" max="14" width="14.28515625" style="26" customWidth="1"/>
    <col min="15" max="15" width="32.140625" style="26" bestFit="1" customWidth="1"/>
    <col min="16" max="16" width="19.85546875" style="26" customWidth="1"/>
    <col min="17" max="17" width="18.28515625" style="268" bestFit="1" customWidth="1"/>
    <col min="18" max="18" width="18.28515625" style="26" bestFit="1" customWidth="1"/>
    <col min="19" max="19" width="32.5703125" style="26" bestFit="1" customWidth="1"/>
    <col min="20" max="20" width="16.7109375" style="697" bestFit="1" customWidth="1"/>
    <col min="21" max="16384" width="9.140625" style="26"/>
  </cols>
  <sheetData>
    <row r="1" spans="1:20" ht="32.25" customHeight="1" thickBot="1" x14ac:dyDescent="0.3">
      <c r="A1" s="697"/>
      <c r="B1" s="697"/>
      <c r="C1" s="1181" t="s">
        <v>185</v>
      </c>
      <c r="D1" s="1182"/>
      <c r="E1" s="1182"/>
      <c r="F1" s="1182"/>
      <c r="G1" s="1182"/>
      <c r="H1" s="1182"/>
      <c r="I1" s="1182"/>
      <c r="J1" s="1182"/>
      <c r="K1" s="1182"/>
      <c r="L1" s="1182"/>
      <c r="M1" s="1182"/>
      <c r="N1" s="1182"/>
      <c r="O1" s="1182"/>
      <c r="P1" s="1157" t="s">
        <v>186</v>
      </c>
      <c r="Q1" s="1160" t="s">
        <v>262</v>
      </c>
      <c r="R1" s="1161"/>
      <c r="S1" s="1162"/>
      <c r="T1" s="1157" t="s">
        <v>552</v>
      </c>
    </row>
    <row r="2" spans="1:20" ht="15" customHeight="1" x14ac:dyDescent="0.25">
      <c r="A2" s="1168" t="s">
        <v>13</v>
      </c>
      <c r="B2" s="1169"/>
      <c r="C2" s="1168" t="s">
        <v>14</v>
      </c>
      <c r="D2" s="1183"/>
      <c r="E2" s="1183"/>
      <c r="F2" s="1183"/>
      <c r="G2" s="1183"/>
      <c r="H2" s="1183"/>
      <c r="I2" s="1183"/>
      <c r="J2" s="1183"/>
      <c r="K2" s="1168" t="s">
        <v>187</v>
      </c>
      <c r="L2" s="1183"/>
      <c r="M2" s="1183"/>
      <c r="N2" s="1183"/>
      <c r="O2" s="1169"/>
      <c r="P2" s="1158"/>
      <c r="Q2" s="1164" t="s">
        <v>601</v>
      </c>
      <c r="R2" s="1165"/>
      <c r="S2" s="1157" t="s">
        <v>22</v>
      </c>
      <c r="T2" s="1158"/>
    </row>
    <row r="3" spans="1:20" ht="15.75" thickBot="1" x14ac:dyDescent="0.3">
      <c r="A3" s="1170"/>
      <c r="B3" s="1171"/>
      <c r="C3" s="1184"/>
      <c r="D3" s="1185"/>
      <c r="E3" s="1185"/>
      <c r="F3" s="1185"/>
      <c r="G3" s="1185"/>
      <c r="H3" s="1185"/>
      <c r="I3" s="1185"/>
      <c r="J3" s="1185"/>
      <c r="K3" s="1184"/>
      <c r="L3" s="1185"/>
      <c r="M3" s="1185"/>
      <c r="N3" s="1185"/>
      <c r="O3" s="1186"/>
      <c r="P3" s="1158"/>
      <c r="Q3" s="1166"/>
      <c r="R3" s="1167"/>
      <c r="S3" s="1158"/>
      <c r="T3" s="1158"/>
    </row>
    <row r="4" spans="1:20" ht="15.75" customHeight="1" thickBot="1" x14ac:dyDescent="0.3">
      <c r="A4" s="1172" t="s">
        <v>16</v>
      </c>
      <c r="B4" s="1174" t="s">
        <v>17</v>
      </c>
      <c r="C4" s="1190" t="s">
        <v>18</v>
      </c>
      <c r="D4" s="1191"/>
      <c r="E4" s="1190" t="s">
        <v>19</v>
      </c>
      <c r="F4" s="1191"/>
      <c r="G4" s="1190" t="s">
        <v>20</v>
      </c>
      <c r="H4" s="1191"/>
      <c r="I4" s="1192">
        <v>1</v>
      </c>
      <c r="J4" s="1193"/>
      <c r="K4" s="1178" t="s">
        <v>188</v>
      </c>
      <c r="L4" s="1179"/>
      <c r="M4" s="1179"/>
      <c r="N4" s="1180"/>
      <c r="O4" s="1187" t="s">
        <v>189</v>
      </c>
      <c r="P4" s="1158"/>
      <c r="Q4" s="1163" t="s">
        <v>12</v>
      </c>
      <c r="R4" s="1163" t="s">
        <v>21</v>
      </c>
      <c r="S4" s="1158"/>
      <c r="T4" s="1158"/>
    </row>
    <row r="5" spans="1:20" ht="15" customHeight="1" x14ac:dyDescent="0.25">
      <c r="A5" s="1172"/>
      <c r="B5" s="1174"/>
      <c r="C5" s="1172" t="s">
        <v>342</v>
      </c>
      <c r="D5" s="1176" t="s">
        <v>605</v>
      </c>
      <c r="E5" s="1172" t="s">
        <v>342</v>
      </c>
      <c r="F5" s="1176" t="s">
        <v>605</v>
      </c>
      <c r="G5" s="1172" t="s">
        <v>342</v>
      </c>
      <c r="H5" s="1176" t="s">
        <v>605</v>
      </c>
      <c r="I5" s="1172" t="s">
        <v>342</v>
      </c>
      <c r="J5" s="1176" t="s">
        <v>605</v>
      </c>
      <c r="K5" s="1188" t="s">
        <v>181</v>
      </c>
      <c r="L5" s="1189" t="s">
        <v>190</v>
      </c>
      <c r="M5" s="1189" t="s">
        <v>191</v>
      </c>
      <c r="N5" s="1176" t="s">
        <v>605</v>
      </c>
      <c r="O5" s="1176"/>
      <c r="P5" s="1158"/>
      <c r="Q5" s="1163"/>
      <c r="R5" s="1163"/>
      <c r="S5" s="1158"/>
      <c r="T5" s="1158"/>
    </row>
    <row r="6" spans="1:20" ht="15.75" thickBot="1" x14ac:dyDescent="0.3">
      <c r="A6" s="1173"/>
      <c r="B6" s="1175"/>
      <c r="C6" s="1173"/>
      <c r="D6" s="1177"/>
      <c r="E6" s="1173"/>
      <c r="F6" s="1177"/>
      <c r="G6" s="1173"/>
      <c r="H6" s="1177"/>
      <c r="I6" s="1173"/>
      <c r="J6" s="1177"/>
      <c r="K6" s="1188"/>
      <c r="L6" s="1189"/>
      <c r="M6" s="1189"/>
      <c r="N6" s="1177"/>
      <c r="O6" s="1177"/>
      <c r="P6" s="1159"/>
      <c r="Q6" s="1163"/>
      <c r="R6" s="1163"/>
      <c r="S6" s="1158"/>
      <c r="T6" s="1159"/>
    </row>
    <row r="7" spans="1:20" ht="15.75" customHeight="1" thickBot="1" x14ac:dyDescent="0.3">
      <c r="A7" s="713" t="s">
        <v>550</v>
      </c>
      <c r="B7" s="714" t="s">
        <v>551</v>
      </c>
      <c r="C7" s="477" t="s">
        <v>752</v>
      </c>
      <c r="D7" s="478" t="s">
        <v>753</v>
      </c>
      <c r="E7" s="477" t="s">
        <v>754</v>
      </c>
      <c r="F7" s="478" t="s">
        <v>755</v>
      </c>
      <c r="G7" s="48" t="s">
        <v>756</v>
      </c>
      <c r="H7" s="49" t="s">
        <v>757</v>
      </c>
      <c r="I7" s="48" t="s">
        <v>758</v>
      </c>
      <c r="J7" s="49" t="s">
        <v>610</v>
      </c>
      <c r="K7" s="48" t="s">
        <v>759</v>
      </c>
      <c r="L7" s="244" t="s">
        <v>760</v>
      </c>
      <c r="M7" s="244" t="s">
        <v>761</v>
      </c>
      <c r="N7" s="49" t="s">
        <v>609</v>
      </c>
      <c r="O7" s="49" t="s">
        <v>762</v>
      </c>
      <c r="P7" s="48" t="s">
        <v>763</v>
      </c>
      <c r="Q7" s="211" t="s">
        <v>764</v>
      </c>
      <c r="R7" s="245" t="s">
        <v>765</v>
      </c>
      <c r="S7" s="49" t="s">
        <v>766</v>
      </c>
      <c r="T7" s="672" t="s">
        <v>360</v>
      </c>
    </row>
    <row r="8" spans="1:20" x14ac:dyDescent="0.25">
      <c r="A8" s="161">
        <v>36708</v>
      </c>
      <c r="B8" s="162">
        <v>36788</v>
      </c>
      <c r="C8" s="18">
        <v>683</v>
      </c>
      <c r="D8" s="60"/>
      <c r="E8" s="18">
        <v>471.4</v>
      </c>
      <c r="F8" s="60"/>
      <c r="G8" s="18">
        <v>388.65000000000003</v>
      </c>
      <c r="H8" s="60"/>
      <c r="I8" s="18">
        <v>259.10000000000002</v>
      </c>
      <c r="J8" s="60"/>
      <c r="K8" s="18">
        <v>372</v>
      </c>
      <c r="L8" s="20">
        <v>14.9</v>
      </c>
      <c r="M8" s="20">
        <v>25</v>
      </c>
      <c r="N8" s="60">
        <v>0</v>
      </c>
      <c r="O8" s="60">
        <v>411.9</v>
      </c>
      <c r="P8" s="18">
        <v>3247.4</v>
      </c>
      <c r="Q8" s="18">
        <v>106</v>
      </c>
      <c r="R8" s="92">
        <v>94</v>
      </c>
      <c r="S8" s="21">
        <v>0.4</v>
      </c>
      <c r="T8" s="662">
        <f>Pensions!AI8-5</f>
        <v>60</v>
      </c>
    </row>
    <row r="9" spans="1:20" x14ac:dyDescent="0.25">
      <c r="A9" s="163">
        <v>36789</v>
      </c>
      <c r="B9" s="164">
        <v>36891</v>
      </c>
      <c r="C9" s="17">
        <v>694.6</v>
      </c>
      <c r="D9" s="35"/>
      <c r="E9" s="17">
        <v>479.4</v>
      </c>
      <c r="F9" s="35"/>
      <c r="G9" s="17">
        <v>395.25</v>
      </c>
      <c r="H9" s="35"/>
      <c r="I9" s="17">
        <v>263.5</v>
      </c>
      <c r="J9" s="35"/>
      <c r="K9" s="17">
        <v>378.90000000000003</v>
      </c>
      <c r="L9" s="19">
        <v>15.2</v>
      </c>
      <c r="M9" s="19">
        <v>25</v>
      </c>
      <c r="N9" s="35">
        <v>0</v>
      </c>
      <c r="O9" s="35">
        <v>419.1</v>
      </c>
      <c r="P9" s="17">
        <v>3247.4</v>
      </c>
      <c r="Q9" s="17">
        <v>106</v>
      </c>
      <c r="R9" s="93">
        <v>94</v>
      </c>
      <c r="S9" s="22">
        <v>0.4</v>
      </c>
      <c r="T9" s="663">
        <f>Pensions!AI9-5</f>
        <v>60</v>
      </c>
    </row>
    <row r="10" spans="1:20" x14ac:dyDescent="0.25">
      <c r="A10" s="163">
        <v>36892</v>
      </c>
      <c r="B10" s="164">
        <v>36969</v>
      </c>
      <c r="C10" s="17">
        <v>694.6</v>
      </c>
      <c r="D10" s="35"/>
      <c r="E10" s="17">
        <v>479.4</v>
      </c>
      <c r="F10" s="35"/>
      <c r="G10" s="17">
        <v>395.25</v>
      </c>
      <c r="H10" s="35"/>
      <c r="I10" s="17">
        <v>263.5</v>
      </c>
      <c r="J10" s="35"/>
      <c r="K10" s="17">
        <v>378.90000000000003</v>
      </c>
      <c r="L10" s="19">
        <v>15.2</v>
      </c>
      <c r="M10" s="19">
        <v>25</v>
      </c>
      <c r="N10" s="35">
        <v>0</v>
      </c>
      <c r="O10" s="35">
        <v>419.1</v>
      </c>
      <c r="P10" s="17">
        <v>3247.4</v>
      </c>
      <c r="Q10" s="17">
        <v>106</v>
      </c>
      <c r="R10" s="93">
        <v>94</v>
      </c>
      <c r="S10" s="22">
        <v>0.4</v>
      </c>
      <c r="T10" s="663">
        <f>Pensions!AI10-5</f>
        <v>60</v>
      </c>
    </row>
    <row r="11" spans="1:20" ht="15.75" thickBot="1" x14ac:dyDescent="0.3">
      <c r="A11" s="180">
        <v>36970</v>
      </c>
      <c r="B11" s="181">
        <v>37072</v>
      </c>
      <c r="C11" s="65">
        <v>708.5</v>
      </c>
      <c r="D11" s="69"/>
      <c r="E11" s="65">
        <v>489</v>
      </c>
      <c r="F11" s="69"/>
      <c r="G11" s="65">
        <v>403.1</v>
      </c>
      <c r="H11" s="69"/>
      <c r="I11" s="65">
        <v>268.7</v>
      </c>
      <c r="J11" s="69"/>
      <c r="K11" s="65">
        <v>386.5</v>
      </c>
      <c r="L11" s="68">
        <v>15.5</v>
      </c>
      <c r="M11" s="68">
        <v>25</v>
      </c>
      <c r="N11" s="69">
        <v>0</v>
      </c>
      <c r="O11" s="69">
        <v>427</v>
      </c>
      <c r="P11" s="65">
        <v>3247.4</v>
      </c>
      <c r="Q11" s="65">
        <v>106</v>
      </c>
      <c r="R11" s="94">
        <v>94</v>
      </c>
      <c r="S11" s="246">
        <v>0.4</v>
      </c>
      <c r="T11" s="664">
        <f>Pensions!AI11-5</f>
        <v>60</v>
      </c>
    </row>
    <row r="12" spans="1:20" x14ac:dyDescent="0.25">
      <c r="A12" s="163">
        <v>37073</v>
      </c>
      <c r="B12" s="164">
        <v>37153</v>
      </c>
      <c r="C12" s="17">
        <v>708.5</v>
      </c>
      <c r="D12" s="35"/>
      <c r="E12" s="17">
        <v>489</v>
      </c>
      <c r="F12" s="35"/>
      <c r="G12" s="17">
        <v>403.1</v>
      </c>
      <c r="H12" s="35"/>
      <c r="I12" s="17">
        <v>268.7</v>
      </c>
      <c r="J12" s="35"/>
      <c r="K12" s="17">
        <v>386.5</v>
      </c>
      <c r="L12" s="19">
        <v>15.5</v>
      </c>
      <c r="M12" s="19">
        <v>25</v>
      </c>
      <c r="N12" s="35">
        <v>0</v>
      </c>
      <c r="O12" s="35">
        <v>427</v>
      </c>
      <c r="P12" s="17">
        <v>3247.4</v>
      </c>
      <c r="Q12" s="17">
        <v>112</v>
      </c>
      <c r="R12" s="93">
        <v>100</v>
      </c>
      <c r="S12" s="22">
        <v>0.4</v>
      </c>
      <c r="T12" s="663">
        <f>Pensions!AI12-5</f>
        <v>60</v>
      </c>
    </row>
    <row r="13" spans="1:20" x14ac:dyDescent="0.25">
      <c r="A13" s="163">
        <v>37154</v>
      </c>
      <c r="B13" s="164">
        <v>37256</v>
      </c>
      <c r="C13" s="17">
        <v>722</v>
      </c>
      <c r="D13" s="35"/>
      <c r="E13" s="17">
        <v>498.3</v>
      </c>
      <c r="F13" s="35"/>
      <c r="G13" s="17">
        <v>410.70000000000005</v>
      </c>
      <c r="H13" s="35"/>
      <c r="I13" s="17">
        <v>273.8</v>
      </c>
      <c r="J13" s="35"/>
      <c r="K13" s="17">
        <v>394.70000000000005</v>
      </c>
      <c r="L13" s="19">
        <v>15.8</v>
      </c>
      <c r="M13" s="19">
        <v>25</v>
      </c>
      <c r="N13" s="35">
        <v>0</v>
      </c>
      <c r="O13" s="35">
        <v>435.50000000000006</v>
      </c>
      <c r="P13" s="17">
        <v>3247.4</v>
      </c>
      <c r="Q13" s="17">
        <v>112</v>
      </c>
      <c r="R13" s="93">
        <v>100</v>
      </c>
      <c r="S13" s="22">
        <v>0.4</v>
      </c>
      <c r="T13" s="663">
        <f>Pensions!AI13-5</f>
        <v>60</v>
      </c>
    </row>
    <row r="14" spans="1:20" x14ac:dyDescent="0.25">
      <c r="A14" s="163">
        <v>37257</v>
      </c>
      <c r="B14" s="164">
        <v>37334</v>
      </c>
      <c r="C14" s="17">
        <v>722</v>
      </c>
      <c r="D14" s="35"/>
      <c r="E14" s="17">
        <v>498.3</v>
      </c>
      <c r="F14" s="35"/>
      <c r="G14" s="17">
        <v>410.70000000000005</v>
      </c>
      <c r="H14" s="35"/>
      <c r="I14" s="17">
        <v>273.8</v>
      </c>
      <c r="J14" s="35"/>
      <c r="K14" s="17">
        <v>394.70000000000005</v>
      </c>
      <c r="L14" s="19">
        <v>15.8</v>
      </c>
      <c r="M14" s="19">
        <v>25</v>
      </c>
      <c r="N14" s="35">
        <v>0</v>
      </c>
      <c r="O14" s="35">
        <v>435.50000000000006</v>
      </c>
      <c r="P14" s="17">
        <v>3247.4</v>
      </c>
      <c r="Q14" s="17">
        <v>112</v>
      </c>
      <c r="R14" s="93">
        <v>100</v>
      </c>
      <c r="S14" s="22">
        <v>0.4</v>
      </c>
      <c r="T14" s="663">
        <f>Pensions!AI14-5</f>
        <v>60</v>
      </c>
    </row>
    <row r="15" spans="1:20" ht="15.75" thickBot="1" x14ac:dyDescent="0.3">
      <c r="A15" s="163">
        <v>37335</v>
      </c>
      <c r="B15" s="164">
        <v>37437</v>
      </c>
      <c r="C15" s="17">
        <v>730.7</v>
      </c>
      <c r="D15" s="35"/>
      <c r="E15" s="17">
        <v>504.3</v>
      </c>
      <c r="F15" s="35"/>
      <c r="G15" s="17">
        <v>415.65000000000003</v>
      </c>
      <c r="H15" s="35"/>
      <c r="I15" s="17">
        <v>277.10000000000002</v>
      </c>
      <c r="J15" s="35"/>
      <c r="K15" s="17">
        <v>405.8</v>
      </c>
      <c r="L15" s="19">
        <v>16</v>
      </c>
      <c r="M15" s="19">
        <v>25</v>
      </c>
      <c r="N15" s="35">
        <v>0</v>
      </c>
      <c r="O15" s="35">
        <v>446.8</v>
      </c>
      <c r="P15" s="17">
        <v>3247.4</v>
      </c>
      <c r="Q15" s="17">
        <v>112</v>
      </c>
      <c r="R15" s="93">
        <v>100</v>
      </c>
      <c r="S15" s="22">
        <v>0.4</v>
      </c>
      <c r="T15" s="663">
        <f>Pensions!AI15-5</f>
        <v>60</v>
      </c>
    </row>
    <row r="16" spans="1:20" x14ac:dyDescent="0.25">
      <c r="A16" s="161">
        <v>37438</v>
      </c>
      <c r="B16" s="162">
        <v>37518</v>
      </c>
      <c r="C16" s="18">
        <v>730.7</v>
      </c>
      <c r="D16" s="60"/>
      <c r="E16" s="18">
        <v>504.3</v>
      </c>
      <c r="F16" s="60"/>
      <c r="G16" s="18">
        <v>415.65000000000003</v>
      </c>
      <c r="H16" s="60"/>
      <c r="I16" s="18">
        <v>277.10000000000002</v>
      </c>
      <c r="J16" s="60"/>
      <c r="K16" s="18">
        <v>405.8</v>
      </c>
      <c r="L16" s="20">
        <v>16</v>
      </c>
      <c r="M16" s="20">
        <v>25</v>
      </c>
      <c r="N16" s="60">
        <v>0</v>
      </c>
      <c r="O16" s="60">
        <v>446.8</v>
      </c>
      <c r="P16" s="18">
        <v>3247.4</v>
      </c>
      <c r="Q16" s="18">
        <v>116</v>
      </c>
      <c r="R16" s="92">
        <v>102</v>
      </c>
      <c r="S16" s="21">
        <v>0.4</v>
      </c>
      <c r="T16" s="662">
        <f>Pensions!AI16-5</f>
        <v>60</v>
      </c>
    </row>
    <row r="17" spans="1:20" x14ac:dyDescent="0.25">
      <c r="A17" s="163">
        <v>37519</v>
      </c>
      <c r="B17" s="164">
        <v>37621</v>
      </c>
      <c r="C17" s="17">
        <v>742.4</v>
      </c>
      <c r="D17" s="35"/>
      <c r="E17" s="17">
        <v>512.4</v>
      </c>
      <c r="F17" s="35"/>
      <c r="G17" s="17">
        <v>422.25</v>
      </c>
      <c r="H17" s="35"/>
      <c r="I17" s="17">
        <v>281.5</v>
      </c>
      <c r="J17" s="35"/>
      <c r="K17" s="17">
        <v>413.1</v>
      </c>
      <c r="L17" s="19">
        <v>16.3</v>
      </c>
      <c r="M17" s="19">
        <v>25</v>
      </c>
      <c r="N17" s="35">
        <v>0</v>
      </c>
      <c r="O17" s="35">
        <v>454.40000000000003</v>
      </c>
      <c r="P17" s="17">
        <v>3307.2000000000003</v>
      </c>
      <c r="Q17" s="17">
        <v>116</v>
      </c>
      <c r="R17" s="93">
        <v>102</v>
      </c>
      <c r="S17" s="22">
        <v>0.4</v>
      </c>
      <c r="T17" s="663">
        <f>Pensions!AI17-5</f>
        <v>60</v>
      </c>
    </row>
    <row r="18" spans="1:20" x14ac:dyDescent="0.25">
      <c r="A18" s="163">
        <v>37622</v>
      </c>
      <c r="B18" s="164">
        <v>37699</v>
      </c>
      <c r="C18" s="17">
        <v>742.4</v>
      </c>
      <c r="D18" s="35"/>
      <c r="E18" s="17">
        <v>512.4</v>
      </c>
      <c r="F18" s="35"/>
      <c r="G18" s="17">
        <v>422.25</v>
      </c>
      <c r="H18" s="35"/>
      <c r="I18" s="17">
        <v>281.5</v>
      </c>
      <c r="J18" s="35"/>
      <c r="K18" s="17">
        <v>413.1</v>
      </c>
      <c r="L18" s="19">
        <v>16.3</v>
      </c>
      <c r="M18" s="19">
        <v>25</v>
      </c>
      <c r="N18" s="35">
        <v>0</v>
      </c>
      <c r="O18" s="35">
        <v>454.40000000000003</v>
      </c>
      <c r="P18" s="17">
        <v>3307.2000000000003</v>
      </c>
      <c r="Q18" s="17">
        <v>116</v>
      </c>
      <c r="R18" s="93">
        <v>102</v>
      </c>
      <c r="S18" s="22">
        <v>0.4</v>
      </c>
      <c r="T18" s="663">
        <f>Pensions!AI18-5</f>
        <v>60</v>
      </c>
    </row>
    <row r="19" spans="1:20" ht="15.75" thickBot="1" x14ac:dyDescent="0.3">
      <c r="A19" s="180">
        <v>37700</v>
      </c>
      <c r="B19" s="181">
        <v>37802</v>
      </c>
      <c r="C19" s="65">
        <v>752.8</v>
      </c>
      <c r="D19" s="69"/>
      <c r="E19" s="65">
        <v>519.6</v>
      </c>
      <c r="F19" s="69"/>
      <c r="G19" s="65">
        <v>428.09999999999997</v>
      </c>
      <c r="H19" s="69"/>
      <c r="I19" s="65">
        <v>285.40000000000003</v>
      </c>
      <c r="J19" s="69"/>
      <c r="K19" s="65">
        <v>423.8</v>
      </c>
      <c r="L19" s="68">
        <v>16.5</v>
      </c>
      <c r="M19" s="68">
        <v>25</v>
      </c>
      <c r="N19" s="69">
        <v>0</v>
      </c>
      <c r="O19" s="69">
        <v>465.3</v>
      </c>
      <c r="P19" s="65">
        <v>3395.6</v>
      </c>
      <c r="Q19" s="65">
        <v>116</v>
      </c>
      <c r="R19" s="94">
        <v>102</v>
      </c>
      <c r="S19" s="246">
        <v>0.4</v>
      </c>
      <c r="T19" s="664">
        <f>Pensions!AI19-5</f>
        <v>60</v>
      </c>
    </row>
    <row r="20" spans="1:20" x14ac:dyDescent="0.25">
      <c r="A20" s="163">
        <v>37803</v>
      </c>
      <c r="B20" s="164">
        <v>37883</v>
      </c>
      <c r="C20" s="17">
        <v>752.8</v>
      </c>
      <c r="D20" s="35"/>
      <c r="E20" s="17">
        <v>519.6</v>
      </c>
      <c r="F20" s="35"/>
      <c r="G20" s="17">
        <v>428.09999999999997</v>
      </c>
      <c r="H20" s="35"/>
      <c r="I20" s="17">
        <v>285.40000000000003</v>
      </c>
      <c r="J20" s="35"/>
      <c r="K20" s="17">
        <v>423.8</v>
      </c>
      <c r="L20" s="19">
        <v>16.5</v>
      </c>
      <c r="M20" s="19">
        <v>25</v>
      </c>
      <c r="N20" s="35">
        <v>0</v>
      </c>
      <c r="O20" s="35">
        <v>465.3</v>
      </c>
      <c r="P20" s="17">
        <v>3395.6</v>
      </c>
      <c r="Q20" s="17">
        <v>120</v>
      </c>
      <c r="R20" s="93">
        <v>106</v>
      </c>
      <c r="S20" s="22">
        <v>0.4</v>
      </c>
      <c r="T20" s="663">
        <f>Pensions!AI20-5</f>
        <v>60</v>
      </c>
    </row>
    <row r="21" spans="1:20" x14ac:dyDescent="0.25">
      <c r="A21" s="163">
        <v>37884</v>
      </c>
      <c r="B21" s="164">
        <v>37986</v>
      </c>
      <c r="C21" s="17">
        <v>762.6</v>
      </c>
      <c r="D21" s="35"/>
      <c r="E21" s="17">
        <v>526.4</v>
      </c>
      <c r="F21" s="35"/>
      <c r="G21" s="17">
        <v>433.65000000000003</v>
      </c>
      <c r="H21" s="35"/>
      <c r="I21" s="17">
        <v>289.10000000000002</v>
      </c>
      <c r="J21" s="35"/>
      <c r="K21" s="17">
        <v>436.1</v>
      </c>
      <c r="L21" s="19">
        <v>16.7</v>
      </c>
      <c r="M21" s="19">
        <v>25</v>
      </c>
      <c r="N21" s="35">
        <v>0</v>
      </c>
      <c r="O21" s="35">
        <v>477.8</v>
      </c>
      <c r="P21" s="17">
        <v>3494.4</v>
      </c>
      <c r="Q21" s="17">
        <v>120</v>
      </c>
      <c r="R21" s="93">
        <v>106</v>
      </c>
      <c r="S21" s="22">
        <v>0.4</v>
      </c>
      <c r="T21" s="663">
        <f>Pensions!AI21-5</f>
        <v>60</v>
      </c>
    </row>
    <row r="22" spans="1:20" x14ac:dyDescent="0.25">
      <c r="A22" s="163">
        <v>37987</v>
      </c>
      <c r="B22" s="164">
        <v>38065</v>
      </c>
      <c r="C22" s="17">
        <v>762.6</v>
      </c>
      <c r="D22" s="35"/>
      <c r="E22" s="17">
        <v>526.4</v>
      </c>
      <c r="F22" s="35"/>
      <c r="G22" s="17">
        <v>433.65000000000003</v>
      </c>
      <c r="H22" s="35"/>
      <c r="I22" s="17">
        <v>289.10000000000002</v>
      </c>
      <c r="J22" s="35"/>
      <c r="K22" s="17">
        <v>436.1</v>
      </c>
      <c r="L22" s="19">
        <v>16.7</v>
      </c>
      <c r="M22" s="19">
        <v>25</v>
      </c>
      <c r="N22" s="35">
        <v>0</v>
      </c>
      <c r="O22" s="35">
        <v>477.8</v>
      </c>
      <c r="P22" s="17">
        <v>3494.4</v>
      </c>
      <c r="Q22" s="17">
        <v>120</v>
      </c>
      <c r="R22" s="93">
        <v>106</v>
      </c>
      <c r="S22" s="22">
        <v>0.4</v>
      </c>
      <c r="T22" s="663">
        <f>Pensions!AI22-5</f>
        <v>60</v>
      </c>
    </row>
    <row r="23" spans="1:20" ht="15.75" thickBot="1" x14ac:dyDescent="0.3">
      <c r="A23" s="163">
        <v>38066</v>
      </c>
      <c r="B23" s="164">
        <v>38168</v>
      </c>
      <c r="C23" s="17">
        <v>778.2</v>
      </c>
      <c r="D23" s="35"/>
      <c r="E23" s="17">
        <v>535.80000000000007</v>
      </c>
      <c r="F23" s="35"/>
      <c r="G23" s="17">
        <v>440.70000000000005</v>
      </c>
      <c r="H23" s="35"/>
      <c r="I23" s="17">
        <v>292.3</v>
      </c>
      <c r="J23" s="35"/>
      <c r="K23" s="17">
        <v>447.3</v>
      </c>
      <c r="L23" s="19">
        <v>16.900000000000002</v>
      </c>
      <c r="M23" s="19">
        <v>25</v>
      </c>
      <c r="N23" s="35">
        <v>0</v>
      </c>
      <c r="O23" s="35">
        <v>489.2</v>
      </c>
      <c r="P23" s="17">
        <v>3585.4</v>
      </c>
      <c r="Q23" s="17">
        <v>120</v>
      </c>
      <c r="R23" s="93">
        <v>106</v>
      </c>
      <c r="S23" s="22">
        <v>0.4</v>
      </c>
      <c r="T23" s="663">
        <f>Pensions!AI23-5</f>
        <v>60</v>
      </c>
    </row>
    <row r="24" spans="1:20" x14ac:dyDescent="0.25">
      <c r="A24" s="161">
        <v>38169</v>
      </c>
      <c r="B24" s="162">
        <v>38249</v>
      </c>
      <c r="C24" s="18">
        <v>778.2</v>
      </c>
      <c r="D24" s="60"/>
      <c r="E24" s="18">
        <v>535.80000000000007</v>
      </c>
      <c r="F24" s="60"/>
      <c r="G24" s="18">
        <v>440.70000000000005</v>
      </c>
      <c r="H24" s="60"/>
      <c r="I24" s="18">
        <v>292.3</v>
      </c>
      <c r="J24" s="60"/>
      <c r="K24" s="18">
        <v>447.3</v>
      </c>
      <c r="L24" s="20">
        <v>16.900000000000002</v>
      </c>
      <c r="M24" s="20">
        <v>25</v>
      </c>
      <c r="N24" s="60">
        <v>0</v>
      </c>
      <c r="O24" s="60">
        <v>489.2</v>
      </c>
      <c r="P24" s="18">
        <v>3585.4</v>
      </c>
      <c r="Q24" s="18">
        <v>122</v>
      </c>
      <c r="R24" s="92">
        <v>108</v>
      </c>
      <c r="S24" s="21">
        <v>0.4</v>
      </c>
      <c r="T24" s="662">
        <f>Pensions!AI24-5</f>
        <v>60</v>
      </c>
    </row>
    <row r="25" spans="1:20" x14ac:dyDescent="0.25">
      <c r="A25" s="163">
        <v>38250</v>
      </c>
      <c r="B25" s="164">
        <v>38352</v>
      </c>
      <c r="C25" s="17">
        <v>789.2</v>
      </c>
      <c r="D25" s="35"/>
      <c r="E25" s="17">
        <v>543.4</v>
      </c>
      <c r="F25" s="35"/>
      <c r="G25" s="17">
        <v>446.90000000000003</v>
      </c>
      <c r="H25" s="35"/>
      <c r="I25" s="17">
        <v>296.40000000000003</v>
      </c>
      <c r="J25" s="35"/>
      <c r="K25" s="17">
        <v>453.6</v>
      </c>
      <c r="L25" s="19">
        <v>17.100000000000001</v>
      </c>
      <c r="M25" s="19">
        <v>25</v>
      </c>
      <c r="N25" s="35">
        <v>0</v>
      </c>
      <c r="O25" s="35">
        <v>495.70000000000005</v>
      </c>
      <c r="P25" s="17">
        <v>3637.4</v>
      </c>
      <c r="Q25" s="17">
        <v>122</v>
      </c>
      <c r="R25" s="93">
        <v>108</v>
      </c>
      <c r="S25" s="22">
        <v>0.4</v>
      </c>
      <c r="T25" s="663">
        <f>Pensions!AI25-5</f>
        <v>60</v>
      </c>
    </row>
    <row r="26" spans="1:20" x14ac:dyDescent="0.25">
      <c r="A26" s="163">
        <v>38353</v>
      </c>
      <c r="B26" s="164">
        <v>38430</v>
      </c>
      <c r="C26" s="17">
        <v>789.2</v>
      </c>
      <c r="D26" s="35"/>
      <c r="E26" s="17">
        <v>543.4</v>
      </c>
      <c r="F26" s="35"/>
      <c r="G26" s="17">
        <v>446.90000000000003</v>
      </c>
      <c r="H26" s="35"/>
      <c r="I26" s="17">
        <v>296.40000000000003</v>
      </c>
      <c r="J26" s="35"/>
      <c r="K26" s="17">
        <v>453.6</v>
      </c>
      <c r="L26" s="19">
        <v>17.100000000000001</v>
      </c>
      <c r="M26" s="19">
        <v>25</v>
      </c>
      <c r="N26" s="35">
        <v>0</v>
      </c>
      <c r="O26" s="35">
        <v>495.70000000000005</v>
      </c>
      <c r="P26" s="17">
        <v>3637.4</v>
      </c>
      <c r="Q26" s="17">
        <v>122</v>
      </c>
      <c r="R26" s="93">
        <v>108</v>
      </c>
      <c r="S26" s="22">
        <v>0.4</v>
      </c>
      <c r="T26" s="663">
        <f>Pensions!AI26-5</f>
        <v>60</v>
      </c>
    </row>
    <row r="27" spans="1:20" ht="15.75" thickBot="1" x14ac:dyDescent="0.3">
      <c r="A27" s="180">
        <v>38431</v>
      </c>
      <c r="B27" s="181">
        <v>38533</v>
      </c>
      <c r="C27" s="65">
        <v>798.80000000000007</v>
      </c>
      <c r="D27" s="69"/>
      <c r="E27" s="65">
        <v>550</v>
      </c>
      <c r="F27" s="69"/>
      <c r="G27" s="65">
        <v>452.40000000000003</v>
      </c>
      <c r="H27" s="69"/>
      <c r="I27" s="65">
        <v>300</v>
      </c>
      <c r="J27" s="69"/>
      <c r="K27" s="65">
        <v>459</v>
      </c>
      <c r="L27" s="68">
        <v>17.3</v>
      </c>
      <c r="M27" s="68">
        <v>25</v>
      </c>
      <c r="N27" s="69">
        <v>0</v>
      </c>
      <c r="O27" s="69">
        <v>501.3</v>
      </c>
      <c r="P27" s="65">
        <v>3681.6</v>
      </c>
      <c r="Q27" s="65">
        <v>122</v>
      </c>
      <c r="R27" s="94">
        <v>108</v>
      </c>
      <c r="S27" s="246">
        <v>0.4</v>
      </c>
      <c r="T27" s="664">
        <f>Pensions!AI27-5</f>
        <v>60</v>
      </c>
    </row>
    <row r="28" spans="1:20" x14ac:dyDescent="0.25">
      <c r="A28" s="163">
        <v>38534</v>
      </c>
      <c r="B28" s="164">
        <v>38614</v>
      </c>
      <c r="C28" s="17">
        <v>798.80000000000007</v>
      </c>
      <c r="D28" s="35"/>
      <c r="E28" s="17">
        <v>550</v>
      </c>
      <c r="F28" s="35"/>
      <c r="G28" s="17">
        <v>452.40000000000003</v>
      </c>
      <c r="H28" s="35"/>
      <c r="I28" s="17">
        <v>300</v>
      </c>
      <c r="J28" s="35"/>
      <c r="K28" s="17">
        <v>459</v>
      </c>
      <c r="L28" s="19">
        <v>17.3</v>
      </c>
      <c r="M28" s="19">
        <v>25</v>
      </c>
      <c r="N28" s="35">
        <v>0</v>
      </c>
      <c r="O28" s="35">
        <v>501.3</v>
      </c>
      <c r="P28" s="17">
        <v>3681.6</v>
      </c>
      <c r="Q28" s="17">
        <v>124</v>
      </c>
      <c r="R28" s="93">
        <v>110</v>
      </c>
      <c r="S28" s="22">
        <v>0.4</v>
      </c>
      <c r="T28" s="663">
        <f>Pensions!AI28-5</f>
        <v>60</v>
      </c>
    </row>
    <row r="29" spans="1:20" x14ac:dyDescent="0.25">
      <c r="A29" s="163">
        <v>38615</v>
      </c>
      <c r="B29" s="164">
        <v>38717</v>
      </c>
      <c r="C29" s="17">
        <v>816.2</v>
      </c>
      <c r="D29" s="35"/>
      <c r="E29" s="17">
        <v>560.70000000000005</v>
      </c>
      <c r="F29" s="35"/>
      <c r="G29" s="17">
        <v>460.5</v>
      </c>
      <c r="H29" s="35"/>
      <c r="I29" s="17">
        <v>303.90000000000003</v>
      </c>
      <c r="J29" s="35"/>
      <c r="K29" s="17">
        <v>471.40000000000003</v>
      </c>
      <c r="L29" s="19">
        <v>17.5</v>
      </c>
      <c r="M29" s="19">
        <v>25</v>
      </c>
      <c r="N29" s="35">
        <v>0</v>
      </c>
      <c r="O29" s="35">
        <v>513.90000000000009</v>
      </c>
      <c r="P29" s="17">
        <v>3783</v>
      </c>
      <c r="Q29" s="17">
        <v>124</v>
      </c>
      <c r="R29" s="93">
        <v>110</v>
      </c>
      <c r="S29" s="22">
        <v>0.4</v>
      </c>
      <c r="T29" s="663">
        <f>Pensions!AI29-5</f>
        <v>60</v>
      </c>
    </row>
    <row r="30" spans="1:20" x14ac:dyDescent="0.25">
      <c r="A30" s="163">
        <v>38718</v>
      </c>
      <c r="B30" s="164">
        <v>38795</v>
      </c>
      <c r="C30" s="17">
        <v>816.2</v>
      </c>
      <c r="D30" s="35"/>
      <c r="E30" s="17">
        <v>560.70000000000005</v>
      </c>
      <c r="F30" s="35"/>
      <c r="G30" s="17">
        <v>460.5</v>
      </c>
      <c r="H30" s="35"/>
      <c r="I30" s="17">
        <v>303.90000000000003</v>
      </c>
      <c r="J30" s="35"/>
      <c r="K30" s="17">
        <v>471.40000000000003</v>
      </c>
      <c r="L30" s="19">
        <v>17.5</v>
      </c>
      <c r="M30" s="19">
        <v>25</v>
      </c>
      <c r="N30" s="35">
        <v>0</v>
      </c>
      <c r="O30" s="35">
        <v>513.90000000000009</v>
      </c>
      <c r="P30" s="17">
        <v>3783</v>
      </c>
      <c r="Q30" s="17">
        <v>124</v>
      </c>
      <c r="R30" s="93">
        <v>110</v>
      </c>
      <c r="S30" s="22">
        <v>0.4</v>
      </c>
      <c r="T30" s="663">
        <f>Pensions!AI30-5</f>
        <v>60</v>
      </c>
    </row>
    <row r="31" spans="1:20" ht="15.75" thickBot="1" x14ac:dyDescent="0.3">
      <c r="A31" s="163">
        <v>38796</v>
      </c>
      <c r="B31" s="164">
        <v>38898</v>
      </c>
      <c r="C31" s="17">
        <v>832.1</v>
      </c>
      <c r="D31" s="35"/>
      <c r="E31" s="17">
        <v>571</v>
      </c>
      <c r="F31" s="35"/>
      <c r="G31" s="17">
        <v>468.6</v>
      </c>
      <c r="H31" s="35"/>
      <c r="I31" s="17">
        <v>308.5</v>
      </c>
      <c r="J31" s="35"/>
      <c r="K31" s="17">
        <v>481.90000000000003</v>
      </c>
      <c r="L31" s="19">
        <v>17.8</v>
      </c>
      <c r="M31" s="19">
        <v>25</v>
      </c>
      <c r="N31" s="35">
        <v>0</v>
      </c>
      <c r="O31" s="35">
        <v>524.70000000000005</v>
      </c>
      <c r="P31" s="17">
        <v>3868.8</v>
      </c>
      <c r="Q31" s="17">
        <v>124</v>
      </c>
      <c r="R31" s="93">
        <v>110</v>
      </c>
      <c r="S31" s="22">
        <v>0.4</v>
      </c>
      <c r="T31" s="663">
        <f>Pensions!AI31-5</f>
        <v>60</v>
      </c>
    </row>
    <row r="32" spans="1:20" x14ac:dyDescent="0.25">
      <c r="A32" s="161">
        <v>38899</v>
      </c>
      <c r="B32" s="162">
        <v>38979</v>
      </c>
      <c r="C32" s="18">
        <v>832.1</v>
      </c>
      <c r="D32" s="60"/>
      <c r="E32" s="18">
        <v>571</v>
      </c>
      <c r="F32" s="60"/>
      <c r="G32" s="18">
        <v>468.6</v>
      </c>
      <c r="H32" s="60"/>
      <c r="I32" s="18">
        <v>308.5</v>
      </c>
      <c r="J32" s="60"/>
      <c r="K32" s="18">
        <v>481.90000000000003</v>
      </c>
      <c r="L32" s="20">
        <v>17.8</v>
      </c>
      <c r="M32" s="20">
        <v>25</v>
      </c>
      <c r="N32" s="60">
        <v>0</v>
      </c>
      <c r="O32" s="60">
        <v>524.70000000000005</v>
      </c>
      <c r="P32" s="18">
        <v>3868.8</v>
      </c>
      <c r="Q32" s="18">
        <v>128</v>
      </c>
      <c r="R32" s="92">
        <v>114</v>
      </c>
      <c r="S32" s="21">
        <v>0.4</v>
      </c>
      <c r="T32" s="662">
        <f>Pensions!AI32-5</f>
        <v>60</v>
      </c>
    </row>
    <row r="33" spans="1:20" x14ac:dyDescent="0.25">
      <c r="A33" s="163">
        <v>38980</v>
      </c>
      <c r="B33" s="164">
        <v>39082</v>
      </c>
      <c r="C33" s="17">
        <v>852.90000000000009</v>
      </c>
      <c r="D33" s="35"/>
      <c r="E33" s="17">
        <v>585.30000000000007</v>
      </c>
      <c r="F33" s="35"/>
      <c r="G33" s="17">
        <v>480.40000000000003</v>
      </c>
      <c r="H33" s="35"/>
      <c r="I33" s="17">
        <v>316.20000000000005</v>
      </c>
      <c r="J33" s="35"/>
      <c r="K33" s="17">
        <v>493.90000000000003</v>
      </c>
      <c r="L33" s="19">
        <v>18.2</v>
      </c>
      <c r="M33" s="19">
        <v>25</v>
      </c>
      <c r="N33" s="35">
        <v>0</v>
      </c>
      <c r="O33" s="35">
        <v>537.1</v>
      </c>
      <c r="P33" s="17">
        <v>3967.6</v>
      </c>
      <c r="Q33" s="17">
        <v>128</v>
      </c>
      <c r="R33" s="93">
        <v>114</v>
      </c>
      <c r="S33" s="22">
        <v>0.4</v>
      </c>
      <c r="T33" s="663">
        <f>Pensions!AI33-5</f>
        <v>60</v>
      </c>
    </row>
    <row r="34" spans="1:20" x14ac:dyDescent="0.25">
      <c r="A34" s="163">
        <v>39083</v>
      </c>
      <c r="B34" s="164">
        <v>39160</v>
      </c>
      <c r="C34" s="17">
        <v>852.90000000000009</v>
      </c>
      <c r="D34" s="35"/>
      <c r="E34" s="17">
        <v>585.30000000000007</v>
      </c>
      <c r="F34" s="35"/>
      <c r="G34" s="17">
        <v>480.40000000000003</v>
      </c>
      <c r="H34" s="35"/>
      <c r="I34" s="17">
        <v>316.20000000000005</v>
      </c>
      <c r="J34" s="35"/>
      <c r="K34" s="17">
        <v>493.90000000000003</v>
      </c>
      <c r="L34" s="19">
        <v>18.2</v>
      </c>
      <c r="M34" s="19">
        <v>25</v>
      </c>
      <c r="N34" s="35">
        <v>0</v>
      </c>
      <c r="O34" s="35">
        <v>537.1</v>
      </c>
      <c r="P34" s="17">
        <v>3967.6</v>
      </c>
      <c r="Q34" s="17">
        <v>128</v>
      </c>
      <c r="R34" s="93">
        <v>114</v>
      </c>
      <c r="S34" s="22">
        <v>0.4</v>
      </c>
      <c r="T34" s="663">
        <f>Pensions!AI34-5</f>
        <v>60</v>
      </c>
    </row>
    <row r="35" spans="1:20" ht="15.75" thickBot="1" x14ac:dyDescent="0.3">
      <c r="A35" s="180">
        <v>39161</v>
      </c>
      <c r="B35" s="181">
        <v>39263</v>
      </c>
      <c r="C35" s="65">
        <v>869.40000000000009</v>
      </c>
      <c r="D35" s="69"/>
      <c r="E35" s="65">
        <v>594.80000000000007</v>
      </c>
      <c r="F35" s="69"/>
      <c r="G35" s="65">
        <v>487.20000000000005</v>
      </c>
      <c r="H35" s="69"/>
      <c r="I35" s="65">
        <v>318.70000000000005</v>
      </c>
      <c r="J35" s="69"/>
      <c r="K35" s="65">
        <v>506.8</v>
      </c>
      <c r="L35" s="68">
        <v>18.3</v>
      </c>
      <c r="M35" s="68">
        <v>25</v>
      </c>
      <c r="N35" s="69">
        <v>0</v>
      </c>
      <c r="O35" s="69">
        <v>550.1</v>
      </c>
      <c r="P35" s="65">
        <v>4071.6000000000004</v>
      </c>
      <c r="Q35" s="65">
        <v>128</v>
      </c>
      <c r="R35" s="94">
        <v>114</v>
      </c>
      <c r="S35" s="246">
        <v>0.4</v>
      </c>
      <c r="T35" s="664">
        <f>Pensions!AI35-5</f>
        <v>60</v>
      </c>
    </row>
    <row r="36" spans="1:20" x14ac:dyDescent="0.25">
      <c r="A36" s="163">
        <v>39264</v>
      </c>
      <c r="B36" s="164">
        <v>39344</v>
      </c>
      <c r="C36" s="17">
        <v>919.40000000000009</v>
      </c>
      <c r="D36" s="35"/>
      <c r="E36" s="17">
        <v>619.79999999999995</v>
      </c>
      <c r="F36" s="35"/>
      <c r="G36" s="17">
        <v>487.20000000000005</v>
      </c>
      <c r="H36" s="35"/>
      <c r="I36" s="17">
        <v>318.70000000000005</v>
      </c>
      <c r="J36" s="35"/>
      <c r="K36" s="17">
        <v>506.8</v>
      </c>
      <c r="L36" s="19">
        <v>18.3</v>
      </c>
      <c r="M36" s="19">
        <v>25</v>
      </c>
      <c r="N36" s="35">
        <v>0</v>
      </c>
      <c r="O36" s="35">
        <v>550.1</v>
      </c>
      <c r="P36" s="17">
        <v>4071.6000000000004</v>
      </c>
      <c r="Q36" s="17">
        <v>132</v>
      </c>
      <c r="R36" s="93">
        <v>116</v>
      </c>
      <c r="S36" s="22">
        <v>0.4</v>
      </c>
      <c r="T36" s="663">
        <f>Pensions!AI36-5</f>
        <v>60</v>
      </c>
    </row>
    <row r="37" spans="1:20" x14ac:dyDescent="0.25">
      <c r="A37" s="163">
        <v>39345</v>
      </c>
      <c r="B37" s="164">
        <v>39447</v>
      </c>
      <c r="C37" s="17">
        <v>938</v>
      </c>
      <c r="D37" s="35"/>
      <c r="E37" s="17">
        <v>631.20000000000005</v>
      </c>
      <c r="F37" s="35"/>
      <c r="G37" s="17">
        <v>495.40000000000003</v>
      </c>
      <c r="H37" s="35"/>
      <c r="I37" s="17">
        <v>322.8</v>
      </c>
      <c r="J37" s="35"/>
      <c r="K37" s="17">
        <v>519.20000000000005</v>
      </c>
      <c r="L37" s="19">
        <v>18.5</v>
      </c>
      <c r="M37" s="19">
        <v>25</v>
      </c>
      <c r="N37" s="35">
        <v>0</v>
      </c>
      <c r="O37" s="35">
        <v>562.70000000000005</v>
      </c>
      <c r="P37" s="17">
        <v>4170.4000000000005</v>
      </c>
      <c r="Q37" s="17">
        <v>132</v>
      </c>
      <c r="R37" s="93">
        <v>116</v>
      </c>
      <c r="S37" s="22">
        <v>0.4</v>
      </c>
      <c r="T37" s="663">
        <f>Pensions!AI37-5</f>
        <v>60</v>
      </c>
    </row>
    <row r="38" spans="1:20" x14ac:dyDescent="0.25">
      <c r="A38" s="163">
        <v>39448</v>
      </c>
      <c r="B38" s="164">
        <v>39526</v>
      </c>
      <c r="C38" s="17">
        <v>938</v>
      </c>
      <c r="D38" s="35"/>
      <c r="E38" s="17">
        <v>631.20000000000005</v>
      </c>
      <c r="F38" s="35"/>
      <c r="G38" s="17">
        <v>495.40000000000003</v>
      </c>
      <c r="H38" s="35"/>
      <c r="I38" s="17">
        <v>322.8</v>
      </c>
      <c r="J38" s="35"/>
      <c r="K38" s="17">
        <v>519.20000000000005</v>
      </c>
      <c r="L38" s="19">
        <v>18.5</v>
      </c>
      <c r="M38" s="19">
        <v>25</v>
      </c>
      <c r="N38" s="35">
        <v>0</v>
      </c>
      <c r="O38" s="35">
        <v>562.70000000000005</v>
      </c>
      <c r="P38" s="17">
        <v>4170.4000000000005</v>
      </c>
      <c r="Q38" s="17">
        <v>132</v>
      </c>
      <c r="R38" s="93">
        <v>116</v>
      </c>
      <c r="S38" s="22">
        <v>0.4</v>
      </c>
      <c r="T38" s="663">
        <f>Pensions!AI38-5</f>
        <v>60</v>
      </c>
    </row>
    <row r="39" spans="1:20" ht="15.75" thickBot="1" x14ac:dyDescent="0.3">
      <c r="A39" s="163">
        <v>39527</v>
      </c>
      <c r="B39" s="164">
        <v>39629</v>
      </c>
      <c r="C39" s="17">
        <v>970.5</v>
      </c>
      <c r="D39" s="35"/>
      <c r="E39" s="17">
        <v>658.5</v>
      </c>
      <c r="F39" s="35"/>
      <c r="G39" s="17">
        <v>535.6</v>
      </c>
      <c r="H39" s="35"/>
      <c r="I39" s="17">
        <v>344.8</v>
      </c>
      <c r="J39" s="35"/>
      <c r="K39" s="17">
        <v>528</v>
      </c>
      <c r="L39" s="19">
        <v>18.8</v>
      </c>
      <c r="M39" s="19">
        <v>35.6</v>
      </c>
      <c r="N39" s="35">
        <v>0</v>
      </c>
      <c r="O39" s="35">
        <v>582.4</v>
      </c>
      <c r="P39" s="17">
        <v>4243.2</v>
      </c>
      <c r="Q39" s="17">
        <v>132</v>
      </c>
      <c r="R39" s="93">
        <v>116</v>
      </c>
      <c r="S39" s="22">
        <v>0.4</v>
      </c>
      <c r="T39" s="663">
        <f>Pensions!AI39-5</f>
        <v>60</v>
      </c>
    </row>
    <row r="40" spans="1:20" x14ac:dyDescent="0.25">
      <c r="A40" s="161">
        <v>39630</v>
      </c>
      <c r="B40" s="162">
        <v>39710</v>
      </c>
      <c r="C40" s="18">
        <v>970.5</v>
      </c>
      <c r="D40" s="60"/>
      <c r="E40" s="18">
        <v>658.5</v>
      </c>
      <c r="F40" s="60"/>
      <c r="G40" s="18">
        <v>535.6</v>
      </c>
      <c r="H40" s="60"/>
      <c r="I40" s="18">
        <v>344.8</v>
      </c>
      <c r="J40" s="60"/>
      <c r="K40" s="18">
        <v>528</v>
      </c>
      <c r="L40" s="20">
        <v>18.8</v>
      </c>
      <c r="M40" s="20">
        <v>35.6</v>
      </c>
      <c r="N40" s="60">
        <v>0</v>
      </c>
      <c r="O40" s="60">
        <v>582.4</v>
      </c>
      <c r="P40" s="18">
        <v>4243.2</v>
      </c>
      <c r="Q40" s="18">
        <v>138</v>
      </c>
      <c r="R40" s="92">
        <v>120</v>
      </c>
      <c r="S40" s="21">
        <v>0.4</v>
      </c>
      <c r="T40" s="662">
        <f>Pensions!AI40-5</f>
        <v>60</v>
      </c>
    </row>
    <row r="41" spans="1:20" x14ac:dyDescent="0.25">
      <c r="A41" s="163">
        <v>39711</v>
      </c>
      <c r="B41" s="164">
        <v>39813</v>
      </c>
      <c r="C41" s="17">
        <v>997.80000000000007</v>
      </c>
      <c r="D41" s="35"/>
      <c r="E41" s="17">
        <v>677</v>
      </c>
      <c r="F41" s="35"/>
      <c r="G41" s="17">
        <v>550.70000000000005</v>
      </c>
      <c r="H41" s="35"/>
      <c r="I41" s="17">
        <v>354.5</v>
      </c>
      <c r="J41" s="35"/>
      <c r="K41" s="17">
        <v>542.80000000000007</v>
      </c>
      <c r="L41" s="19">
        <v>19.3</v>
      </c>
      <c r="M41" s="19">
        <v>36.6</v>
      </c>
      <c r="N41" s="35">
        <v>0</v>
      </c>
      <c r="O41" s="35">
        <v>598.70000000000005</v>
      </c>
      <c r="P41" s="17">
        <v>4362.8</v>
      </c>
      <c r="Q41" s="17">
        <v>138</v>
      </c>
      <c r="R41" s="93">
        <v>120</v>
      </c>
      <c r="S41" s="22">
        <v>0.4</v>
      </c>
      <c r="T41" s="663">
        <f>Pensions!AI41-5</f>
        <v>60</v>
      </c>
    </row>
    <row r="42" spans="1:20" x14ac:dyDescent="0.25">
      <c r="A42" s="163">
        <v>39814</v>
      </c>
      <c r="B42" s="164">
        <v>39891</v>
      </c>
      <c r="C42" s="17">
        <v>997.80000000000007</v>
      </c>
      <c r="D42" s="35"/>
      <c r="E42" s="17">
        <v>677</v>
      </c>
      <c r="F42" s="35"/>
      <c r="G42" s="17">
        <v>550.70000000000005</v>
      </c>
      <c r="H42" s="35"/>
      <c r="I42" s="17">
        <v>354.5</v>
      </c>
      <c r="J42" s="35"/>
      <c r="K42" s="17">
        <v>542.80000000000007</v>
      </c>
      <c r="L42" s="19">
        <v>19.3</v>
      </c>
      <c r="M42" s="19">
        <v>36.6</v>
      </c>
      <c r="N42" s="35">
        <v>0</v>
      </c>
      <c r="O42" s="35">
        <v>598.70000000000005</v>
      </c>
      <c r="P42" s="17">
        <v>4362.8</v>
      </c>
      <c r="Q42" s="17">
        <v>138</v>
      </c>
      <c r="R42" s="93">
        <v>120</v>
      </c>
      <c r="S42" s="22">
        <v>0.4</v>
      </c>
      <c r="T42" s="663">
        <f>Pensions!AI42-5</f>
        <v>60</v>
      </c>
    </row>
    <row r="43" spans="1:20" ht="15.75" thickBot="1" x14ac:dyDescent="0.3">
      <c r="A43" s="180">
        <v>39892</v>
      </c>
      <c r="B43" s="181">
        <v>39994</v>
      </c>
      <c r="C43" s="65">
        <v>1011.9000000000001</v>
      </c>
      <c r="D43" s="69"/>
      <c r="E43" s="65">
        <v>686.6</v>
      </c>
      <c r="F43" s="69"/>
      <c r="G43" s="65">
        <v>558.5</v>
      </c>
      <c r="H43" s="69"/>
      <c r="I43" s="65">
        <v>359.5</v>
      </c>
      <c r="J43" s="69"/>
      <c r="K43" s="65">
        <v>550.30000000000007</v>
      </c>
      <c r="L43" s="68">
        <v>19.5</v>
      </c>
      <c r="M43" s="68">
        <v>37.200000000000003</v>
      </c>
      <c r="N43" s="69">
        <v>0</v>
      </c>
      <c r="O43" s="69">
        <v>607.00000000000011</v>
      </c>
      <c r="P43" s="65">
        <v>4425.2</v>
      </c>
      <c r="Q43" s="65">
        <v>138</v>
      </c>
      <c r="R43" s="94">
        <v>120</v>
      </c>
      <c r="S43" s="246">
        <v>0.4</v>
      </c>
      <c r="T43" s="664">
        <f>Pensions!AI43-5</f>
        <v>60</v>
      </c>
    </row>
    <row r="44" spans="1:20" x14ac:dyDescent="0.25">
      <c r="A44" s="163">
        <v>39995</v>
      </c>
      <c r="B44" s="164">
        <v>40075</v>
      </c>
      <c r="C44" s="17">
        <v>1011.9000000000001</v>
      </c>
      <c r="D44" s="35"/>
      <c r="E44" s="17">
        <v>686.6</v>
      </c>
      <c r="F44" s="35"/>
      <c r="G44" s="17">
        <v>558.5</v>
      </c>
      <c r="H44" s="35"/>
      <c r="I44" s="17">
        <v>359.5</v>
      </c>
      <c r="J44" s="35"/>
      <c r="K44" s="17">
        <v>550.30000000000007</v>
      </c>
      <c r="L44" s="19">
        <v>19.5</v>
      </c>
      <c r="M44" s="19">
        <v>37.200000000000003</v>
      </c>
      <c r="N44" s="35">
        <v>0</v>
      </c>
      <c r="O44" s="35">
        <v>607.00000000000011</v>
      </c>
      <c r="P44" s="17">
        <v>4425.2</v>
      </c>
      <c r="Q44" s="17">
        <v>142</v>
      </c>
      <c r="R44" s="93">
        <v>124</v>
      </c>
      <c r="S44" s="22">
        <v>0.4</v>
      </c>
      <c r="T44" s="663">
        <f>Pensions!AI44-5</f>
        <v>60</v>
      </c>
    </row>
    <row r="45" spans="1:20" x14ac:dyDescent="0.25">
      <c r="A45" s="163">
        <v>40076</v>
      </c>
      <c r="B45" s="164">
        <v>40178</v>
      </c>
      <c r="C45" s="17">
        <v>1022.1</v>
      </c>
      <c r="D45" s="35"/>
      <c r="E45" s="17">
        <v>693.5</v>
      </c>
      <c r="F45" s="35"/>
      <c r="G45" s="17">
        <v>564.1</v>
      </c>
      <c r="H45" s="35"/>
      <c r="I45" s="17">
        <v>363.1</v>
      </c>
      <c r="J45" s="35"/>
      <c r="K45" s="17">
        <v>615.80000000000007</v>
      </c>
      <c r="L45" s="19">
        <v>25.6</v>
      </c>
      <c r="M45" s="19">
        <v>37.6</v>
      </c>
      <c r="N45" s="35">
        <v>0</v>
      </c>
      <c r="O45" s="35">
        <v>679.00000000000011</v>
      </c>
      <c r="P45" s="17">
        <v>5265</v>
      </c>
      <c r="Q45" s="17">
        <v>142</v>
      </c>
      <c r="R45" s="93">
        <v>124</v>
      </c>
      <c r="S45" s="22">
        <v>0.5</v>
      </c>
      <c r="T45" s="663">
        <f>Pensions!AI45-5</f>
        <v>60</v>
      </c>
    </row>
    <row r="46" spans="1:20" x14ac:dyDescent="0.25">
      <c r="A46" s="163">
        <v>40179</v>
      </c>
      <c r="B46" s="164">
        <v>40256</v>
      </c>
      <c r="C46" s="17">
        <v>1022.1</v>
      </c>
      <c r="D46" s="35"/>
      <c r="E46" s="17">
        <v>693.5</v>
      </c>
      <c r="F46" s="35"/>
      <c r="G46" s="17">
        <v>564.1</v>
      </c>
      <c r="H46" s="35"/>
      <c r="I46" s="17">
        <v>363.1</v>
      </c>
      <c r="J46" s="35"/>
      <c r="K46" s="17">
        <v>615.79999999999995</v>
      </c>
      <c r="L46" s="19">
        <v>25.6</v>
      </c>
      <c r="M46" s="19">
        <v>37.6</v>
      </c>
      <c r="N46" s="35">
        <v>0</v>
      </c>
      <c r="O46" s="35">
        <v>679</v>
      </c>
      <c r="P46" s="17">
        <v>5265</v>
      </c>
      <c r="Q46" s="17">
        <v>142</v>
      </c>
      <c r="R46" s="93">
        <v>124</v>
      </c>
      <c r="S46" s="22">
        <v>0.5</v>
      </c>
      <c r="T46" s="663">
        <f>Pensions!AI46-5</f>
        <v>60</v>
      </c>
    </row>
    <row r="47" spans="1:20" ht="15.75" thickBot="1" x14ac:dyDescent="0.3">
      <c r="A47" s="163">
        <v>40257</v>
      </c>
      <c r="B47" s="164">
        <v>40359</v>
      </c>
      <c r="C47" s="17">
        <v>1069.3</v>
      </c>
      <c r="D47" s="35"/>
      <c r="E47" s="17">
        <v>725.5</v>
      </c>
      <c r="F47" s="35"/>
      <c r="G47" s="17">
        <v>590.20000000000005</v>
      </c>
      <c r="H47" s="35"/>
      <c r="I47" s="17">
        <v>379.90000000000003</v>
      </c>
      <c r="J47" s="35"/>
      <c r="K47" s="17">
        <v>644.20000000000005</v>
      </c>
      <c r="L47" s="19">
        <v>26</v>
      </c>
      <c r="M47" s="19">
        <v>39.400000000000006</v>
      </c>
      <c r="N47" s="35">
        <v>0</v>
      </c>
      <c r="O47" s="35">
        <v>709.6</v>
      </c>
      <c r="P47" s="17">
        <v>5509.4000000000005</v>
      </c>
      <c r="Q47" s="17">
        <v>142</v>
      </c>
      <c r="R47" s="93">
        <v>124</v>
      </c>
      <c r="S47" s="22">
        <v>0.5</v>
      </c>
      <c r="T47" s="663">
        <f>Pensions!AI47-5</f>
        <v>60</v>
      </c>
    </row>
    <row r="48" spans="1:20" x14ac:dyDescent="0.25">
      <c r="A48" s="161">
        <v>40360</v>
      </c>
      <c r="B48" s="162">
        <v>40440</v>
      </c>
      <c r="C48" s="18">
        <v>1069.3</v>
      </c>
      <c r="D48" s="60"/>
      <c r="E48" s="18">
        <v>725.5</v>
      </c>
      <c r="F48" s="60"/>
      <c r="G48" s="18">
        <v>590.20000000000005</v>
      </c>
      <c r="H48" s="60"/>
      <c r="I48" s="18">
        <v>379.90000000000003</v>
      </c>
      <c r="J48" s="60"/>
      <c r="K48" s="18">
        <v>644.20000000000005</v>
      </c>
      <c r="L48" s="20">
        <v>26</v>
      </c>
      <c r="M48" s="20">
        <v>39.400000000000006</v>
      </c>
      <c r="N48" s="60">
        <v>0</v>
      </c>
      <c r="O48" s="60">
        <v>709.6</v>
      </c>
      <c r="P48" s="18">
        <v>5509.4000000000005</v>
      </c>
      <c r="Q48" s="18">
        <v>146</v>
      </c>
      <c r="R48" s="92">
        <v>128</v>
      </c>
      <c r="S48" s="21">
        <v>0.5</v>
      </c>
      <c r="T48" s="662">
        <f>Pensions!AI48-5</f>
        <v>60</v>
      </c>
    </row>
    <row r="49" spans="1:20" x14ac:dyDescent="0.25">
      <c r="A49" s="163">
        <v>40441</v>
      </c>
      <c r="B49" s="164">
        <v>40543</v>
      </c>
      <c r="C49" s="17">
        <v>1092.9000000000001</v>
      </c>
      <c r="D49" s="35"/>
      <c r="E49" s="17">
        <v>741.6</v>
      </c>
      <c r="F49" s="35"/>
      <c r="G49" s="17">
        <v>603.30000000000007</v>
      </c>
      <c r="H49" s="35"/>
      <c r="I49" s="17">
        <v>388.3</v>
      </c>
      <c r="J49" s="35"/>
      <c r="K49" s="17">
        <v>658.40000000000009</v>
      </c>
      <c r="L49" s="19">
        <v>26.400000000000002</v>
      </c>
      <c r="M49" s="19">
        <v>40.300000000000004</v>
      </c>
      <c r="N49" s="35">
        <v>0</v>
      </c>
      <c r="O49" s="35">
        <v>725.1</v>
      </c>
      <c r="P49" s="17">
        <v>5631.6</v>
      </c>
      <c r="Q49" s="17">
        <v>146</v>
      </c>
      <c r="R49" s="93">
        <v>128</v>
      </c>
      <c r="S49" s="22">
        <v>0.5</v>
      </c>
      <c r="T49" s="663">
        <f>Pensions!AI49-5</f>
        <v>60</v>
      </c>
    </row>
    <row r="50" spans="1:20" x14ac:dyDescent="0.25">
      <c r="A50" s="163">
        <v>40544</v>
      </c>
      <c r="B50" s="164">
        <v>40621</v>
      </c>
      <c r="C50" s="17">
        <v>1092.9000000000001</v>
      </c>
      <c r="D50" s="35"/>
      <c r="E50" s="17">
        <v>741.6</v>
      </c>
      <c r="F50" s="35"/>
      <c r="G50" s="17">
        <v>603.30000000000007</v>
      </c>
      <c r="H50" s="35"/>
      <c r="I50" s="17">
        <v>388.3</v>
      </c>
      <c r="J50" s="35"/>
      <c r="K50" s="17">
        <v>658.40000000000009</v>
      </c>
      <c r="L50" s="19">
        <v>26.400000000000002</v>
      </c>
      <c r="M50" s="19">
        <v>40.300000000000004</v>
      </c>
      <c r="N50" s="35">
        <v>0</v>
      </c>
      <c r="O50" s="35">
        <v>725.1</v>
      </c>
      <c r="P50" s="17">
        <v>5631.6</v>
      </c>
      <c r="Q50" s="17">
        <v>146</v>
      </c>
      <c r="R50" s="93">
        <v>128</v>
      </c>
      <c r="S50" s="22">
        <v>0.5</v>
      </c>
      <c r="T50" s="663">
        <f>Pensions!AI50-5</f>
        <v>60</v>
      </c>
    </row>
    <row r="51" spans="1:20" ht="15.75" thickBot="1" x14ac:dyDescent="0.3">
      <c r="A51" s="180">
        <v>40622</v>
      </c>
      <c r="B51" s="181">
        <v>40724</v>
      </c>
      <c r="C51" s="65">
        <v>1113.7</v>
      </c>
      <c r="D51" s="69"/>
      <c r="E51" s="65">
        <v>755.80000000000007</v>
      </c>
      <c r="F51" s="69"/>
      <c r="G51" s="65">
        <v>614.80000000000007</v>
      </c>
      <c r="H51" s="69"/>
      <c r="I51" s="65">
        <v>395.70000000000005</v>
      </c>
      <c r="J51" s="69"/>
      <c r="K51" s="65">
        <v>670.90000000000009</v>
      </c>
      <c r="L51" s="68">
        <v>26.700000000000003</v>
      </c>
      <c r="M51" s="68">
        <v>41.1</v>
      </c>
      <c r="N51" s="69">
        <v>0</v>
      </c>
      <c r="O51" s="69">
        <v>738.70000000000016</v>
      </c>
      <c r="P51" s="65">
        <v>5740.8</v>
      </c>
      <c r="Q51" s="65">
        <v>146</v>
      </c>
      <c r="R51" s="94">
        <v>128</v>
      </c>
      <c r="S51" s="246">
        <v>0.5</v>
      </c>
      <c r="T51" s="664">
        <f>Pensions!AI51-5</f>
        <v>60</v>
      </c>
    </row>
    <row r="52" spans="1:20" x14ac:dyDescent="0.25">
      <c r="A52" s="163">
        <v>40725</v>
      </c>
      <c r="B52" s="164">
        <v>40805</v>
      </c>
      <c r="C52" s="17">
        <v>1113.7</v>
      </c>
      <c r="D52" s="35"/>
      <c r="E52" s="17">
        <v>755.80000000000007</v>
      </c>
      <c r="F52" s="35"/>
      <c r="G52" s="17">
        <v>614.80000000000007</v>
      </c>
      <c r="H52" s="35"/>
      <c r="I52" s="17">
        <v>395.70000000000005</v>
      </c>
      <c r="J52" s="35"/>
      <c r="K52" s="17">
        <v>670.90000000000009</v>
      </c>
      <c r="L52" s="19">
        <v>26.700000000000003</v>
      </c>
      <c r="M52" s="19">
        <v>41.1</v>
      </c>
      <c r="N52" s="35">
        <v>0</v>
      </c>
      <c r="O52" s="35">
        <v>738.70000000000016</v>
      </c>
      <c r="P52" s="17">
        <v>5740.8</v>
      </c>
      <c r="Q52" s="17">
        <v>150</v>
      </c>
      <c r="R52" s="93">
        <v>132</v>
      </c>
      <c r="S52" s="22">
        <v>0.5</v>
      </c>
      <c r="T52" s="663">
        <v>60</v>
      </c>
    </row>
    <row r="53" spans="1:20" x14ac:dyDescent="0.25">
      <c r="A53" s="163">
        <v>40806</v>
      </c>
      <c r="B53" s="164">
        <v>40908</v>
      </c>
      <c r="C53" s="17">
        <v>1143.8</v>
      </c>
      <c r="D53" s="35"/>
      <c r="E53" s="17">
        <v>776.30000000000007</v>
      </c>
      <c r="F53" s="35"/>
      <c r="G53" s="17">
        <v>631.5</v>
      </c>
      <c r="H53" s="35"/>
      <c r="I53" s="17">
        <v>406.40000000000003</v>
      </c>
      <c r="J53" s="35"/>
      <c r="K53" s="17">
        <v>689</v>
      </c>
      <c r="L53" s="19">
        <v>27.400000000000002</v>
      </c>
      <c r="M53" s="19">
        <v>42.300000000000004</v>
      </c>
      <c r="N53" s="35">
        <v>0</v>
      </c>
      <c r="O53" s="35">
        <v>758.69999999999993</v>
      </c>
      <c r="P53" s="17">
        <v>5896.8</v>
      </c>
      <c r="Q53" s="17">
        <v>150</v>
      </c>
      <c r="R53" s="93">
        <v>132</v>
      </c>
      <c r="S53" s="22">
        <v>0.5</v>
      </c>
      <c r="T53" s="663">
        <v>60</v>
      </c>
    </row>
    <row r="54" spans="1:20" x14ac:dyDescent="0.25">
      <c r="A54" s="163">
        <v>40909</v>
      </c>
      <c r="B54" s="164">
        <v>40987</v>
      </c>
      <c r="C54" s="17">
        <v>1143.8</v>
      </c>
      <c r="D54" s="35"/>
      <c r="E54" s="17">
        <v>776.30000000000007</v>
      </c>
      <c r="F54" s="35"/>
      <c r="G54" s="17">
        <v>631.5</v>
      </c>
      <c r="H54" s="35"/>
      <c r="I54" s="17">
        <v>406.40000000000003</v>
      </c>
      <c r="J54" s="35"/>
      <c r="K54" s="17">
        <v>689</v>
      </c>
      <c r="L54" s="19">
        <v>27.400000000000002</v>
      </c>
      <c r="M54" s="19">
        <v>42.300000000000004</v>
      </c>
      <c r="N54" s="35">
        <v>0</v>
      </c>
      <c r="O54" s="35">
        <v>758.69999999999993</v>
      </c>
      <c r="P54" s="17">
        <v>5896.8</v>
      </c>
      <c r="Q54" s="17">
        <v>150</v>
      </c>
      <c r="R54" s="93">
        <v>132</v>
      </c>
      <c r="S54" s="22">
        <v>0.5</v>
      </c>
      <c r="T54" s="663">
        <v>60</v>
      </c>
    </row>
    <row r="55" spans="1:20" ht="15.75" thickBot="1" x14ac:dyDescent="0.3">
      <c r="A55" s="163">
        <v>40988</v>
      </c>
      <c r="B55" s="164">
        <v>41090</v>
      </c>
      <c r="C55" s="17">
        <v>1154.2</v>
      </c>
      <c r="D55" s="35"/>
      <c r="E55" s="17">
        <v>783.40000000000009</v>
      </c>
      <c r="F55" s="35"/>
      <c r="G55" s="17">
        <v>637.30000000000007</v>
      </c>
      <c r="H55" s="35"/>
      <c r="I55" s="17">
        <v>410.1</v>
      </c>
      <c r="J55" s="35"/>
      <c r="K55" s="17">
        <v>695.3</v>
      </c>
      <c r="L55" s="19">
        <v>27.6</v>
      </c>
      <c r="M55" s="19">
        <v>42.7</v>
      </c>
      <c r="N55" s="35">
        <v>0</v>
      </c>
      <c r="O55" s="35">
        <v>765.6</v>
      </c>
      <c r="P55" s="17">
        <v>5951.4000000000005</v>
      </c>
      <c r="Q55" s="17">
        <v>150</v>
      </c>
      <c r="R55" s="93">
        <v>132</v>
      </c>
      <c r="S55" s="22">
        <v>0.5</v>
      </c>
      <c r="T55" s="663">
        <v>60</v>
      </c>
    </row>
    <row r="56" spans="1:20" x14ac:dyDescent="0.25">
      <c r="A56" s="161">
        <v>41091</v>
      </c>
      <c r="B56" s="162">
        <v>41171</v>
      </c>
      <c r="C56" s="18">
        <v>1154.2</v>
      </c>
      <c r="D56" s="60"/>
      <c r="E56" s="18">
        <v>783.40000000000009</v>
      </c>
      <c r="F56" s="60"/>
      <c r="G56" s="18">
        <v>637.30000000000007</v>
      </c>
      <c r="H56" s="60"/>
      <c r="I56" s="18">
        <v>410.1</v>
      </c>
      <c r="J56" s="60"/>
      <c r="K56" s="18">
        <v>695.3</v>
      </c>
      <c r="L56" s="20">
        <v>27.6</v>
      </c>
      <c r="M56" s="20">
        <v>42.7</v>
      </c>
      <c r="N56" s="60">
        <v>0</v>
      </c>
      <c r="O56" s="60">
        <v>765.6</v>
      </c>
      <c r="P56" s="18">
        <v>5951.4000000000005</v>
      </c>
      <c r="Q56" s="18">
        <v>152</v>
      </c>
      <c r="R56" s="92">
        <v>134</v>
      </c>
      <c r="S56" s="21">
        <v>0.5</v>
      </c>
      <c r="T56" s="662">
        <v>60</v>
      </c>
    </row>
    <row r="57" spans="1:20" x14ac:dyDescent="0.25">
      <c r="A57" s="163">
        <v>41172</v>
      </c>
      <c r="B57" s="164">
        <v>41274</v>
      </c>
      <c r="C57" s="17">
        <v>1182</v>
      </c>
      <c r="D57" s="35"/>
      <c r="E57" s="17">
        <v>802.30000000000007</v>
      </c>
      <c r="F57" s="35"/>
      <c r="G57" s="17">
        <v>652.70000000000005</v>
      </c>
      <c r="H57" s="35"/>
      <c r="I57" s="17">
        <v>420</v>
      </c>
      <c r="J57" s="35"/>
      <c r="K57" s="17">
        <v>712</v>
      </c>
      <c r="L57" s="19">
        <v>27.8</v>
      </c>
      <c r="M57" s="19">
        <v>43.800000000000004</v>
      </c>
      <c r="N57" s="35">
        <v>0</v>
      </c>
      <c r="O57" s="35">
        <v>783.59999999999991</v>
      </c>
      <c r="P57" s="17">
        <v>6094.4000000000005</v>
      </c>
      <c r="Q57" s="17">
        <v>152</v>
      </c>
      <c r="R57" s="93">
        <v>134</v>
      </c>
      <c r="S57" s="22">
        <v>0.5</v>
      </c>
      <c r="T57" s="663">
        <v>60</v>
      </c>
    </row>
    <row r="58" spans="1:20" x14ac:dyDescent="0.25">
      <c r="A58" s="163">
        <v>41275</v>
      </c>
      <c r="B58" s="164">
        <v>41352</v>
      </c>
      <c r="C58" s="17">
        <v>1182</v>
      </c>
      <c r="D58" s="35"/>
      <c r="E58" s="17">
        <v>802.30000000000007</v>
      </c>
      <c r="F58" s="35"/>
      <c r="G58" s="17">
        <v>652.70000000000005</v>
      </c>
      <c r="H58" s="35"/>
      <c r="I58" s="17">
        <v>420</v>
      </c>
      <c r="J58" s="35"/>
      <c r="K58" s="17">
        <v>712</v>
      </c>
      <c r="L58" s="19">
        <v>27.8</v>
      </c>
      <c r="M58" s="19">
        <v>43.800000000000004</v>
      </c>
      <c r="N58" s="35">
        <v>0</v>
      </c>
      <c r="O58" s="35">
        <v>783.59999999999991</v>
      </c>
      <c r="P58" s="17">
        <v>6094.4000000000005</v>
      </c>
      <c r="Q58" s="17">
        <v>152</v>
      </c>
      <c r="R58" s="93">
        <v>134</v>
      </c>
      <c r="S58" s="22">
        <v>0.5</v>
      </c>
      <c r="T58" s="663">
        <v>60</v>
      </c>
    </row>
    <row r="59" spans="1:20" ht="15.75" thickBot="1" x14ac:dyDescent="0.3">
      <c r="A59" s="180">
        <v>41353</v>
      </c>
      <c r="B59" s="181">
        <v>41455</v>
      </c>
      <c r="C59" s="65">
        <v>1217.5</v>
      </c>
      <c r="D59" s="69">
        <v>20.7</v>
      </c>
      <c r="E59" s="65">
        <v>826.4</v>
      </c>
      <c r="F59" s="69">
        <v>14</v>
      </c>
      <c r="G59" s="65">
        <v>672.3</v>
      </c>
      <c r="H59" s="69">
        <v>11.4</v>
      </c>
      <c r="I59" s="65">
        <v>432.6</v>
      </c>
      <c r="J59" s="69">
        <v>7.4</v>
      </c>
      <c r="K59" s="65">
        <v>733.7</v>
      </c>
      <c r="L59" s="68">
        <v>28.1</v>
      </c>
      <c r="M59" s="68">
        <v>45.2</v>
      </c>
      <c r="N59" s="69">
        <v>13.7</v>
      </c>
      <c r="O59" s="69">
        <v>820.70000000000016</v>
      </c>
      <c r="P59" s="65">
        <v>6279</v>
      </c>
      <c r="Q59" s="65">
        <v>152</v>
      </c>
      <c r="R59" s="94">
        <v>134</v>
      </c>
      <c r="S59" s="246">
        <v>0.5</v>
      </c>
      <c r="T59" s="664">
        <v>60</v>
      </c>
    </row>
    <row r="60" spans="1:20" x14ac:dyDescent="0.25">
      <c r="A60" s="496">
        <v>41456</v>
      </c>
      <c r="B60" s="497">
        <v>41536</v>
      </c>
      <c r="C60" s="375">
        <v>1217.5</v>
      </c>
      <c r="D60" s="374">
        <v>20.7</v>
      </c>
      <c r="E60" s="375">
        <v>826.4</v>
      </c>
      <c r="F60" s="374">
        <v>14</v>
      </c>
      <c r="G60" s="375">
        <v>672.3</v>
      </c>
      <c r="H60" s="374">
        <v>11.4</v>
      </c>
      <c r="I60" s="375">
        <v>432.6</v>
      </c>
      <c r="J60" s="374">
        <v>7.4</v>
      </c>
      <c r="K60" s="375">
        <v>733.7</v>
      </c>
      <c r="L60" s="242">
        <v>28.1</v>
      </c>
      <c r="M60" s="242">
        <v>45.2</v>
      </c>
      <c r="N60" s="374">
        <v>13.7</v>
      </c>
      <c r="O60" s="374">
        <v>820.70000000000016</v>
      </c>
      <c r="P60" s="375">
        <v>6279</v>
      </c>
      <c r="Q60" s="375">
        <v>156</v>
      </c>
      <c r="R60" s="373">
        <v>138</v>
      </c>
      <c r="S60" s="498">
        <v>0.5</v>
      </c>
      <c r="T60" s="599">
        <v>60</v>
      </c>
    </row>
    <row r="61" spans="1:20" x14ac:dyDescent="0.25">
      <c r="A61" s="496">
        <v>41537</v>
      </c>
      <c r="B61" s="497">
        <v>41639</v>
      </c>
      <c r="C61" s="375">
        <v>1248.1000000000001</v>
      </c>
      <c r="D61" s="374">
        <v>20.900000000000002</v>
      </c>
      <c r="E61" s="375">
        <v>847.2</v>
      </c>
      <c r="F61" s="374">
        <v>14.100000000000001</v>
      </c>
      <c r="G61" s="375">
        <v>689.2</v>
      </c>
      <c r="H61" s="374">
        <v>11.5</v>
      </c>
      <c r="I61" s="375">
        <v>443.5</v>
      </c>
      <c r="J61" s="374">
        <v>7.5</v>
      </c>
      <c r="K61" s="375">
        <v>751.7</v>
      </c>
      <c r="L61" s="242">
        <v>28.3</v>
      </c>
      <c r="M61" s="242">
        <v>46.400000000000006</v>
      </c>
      <c r="N61" s="374">
        <v>13.8</v>
      </c>
      <c r="O61" s="374">
        <v>840.19999999999993</v>
      </c>
      <c r="P61" s="375">
        <v>6437.6</v>
      </c>
      <c r="Q61" s="375">
        <v>156</v>
      </c>
      <c r="R61" s="373">
        <v>138</v>
      </c>
      <c r="S61" s="498">
        <v>0.5</v>
      </c>
      <c r="T61" s="599">
        <v>60</v>
      </c>
    </row>
    <row r="62" spans="1:20" x14ac:dyDescent="0.25">
      <c r="A62" s="496">
        <v>41640</v>
      </c>
      <c r="B62" s="497">
        <v>41717</v>
      </c>
      <c r="C62" s="375">
        <v>1248.1000000000001</v>
      </c>
      <c r="D62" s="374">
        <v>20.900000000000002</v>
      </c>
      <c r="E62" s="375">
        <v>847.2</v>
      </c>
      <c r="F62" s="374">
        <v>14.100000000000001</v>
      </c>
      <c r="G62" s="375">
        <v>689.2</v>
      </c>
      <c r="H62" s="374">
        <v>11.5</v>
      </c>
      <c r="I62" s="375">
        <v>443.5</v>
      </c>
      <c r="J62" s="374">
        <v>7.5</v>
      </c>
      <c r="K62" s="375">
        <v>751.7</v>
      </c>
      <c r="L62" s="242">
        <v>28.3</v>
      </c>
      <c r="M62" s="242">
        <v>46.400000000000006</v>
      </c>
      <c r="N62" s="374">
        <v>13.8</v>
      </c>
      <c r="O62" s="374">
        <v>840.19999999999993</v>
      </c>
      <c r="P62" s="375">
        <v>6437.6</v>
      </c>
      <c r="Q62" s="375">
        <v>156</v>
      </c>
      <c r="R62" s="373">
        <v>138</v>
      </c>
      <c r="S62" s="498">
        <v>0.5</v>
      </c>
      <c r="T62" s="599">
        <v>60</v>
      </c>
    </row>
    <row r="63" spans="1:20" ht="15.75" thickBot="1" x14ac:dyDescent="0.3">
      <c r="A63" s="496">
        <v>41718</v>
      </c>
      <c r="B63" s="497">
        <v>41820</v>
      </c>
      <c r="C63" s="375">
        <v>1271.9000000000001</v>
      </c>
      <c r="D63" s="374">
        <v>21.3</v>
      </c>
      <c r="E63" s="375">
        <v>863.40000000000009</v>
      </c>
      <c r="F63" s="374">
        <v>14.4</v>
      </c>
      <c r="G63" s="375">
        <v>702.40000000000009</v>
      </c>
      <c r="H63" s="374">
        <v>11.8</v>
      </c>
      <c r="I63" s="375">
        <v>452</v>
      </c>
      <c r="J63" s="374">
        <v>7.6000000000000005</v>
      </c>
      <c r="K63" s="375">
        <v>766</v>
      </c>
      <c r="L63" s="242">
        <v>28.8</v>
      </c>
      <c r="M63" s="242">
        <v>47.300000000000004</v>
      </c>
      <c r="N63" s="374">
        <v>14.100000000000001</v>
      </c>
      <c r="O63" s="374">
        <v>856.19999999999993</v>
      </c>
      <c r="P63" s="375">
        <v>6562.4000000000005</v>
      </c>
      <c r="Q63" s="375">
        <v>156</v>
      </c>
      <c r="R63" s="373">
        <v>138</v>
      </c>
      <c r="S63" s="498">
        <v>0.5</v>
      </c>
      <c r="T63" s="599">
        <v>60</v>
      </c>
    </row>
    <row r="64" spans="1:20" x14ac:dyDescent="0.25">
      <c r="A64" s="531">
        <v>41821</v>
      </c>
      <c r="B64" s="532">
        <v>41901</v>
      </c>
      <c r="C64" s="534">
        <v>1271.9000000000001</v>
      </c>
      <c r="D64" s="535">
        <v>21.3</v>
      </c>
      <c r="E64" s="534">
        <v>863.40000000000009</v>
      </c>
      <c r="F64" s="535">
        <v>14.4</v>
      </c>
      <c r="G64" s="534">
        <v>702.40000000000009</v>
      </c>
      <c r="H64" s="535">
        <v>11.8</v>
      </c>
      <c r="I64" s="534">
        <v>452</v>
      </c>
      <c r="J64" s="535">
        <v>7.6000000000000005</v>
      </c>
      <c r="K64" s="534">
        <v>766</v>
      </c>
      <c r="L64" s="536">
        <v>28.8</v>
      </c>
      <c r="M64" s="536">
        <v>47.300000000000004</v>
      </c>
      <c r="N64" s="535">
        <v>14.100000000000001</v>
      </c>
      <c r="O64" s="535">
        <v>856.19999999999993</v>
      </c>
      <c r="P64" s="534">
        <v>6562.4000000000005</v>
      </c>
      <c r="Q64" s="534">
        <v>160</v>
      </c>
      <c r="R64" s="533">
        <v>142</v>
      </c>
      <c r="S64" s="808">
        <v>0.5</v>
      </c>
      <c r="T64" s="666">
        <v>60</v>
      </c>
    </row>
    <row r="65" spans="1:20" x14ac:dyDescent="0.25">
      <c r="A65" s="496">
        <v>41902</v>
      </c>
      <c r="B65" s="497">
        <v>42004</v>
      </c>
      <c r="C65" s="375">
        <v>1289.8000000000002</v>
      </c>
      <c r="D65" s="374">
        <v>21.5</v>
      </c>
      <c r="E65" s="375">
        <v>875.6</v>
      </c>
      <c r="F65" s="374">
        <v>14.5</v>
      </c>
      <c r="G65" s="375">
        <v>712.40000000000009</v>
      </c>
      <c r="H65" s="374">
        <v>11.8</v>
      </c>
      <c r="I65" s="375">
        <v>458.40000000000003</v>
      </c>
      <c r="J65" s="374">
        <v>7.7</v>
      </c>
      <c r="K65" s="375">
        <v>776.7</v>
      </c>
      <c r="L65" s="242">
        <v>29.1</v>
      </c>
      <c r="M65" s="242">
        <v>48</v>
      </c>
      <c r="N65" s="374">
        <v>14.200000000000001</v>
      </c>
      <c r="O65" s="374">
        <v>868.00000000000011</v>
      </c>
      <c r="P65" s="375">
        <v>6656</v>
      </c>
      <c r="Q65" s="375">
        <v>160</v>
      </c>
      <c r="R65" s="373">
        <v>142</v>
      </c>
      <c r="S65" s="498">
        <v>0.5</v>
      </c>
      <c r="T65" s="599">
        <v>60</v>
      </c>
    </row>
    <row r="66" spans="1:20" x14ac:dyDescent="0.25">
      <c r="A66" s="496">
        <v>42005</v>
      </c>
      <c r="B66" s="497">
        <v>42082</v>
      </c>
      <c r="C66" s="375">
        <v>1289.8000000000002</v>
      </c>
      <c r="D66" s="374">
        <v>21.5</v>
      </c>
      <c r="E66" s="375">
        <v>875.6</v>
      </c>
      <c r="F66" s="374">
        <v>14.5</v>
      </c>
      <c r="G66" s="375">
        <v>712.40000000000009</v>
      </c>
      <c r="H66" s="374">
        <v>11.8</v>
      </c>
      <c r="I66" s="375">
        <v>458.40000000000003</v>
      </c>
      <c r="J66" s="374">
        <v>7.7</v>
      </c>
      <c r="K66" s="375">
        <v>776.7</v>
      </c>
      <c r="L66" s="242">
        <v>29.1</v>
      </c>
      <c r="M66" s="242">
        <v>48</v>
      </c>
      <c r="N66" s="374">
        <v>14.200000000000001</v>
      </c>
      <c r="O66" s="374">
        <v>868.00000000000011</v>
      </c>
      <c r="P66" s="375">
        <v>6656</v>
      </c>
      <c r="Q66" s="375">
        <v>160</v>
      </c>
      <c r="R66" s="373">
        <v>142</v>
      </c>
      <c r="S66" s="498">
        <v>0.5</v>
      </c>
      <c r="T66" s="599">
        <v>60</v>
      </c>
    </row>
    <row r="67" spans="1:20" ht="15.75" thickBot="1" x14ac:dyDescent="0.3">
      <c r="A67" s="538">
        <v>42083</v>
      </c>
      <c r="B67" s="539">
        <v>42185</v>
      </c>
      <c r="C67" s="540">
        <v>1299</v>
      </c>
      <c r="D67" s="541">
        <v>21.5</v>
      </c>
      <c r="E67" s="540">
        <v>881.90000000000009</v>
      </c>
      <c r="F67" s="541">
        <v>14.5</v>
      </c>
      <c r="G67" s="540">
        <v>717.5</v>
      </c>
      <c r="H67" s="541">
        <v>11.8</v>
      </c>
      <c r="I67" s="540">
        <v>461.70000000000005</v>
      </c>
      <c r="J67" s="541">
        <v>7.7</v>
      </c>
      <c r="K67" s="540">
        <v>782.2</v>
      </c>
      <c r="L67" s="543">
        <v>29.3</v>
      </c>
      <c r="M67" s="543">
        <v>48.400000000000006</v>
      </c>
      <c r="N67" s="541">
        <v>14.200000000000001</v>
      </c>
      <c r="O67" s="541">
        <v>874.1</v>
      </c>
      <c r="P67" s="540">
        <v>6702.8</v>
      </c>
      <c r="Q67" s="540">
        <v>160</v>
      </c>
      <c r="R67" s="542">
        <v>142</v>
      </c>
      <c r="S67" s="855">
        <v>0.5</v>
      </c>
      <c r="T67" s="665">
        <v>60</v>
      </c>
    </row>
    <row r="68" spans="1:20" x14ac:dyDescent="0.25">
      <c r="A68" s="496">
        <v>42186</v>
      </c>
      <c r="B68" s="497">
        <v>42266</v>
      </c>
      <c r="C68" s="375">
        <v>1299</v>
      </c>
      <c r="D68" s="535">
        <v>21.5</v>
      </c>
      <c r="E68" s="375">
        <v>881.90000000000009</v>
      </c>
      <c r="F68" s="535">
        <v>14.5</v>
      </c>
      <c r="G68" s="375">
        <v>717.5</v>
      </c>
      <c r="H68" s="535">
        <v>11.8</v>
      </c>
      <c r="I68" s="375">
        <v>461.70000000000005</v>
      </c>
      <c r="J68" s="535">
        <v>7.7</v>
      </c>
      <c r="K68" s="375">
        <v>782.2</v>
      </c>
      <c r="L68" s="242">
        <v>29.3</v>
      </c>
      <c r="M68" s="242">
        <v>48.400000000000006</v>
      </c>
      <c r="N68" s="535">
        <v>14.200000000000001</v>
      </c>
      <c r="O68" s="374">
        <v>874.1</v>
      </c>
      <c r="P68" s="375">
        <v>6702.8</v>
      </c>
      <c r="Q68" s="375">
        <v>162</v>
      </c>
      <c r="R68" s="373">
        <v>144</v>
      </c>
      <c r="S68" s="498">
        <v>0.5</v>
      </c>
      <c r="T68" s="599">
        <v>60</v>
      </c>
    </row>
    <row r="69" spans="1:20" x14ac:dyDescent="0.25">
      <c r="A69" s="496">
        <v>42267</v>
      </c>
      <c r="B69" s="497">
        <v>42369</v>
      </c>
      <c r="C69" s="375">
        <v>1309.4000000000001</v>
      </c>
      <c r="D69" s="374">
        <v>21.5</v>
      </c>
      <c r="E69" s="375">
        <v>889</v>
      </c>
      <c r="F69" s="374">
        <v>14.5</v>
      </c>
      <c r="G69" s="375">
        <v>723.30000000000007</v>
      </c>
      <c r="H69" s="374">
        <v>11.8</v>
      </c>
      <c r="I69" s="375">
        <v>465.40000000000003</v>
      </c>
      <c r="J69" s="374">
        <v>7.7</v>
      </c>
      <c r="K69" s="375">
        <v>788.40000000000009</v>
      </c>
      <c r="L69" s="242">
        <v>29.5</v>
      </c>
      <c r="M69" s="242">
        <v>48.800000000000004</v>
      </c>
      <c r="N69" s="374">
        <v>14.200000000000001</v>
      </c>
      <c r="O69" s="374">
        <v>880.90000000000009</v>
      </c>
      <c r="P69" s="375">
        <v>6757.4000000000005</v>
      </c>
      <c r="Q69" s="375">
        <v>162</v>
      </c>
      <c r="R69" s="373">
        <v>144</v>
      </c>
      <c r="S69" s="498">
        <v>0.5</v>
      </c>
      <c r="T69" s="599">
        <v>60</v>
      </c>
    </row>
    <row r="70" spans="1:20" x14ac:dyDescent="0.25">
      <c r="A70" s="496">
        <v>42370</v>
      </c>
      <c r="B70" s="497">
        <v>42448</v>
      </c>
      <c r="C70" s="375">
        <v>1309.4000000000001</v>
      </c>
      <c r="D70" s="374">
        <v>21.5</v>
      </c>
      <c r="E70" s="375">
        <v>889</v>
      </c>
      <c r="F70" s="374">
        <v>14.5</v>
      </c>
      <c r="G70" s="375">
        <v>723.30000000000007</v>
      </c>
      <c r="H70" s="374">
        <v>11.8</v>
      </c>
      <c r="I70" s="375">
        <v>465.40000000000003</v>
      </c>
      <c r="J70" s="374">
        <v>7.7</v>
      </c>
      <c r="K70" s="375">
        <v>788.40000000000009</v>
      </c>
      <c r="L70" s="242">
        <v>29.5</v>
      </c>
      <c r="M70" s="242">
        <v>48.800000000000004</v>
      </c>
      <c r="N70" s="374">
        <v>14.200000000000001</v>
      </c>
      <c r="O70" s="374">
        <v>880.90000000000009</v>
      </c>
      <c r="P70" s="375">
        <v>6757.4000000000005</v>
      </c>
      <c r="Q70" s="375">
        <v>162</v>
      </c>
      <c r="R70" s="373">
        <v>144</v>
      </c>
      <c r="S70" s="498">
        <v>0.5</v>
      </c>
      <c r="T70" s="599">
        <v>60</v>
      </c>
    </row>
    <row r="71" spans="1:20" ht="15.75" thickBot="1" x14ac:dyDescent="0.3">
      <c r="A71" s="496">
        <v>42449</v>
      </c>
      <c r="B71" s="497">
        <v>42551</v>
      </c>
      <c r="C71" s="375">
        <v>1320</v>
      </c>
      <c r="D71" s="541">
        <v>21.5</v>
      </c>
      <c r="E71" s="375">
        <v>896.2</v>
      </c>
      <c r="F71" s="541">
        <v>14.5</v>
      </c>
      <c r="G71" s="375">
        <v>729.2</v>
      </c>
      <c r="H71" s="541">
        <v>11.8</v>
      </c>
      <c r="I71" s="375">
        <v>469.20000000000005</v>
      </c>
      <c r="J71" s="541">
        <v>7.7</v>
      </c>
      <c r="K71" s="375">
        <v>794.8</v>
      </c>
      <c r="L71" s="242">
        <v>29.700000000000003</v>
      </c>
      <c r="M71" s="242">
        <v>49.2</v>
      </c>
      <c r="N71" s="541">
        <v>14.200000000000001</v>
      </c>
      <c r="O71" s="374">
        <v>887.90000000000009</v>
      </c>
      <c r="P71" s="375">
        <v>6812</v>
      </c>
      <c r="Q71" s="375">
        <v>162</v>
      </c>
      <c r="R71" s="373">
        <v>144</v>
      </c>
      <c r="S71" s="498">
        <v>0.5</v>
      </c>
      <c r="T71" s="599">
        <v>60</v>
      </c>
    </row>
    <row r="72" spans="1:20" x14ac:dyDescent="0.25">
      <c r="A72" s="531">
        <v>42552</v>
      </c>
      <c r="B72" s="532">
        <v>42632</v>
      </c>
      <c r="C72" s="534">
        <v>1320</v>
      </c>
      <c r="D72" s="535">
        <v>21.5</v>
      </c>
      <c r="E72" s="534">
        <v>896.2</v>
      </c>
      <c r="F72" s="535">
        <v>14.5</v>
      </c>
      <c r="G72" s="534">
        <v>729.2</v>
      </c>
      <c r="H72" s="535">
        <v>11.8</v>
      </c>
      <c r="I72" s="534">
        <v>469.20000000000005</v>
      </c>
      <c r="J72" s="535">
        <v>7.7</v>
      </c>
      <c r="K72" s="534">
        <v>794.8</v>
      </c>
      <c r="L72" s="536">
        <v>29.700000000000003</v>
      </c>
      <c r="M72" s="536">
        <v>49.2</v>
      </c>
      <c r="N72" s="535">
        <v>14.200000000000001</v>
      </c>
      <c r="O72" s="535">
        <v>887.90000000000009</v>
      </c>
      <c r="P72" s="534">
        <v>6812</v>
      </c>
      <c r="Q72" s="534">
        <v>164</v>
      </c>
      <c r="R72" s="533">
        <v>146</v>
      </c>
      <c r="S72" s="808">
        <v>0.5</v>
      </c>
      <c r="T72" s="666">
        <v>60</v>
      </c>
    </row>
    <row r="73" spans="1:20" x14ac:dyDescent="0.25">
      <c r="A73" s="496">
        <v>42633</v>
      </c>
      <c r="B73" s="497">
        <v>42735</v>
      </c>
      <c r="C73" s="375">
        <f>CEILING($I73+(C72-$I72)*ROUND(VLOOKUP($A73,Pensions!$A$8:$C$91,3)/VLOOKUP($A72,Pensions!$A$8:$C$91,3),3),0.1)</f>
        <v>1325.4</v>
      </c>
      <c r="D73" s="374">
        <f t="shared" ref="D73:E91" si="0">D72</f>
        <v>21.5</v>
      </c>
      <c r="E73" s="375">
        <f>CEILING($I73+(E72-$I72)*ROUND(VLOOKUP($A73,Pensions!$A$8:$C$91,3)/VLOOKUP($A72,Pensions!$A$8:$C$91,3),3),0.1)</f>
        <v>899.90000000000009</v>
      </c>
      <c r="F73" s="374">
        <f t="shared" ref="F73:G91" si="1">F72</f>
        <v>14.5</v>
      </c>
      <c r="G73" s="375">
        <f>CEILING(I73+(G72-I72)*ROUND(VLOOKUP($A73,Pensions!$A$8:$C$91,3)/VLOOKUP($A72,Pensions!$A$8:$C$91,3),3),0.1)</f>
        <v>732.2</v>
      </c>
      <c r="H73" s="374">
        <v>11.8</v>
      </c>
      <c r="I73" s="375">
        <f>CEILING(I72*ROUND(VLOOKUP($A73,Pensions!$A$8:$C$91,3)/VLOOKUP($A72,Pensions!$A$8:$C$91,3),3),0.1)</f>
        <v>471.1</v>
      </c>
      <c r="J73" s="374">
        <f t="shared" ref="J73:J91" si="2">J72</f>
        <v>7.7</v>
      </c>
      <c r="K73" s="375">
        <f>Pensions!C73</f>
        <v>797.90000000000009</v>
      </c>
      <c r="L73" s="242">
        <f>IndexAmt(L72,"peCpiFp",$B71,0.1,6)</f>
        <v>29.8</v>
      </c>
      <c r="M73" s="242">
        <f>CEILING(M72*ROUND(VLOOKUP($A73,Pensions!$A$8:$C$91,3)/VLOOKUP($A72,Pensions!$A$8:$C$91,3),3),0.1)</f>
        <v>49.400000000000006</v>
      </c>
      <c r="N73" s="374">
        <f t="shared" ref="N73:N91" si="3">N72</f>
        <v>14.200000000000001</v>
      </c>
      <c r="O73" s="374">
        <f t="shared" ref="O73:O91" si="4">SUM(K73:N73)</f>
        <v>891.30000000000007</v>
      </c>
      <c r="P73" s="375">
        <f>CEILING(P72*ROUND(VLOOKUP($A73,Pensions!$A$8:$C$91,3)/VLOOKUP($A72,Pensions!$A$8:$C$91,3),3),2.6)</f>
        <v>6840.6</v>
      </c>
      <c r="Q73" s="375">
        <f>Pensions!Q73</f>
        <v>164</v>
      </c>
      <c r="R73" s="373">
        <f>Pensions!S73</f>
        <v>146</v>
      </c>
      <c r="S73" s="498">
        <f t="shared" ref="S73:S91" si="5">S72</f>
        <v>0.5</v>
      </c>
      <c r="T73" s="599">
        <v>60</v>
      </c>
    </row>
    <row r="74" spans="1:20" x14ac:dyDescent="0.25">
      <c r="A74" s="496">
        <v>42736</v>
      </c>
      <c r="B74" s="497">
        <v>42813</v>
      </c>
      <c r="C74" s="375">
        <f t="shared" ref="C74:H74" si="6">C73</f>
        <v>1325.4</v>
      </c>
      <c r="D74" s="374">
        <f t="shared" si="0"/>
        <v>21.5</v>
      </c>
      <c r="E74" s="375">
        <f t="shared" si="6"/>
        <v>899.90000000000009</v>
      </c>
      <c r="F74" s="374">
        <f t="shared" si="1"/>
        <v>14.5</v>
      </c>
      <c r="G74" s="375">
        <f t="shared" si="6"/>
        <v>732.2</v>
      </c>
      <c r="H74" s="374">
        <f t="shared" si="6"/>
        <v>11.8</v>
      </c>
      <c r="I74" s="375">
        <f>I73</f>
        <v>471.1</v>
      </c>
      <c r="J74" s="374">
        <f t="shared" si="2"/>
        <v>7.7</v>
      </c>
      <c r="K74" s="375">
        <f>Pensions!C74</f>
        <v>797.90000000000009</v>
      </c>
      <c r="L74" s="242">
        <f>L73</f>
        <v>29.8</v>
      </c>
      <c r="M74" s="242">
        <f>M73</f>
        <v>49.400000000000006</v>
      </c>
      <c r="N74" s="374">
        <f t="shared" si="3"/>
        <v>14.200000000000001</v>
      </c>
      <c r="O74" s="374">
        <f t="shared" si="4"/>
        <v>891.30000000000007</v>
      </c>
      <c r="P74" s="375">
        <f>P73</f>
        <v>6840.6</v>
      </c>
      <c r="Q74" s="375">
        <f>Pensions!Q74</f>
        <v>164</v>
      </c>
      <c r="R74" s="373">
        <f>Pensions!S74</f>
        <v>146</v>
      </c>
      <c r="S74" s="498">
        <f t="shared" si="5"/>
        <v>0.5</v>
      </c>
      <c r="T74" s="599">
        <v>60</v>
      </c>
    </row>
    <row r="75" spans="1:20" ht="15.75" thickBot="1" x14ac:dyDescent="0.3">
      <c r="A75" s="538">
        <v>42814</v>
      </c>
      <c r="B75" s="539">
        <v>42916</v>
      </c>
      <c r="C75" s="540">
        <f>CEILING($I75+(C74-$I74)*ROUND(VLOOKUP($A75,Pensions!$A$8:$C$91,3)/VLOOKUP($A74,Pensions!$A$8:$C$91,3),3),0.1)</f>
        <v>1342.8000000000002</v>
      </c>
      <c r="D75" s="541">
        <f t="shared" si="0"/>
        <v>21.5</v>
      </c>
      <c r="E75" s="540">
        <f>CEILING($I75+(E74-$I74)*ROUND(VLOOKUP($A75,Pensions!$A$8:$C$91,3)/VLOOKUP($A74,Pensions!$A$8:$C$91,3),3),0.1)</f>
        <v>911.7</v>
      </c>
      <c r="F75" s="541">
        <f t="shared" si="1"/>
        <v>14.5</v>
      </c>
      <c r="G75" s="540">
        <f>CEILING(I75+(G74-I74)*ROUND(VLOOKUP($A75,Pensions!$A$8:$C$91,3)/VLOOKUP($A74,Pensions!$A$8:$C$91,3),3),0.1)</f>
        <v>741.80000000000007</v>
      </c>
      <c r="H75" s="541">
        <v>11.8</v>
      </c>
      <c r="I75" s="540">
        <f>CEILING(I74*ROUND(VLOOKUP($A75,Pensions!$A$8:$C$91,3)/VLOOKUP($A74,Pensions!$A$8:$C$91,3),3),0.1)</f>
        <v>477.3</v>
      </c>
      <c r="J75" s="541">
        <f t="shared" si="2"/>
        <v>7.7</v>
      </c>
      <c r="K75" s="540">
        <f>Pensions!C75</f>
        <v>808.3</v>
      </c>
      <c r="L75" s="543">
        <f>IndexAmt(L74,"peCpiFp",$B73,0.1,6)</f>
        <v>30.200000000000003</v>
      </c>
      <c r="M75" s="543">
        <f>CEILING(M74*ROUND(VLOOKUP($A75,Pensions!$A$8:$C$91,3)/VLOOKUP($A74,Pensions!$A$8:$C$91,3),3),0.1)</f>
        <v>50.1</v>
      </c>
      <c r="N75" s="541">
        <f t="shared" si="3"/>
        <v>14.200000000000001</v>
      </c>
      <c r="O75" s="541">
        <f t="shared" si="4"/>
        <v>902.80000000000007</v>
      </c>
      <c r="P75" s="540">
        <f>CEILING(P74*ROUND(VLOOKUP($A75,Pensions!$A$8:$C$91,3)/VLOOKUP($A74,Pensions!$A$8:$C$91,3),3),2.6)</f>
        <v>6931.6</v>
      </c>
      <c r="Q75" s="540">
        <f>Pensions!Q75</f>
        <v>164</v>
      </c>
      <c r="R75" s="542">
        <f>Pensions!S75</f>
        <v>146</v>
      </c>
      <c r="S75" s="855">
        <f t="shared" si="5"/>
        <v>0.5</v>
      </c>
      <c r="T75" s="665">
        <v>60</v>
      </c>
    </row>
    <row r="76" spans="1:20" x14ac:dyDescent="0.25">
      <c r="A76" s="496">
        <v>42917</v>
      </c>
      <c r="B76" s="497">
        <v>42997</v>
      </c>
      <c r="C76" s="375">
        <f t="shared" ref="C76:I76" si="7">C75</f>
        <v>1342.8000000000002</v>
      </c>
      <c r="D76" s="535">
        <f t="shared" si="0"/>
        <v>21.5</v>
      </c>
      <c r="E76" s="375">
        <f t="shared" si="7"/>
        <v>911.7</v>
      </c>
      <c r="F76" s="535">
        <f t="shared" si="1"/>
        <v>14.5</v>
      </c>
      <c r="G76" s="375">
        <f t="shared" si="7"/>
        <v>741.80000000000007</v>
      </c>
      <c r="H76" s="535">
        <v>11.8</v>
      </c>
      <c r="I76" s="375">
        <f t="shared" si="7"/>
        <v>477.3</v>
      </c>
      <c r="J76" s="535">
        <f t="shared" si="2"/>
        <v>7.7</v>
      </c>
      <c r="K76" s="375">
        <f>Pensions!C76</f>
        <v>808.3</v>
      </c>
      <c r="L76" s="242">
        <f>L75</f>
        <v>30.200000000000003</v>
      </c>
      <c r="M76" s="242">
        <f>M75</f>
        <v>50.1</v>
      </c>
      <c r="N76" s="535">
        <f t="shared" si="3"/>
        <v>14.200000000000001</v>
      </c>
      <c r="O76" s="374">
        <f t="shared" si="4"/>
        <v>902.80000000000007</v>
      </c>
      <c r="P76" s="375">
        <f>P75</f>
        <v>6931.6</v>
      </c>
      <c r="Q76" s="375">
        <f>Pensions!Q76</f>
        <v>168</v>
      </c>
      <c r="R76" s="373">
        <f>Pensions!S76</f>
        <v>150</v>
      </c>
      <c r="S76" s="498">
        <f t="shared" si="5"/>
        <v>0.5</v>
      </c>
      <c r="T76" s="599">
        <v>60.5</v>
      </c>
    </row>
    <row r="77" spans="1:20" x14ac:dyDescent="0.25">
      <c r="A77" s="247">
        <v>42998</v>
      </c>
      <c r="B77" s="248">
        <v>43100</v>
      </c>
      <c r="C77" s="249">
        <f>CEILING($I77+(C76-$I76)*ROUND(VLOOKUP($A77,Pensions!$A$8:$C$91,3)/VLOOKUP($A76,Pensions!$A$8:$C$91,3),3),0.1)</f>
        <v>1352.3000000000002</v>
      </c>
      <c r="D77" s="862">
        <f t="shared" si="0"/>
        <v>21.5</v>
      </c>
      <c r="E77" s="249">
        <f>CEILING($I77+(E76-$I76)*ROUND(VLOOKUP($A77,Pensions!$A$8:$C$91,3)/VLOOKUP($A76,Pensions!$A$8:$C$91,3),3),0.1)</f>
        <v>918.2</v>
      </c>
      <c r="F77" s="862">
        <f t="shared" si="1"/>
        <v>14.5</v>
      </c>
      <c r="G77" s="249">
        <f>CEILING(I77+(G76-I76)*ROUND(VLOOKUP($A77,Pensions!$A$8:$C$91,3)/VLOOKUP($A76,Pensions!$A$8:$C$91,3),3),0.1)</f>
        <v>747.1</v>
      </c>
      <c r="H77" s="862">
        <v>11.8</v>
      </c>
      <c r="I77" s="249">
        <f>CEILING(I76*ROUND(VLOOKUP($A77,Pensions!$A$8:$C$91,3)/VLOOKUP($A76,Pensions!$A$8:$C$91,3),3),0.1)</f>
        <v>480.70000000000005</v>
      </c>
      <c r="J77" s="862">
        <f t="shared" si="2"/>
        <v>7.7</v>
      </c>
      <c r="K77" s="249">
        <f>Pensions!C77</f>
        <v>814</v>
      </c>
      <c r="L77" s="250">
        <f>IndexAmt(L76,"peCpiFp",$B75,0.1,6)</f>
        <v>30.400000000000002</v>
      </c>
      <c r="M77" s="250">
        <f>CEILING(M76*ROUND(VLOOKUP($A77,Pensions!$A$8:$C$91,3)/VLOOKUP($A76,Pensions!$A$8:$C$91,3),3),0.1)</f>
        <v>50.5</v>
      </c>
      <c r="N77" s="862">
        <f t="shared" si="3"/>
        <v>14.200000000000001</v>
      </c>
      <c r="O77" s="251">
        <f t="shared" si="4"/>
        <v>909.1</v>
      </c>
      <c r="P77" s="249">
        <f>CEILING(P76*ROUND(VLOOKUP($A77,Pensions!$A$8:$C$91,3)/VLOOKUP($A76,Pensions!$A$8:$C$91,3),3),2.6)</f>
        <v>6981</v>
      </c>
      <c r="Q77" s="249">
        <f>Pensions!Q77</f>
        <v>168</v>
      </c>
      <c r="R77" s="252">
        <f>Pensions!S77</f>
        <v>150</v>
      </c>
      <c r="S77" s="253">
        <f t="shared" si="5"/>
        <v>0.5</v>
      </c>
      <c r="T77" s="720">
        <v>60.5</v>
      </c>
    </row>
    <row r="78" spans="1:20" x14ac:dyDescent="0.25">
      <c r="A78" s="247">
        <v>43101</v>
      </c>
      <c r="B78" s="248">
        <v>43178</v>
      </c>
      <c r="C78" s="249">
        <f>C77</f>
        <v>1352.3000000000002</v>
      </c>
      <c r="D78" s="251">
        <f t="shared" si="0"/>
        <v>21.5</v>
      </c>
      <c r="E78" s="249">
        <f t="shared" si="0"/>
        <v>918.2</v>
      </c>
      <c r="F78" s="251">
        <f t="shared" si="1"/>
        <v>14.5</v>
      </c>
      <c r="G78" s="249">
        <f t="shared" si="1"/>
        <v>747.1</v>
      </c>
      <c r="H78" s="251">
        <v>11.8</v>
      </c>
      <c r="I78" s="249">
        <f>I77</f>
        <v>480.70000000000005</v>
      </c>
      <c r="J78" s="251">
        <f t="shared" si="2"/>
        <v>7.7</v>
      </c>
      <c r="K78" s="249">
        <f>Pensions!C78</f>
        <v>814</v>
      </c>
      <c r="L78" s="250">
        <f>L77</f>
        <v>30.400000000000002</v>
      </c>
      <c r="M78" s="250">
        <f>M77</f>
        <v>50.5</v>
      </c>
      <c r="N78" s="251">
        <f t="shared" si="3"/>
        <v>14.200000000000001</v>
      </c>
      <c r="O78" s="251">
        <f t="shared" si="4"/>
        <v>909.1</v>
      </c>
      <c r="P78" s="249">
        <f>P77</f>
        <v>6981</v>
      </c>
      <c r="Q78" s="249">
        <f>Pensions!Q78</f>
        <v>168</v>
      </c>
      <c r="R78" s="252">
        <f>Pensions!S78</f>
        <v>150</v>
      </c>
      <c r="S78" s="253">
        <f t="shared" si="5"/>
        <v>0.5</v>
      </c>
      <c r="T78" s="720">
        <v>60.5</v>
      </c>
    </row>
    <row r="79" spans="1:20" ht="15.75" thickBot="1" x14ac:dyDescent="0.3">
      <c r="A79" s="247">
        <v>43179</v>
      </c>
      <c r="B79" s="248">
        <v>43281</v>
      </c>
      <c r="C79" s="249">
        <f>CEILING($I79+(C78-$I78)*ROUND(VLOOKUP($A79,Pensions!$A$8:$C$91,3)/VLOOKUP($A78,Pensions!$A$8:$C$91,3),3),0.1)</f>
        <v>1366</v>
      </c>
      <c r="D79" s="265">
        <f t="shared" si="0"/>
        <v>21.5</v>
      </c>
      <c r="E79" s="249">
        <f>CEILING($I79+(E78-$I78)*ROUND(VLOOKUP($A79,Pensions!$A$8:$C$91,3)/VLOOKUP($A78,Pensions!$A$8:$C$91,3),3),0.1)</f>
        <v>927.5</v>
      </c>
      <c r="F79" s="265">
        <f t="shared" si="1"/>
        <v>14.5</v>
      </c>
      <c r="G79" s="249">
        <f>CEILING(I79+(G78-I78)*ROUND(VLOOKUP($A79,Pensions!$A$8:$C$91,3)/VLOOKUP($A78,Pensions!$A$8:$C$91,3),3),0.1)</f>
        <v>754.7</v>
      </c>
      <c r="H79" s="265">
        <v>11.8</v>
      </c>
      <c r="I79" s="249">
        <f>CEILING(I78*ROUND(VLOOKUP($A79,Pensions!$A$8:$C$91,3)/VLOOKUP($A78,Pensions!$A$8:$C$91,3),3),0.1)</f>
        <v>485.6</v>
      </c>
      <c r="J79" s="265">
        <f t="shared" si="2"/>
        <v>7.7</v>
      </c>
      <c r="K79" s="249">
        <f>Pensions!C79</f>
        <v>822.10000000000014</v>
      </c>
      <c r="L79" s="250">
        <f>IndexAmt(L78,"peCpiFp",$B77,0.1,6)</f>
        <v>30.700000000000003</v>
      </c>
      <c r="M79" s="250">
        <f>CEILING(M78*ROUND(VLOOKUP($A79,Pensions!$A$8:$C$91,3)/VLOOKUP($A78,Pensions!$A$8:$C$91,3),3),0.1)</f>
        <v>51.1</v>
      </c>
      <c r="N79" s="265">
        <f t="shared" si="3"/>
        <v>14.200000000000001</v>
      </c>
      <c r="O79" s="251">
        <f t="shared" si="4"/>
        <v>918.10000000000025</v>
      </c>
      <c r="P79" s="249">
        <f>CEILING(P78*ROUND(VLOOKUP($A79,Pensions!$A$8:$C$91,3)/VLOOKUP($A78,Pensions!$A$8:$C$91,3),3),2.6)</f>
        <v>7051.2</v>
      </c>
      <c r="Q79" s="249">
        <f>Pensions!Q79</f>
        <v>168</v>
      </c>
      <c r="R79" s="252">
        <f>Pensions!S79</f>
        <v>150</v>
      </c>
      <c r="S79" s="253">
        <f t="shared" si="5"/>
        <v>0.5</v>
      </c>
      <c r="T79" s="720">
        <v>60.5</v>
      </c>
    </row>
    <row r="80" spans="1:20" x14ac:dyDescent="0.25">
      <c r="A80" s="254">
        <v>43282</v>
      </c>
      <c r="B80" s="255">
        <v>43362</v>
      </c>
      <c r="C80" s="256">
        <f>C79</f>
        <v>1366</v>
      </c>
      <c r="D80" s="258">
        <f t="shared" si="0"/>
        <v>21.5</v>
      </c>
      <c r="E80" s="256">
        <f t="shared" si="0"/>
        <v>927.5</v>
      </c>
      <c r="F80" s="258">
        <f t="shared" si="1"/>
        <v>14.5</v>
      </c>
      <c r="G80" s="256">
        <f t="shared" si="1"/>
        <v>754.7</v>
      </c>
      <c r="H80" s="258">
        <v>11.8</v>
      </c>
      <c r="I80" s="256">
        <f>I79</f>
        <v>485.6</v>
      </c>
      <c r="J80" s="258">
        <f t="shared" si="2"/>
        <v>7.7</v>
      </c>
      <c r="K80" s="256">
        <f>Pensions!C80</f>
        <v>822.10000000000014</v>
      </c>
      <c r="L80" s="257">
        <f>L79</f>
        <v>30.700000000000003</v>
      </c>
      <c r="M80" s="257">
        <f>M79</f>
        <v>51.1</v>
      </c>
      <c r="N80" s="258">
        <f t="shared" si="3"/>
        <v>14.200000000000001</v>
      </c>
      <c r="O80" s="258">
        <f t="shared" si="4"/>
        <v>918.10000000000025</v>
      </c>
      <c r="P80" s="256">
        <f>P79</f>
        <v>7051.2</v>
      </c>
      <c r="Q80" s="256">
        <f>Pensions!Q80</f>
        <v>170</v>
      </c>
      <c r="R80" s="259">
        <f>Pensions!S80</f>
        <v>152</v>
      </c>
      <c r="S80" s="260">
        <f t="shared" si="5"/>
        <v>0.5</v>
      </c>
      <c r="T80" s="719">
        <v>60.5</v>
      </c>
    </row>
    <row r="81" spans="1:20" x14ac:dyDescent="0.25">
      <c r="A81" s="247">
        <v>43363</v>
      </c>
      <c r="B81" s="248">
        <v>43465</v>
      </c>
      <c r="C81" s="249">
        <f>CEILING($I81+(C80-$I80)*ROUND(VLOOKUP($A81,Pensions!$A$8:$C$91,3)/VLOOKUP($A80,Pensions!$A$8:$C$91,3),3),0.1)</f>
        <v>1379.8000000000002</v>
      </c>
      <c r="D81" s="251">
        <f t="shared" si="0"/>
        <v>21.5</v>
      </c>
      <c r="E81" s="249">
        <f>CEILING($I81+(E80-$I80)*ROUND(VLOOKUP($A81,Pensions!$A$8:$C$91,3)/VLOOKUP($A80,Pensions!$A$8:$C$91,3),3),0.1)</f>
        <v>936.90000000000009</v>
      </c>
      <c r="F81" s="251">
        <f t="shared" si="1"/>
        <v>14.5</v>
      </c>
      <c r="G81" s="249">
        <f>CEILING(I81+(G80-I80)*ROUND(VLOOKUP($A81,Pensions!$A$8:$C$91,3)/VLOOKUP($A80,Pensions!$A$8:$C$91,3),3),0.1)</f>
        <v>762.30000000000007</v>
      </c>
      <c r="H81" s="251">
        <v>11.8</v>
      </c>
      <c r="I81" s="249">
        <f>CEILING(I80*ROUND(VLOOKUP($A81,Pensions!$A$8:$C$91,3)/VLOOKUP($A80,Pensions!$A$8:$C$91,3),3),0.1)</f>
        <v>490.5</v>
      </c>
      <c r="J81" s="251">
        <f t="shared" si="2"/>
        <v>7.7</v>
      </c>
      <c r="K81" s="249">
        <f>Pensions!C81</f>
        <v>830.3</v>
      </c>
      <c r="L81" s="250">
        <f>IndexAmt(L80,"peCpiFp",$B79,0.1,6)</f>
        <v>31</v>
      </c>
      <c r="M81" s="250">
        <f>CEILING(M80*ROUND(VLOOKUP($A81,Pensions!$A$8:$C$91,3)/VLOOKUP($A80,Pensions!$A$8:$C$91,3),3),0.1)</f>
        <v>51.7</v>
      </c>
      <c r="N81" s="251">
        <f t="shared" si="3"/>
        <v>14.200000000000001</v>
      </c>
      <c r="O81" s="251">
        <f t="shared" si="4"/>
        <v>927.2</v>
      </c>
      <c r="P81" s="249">
        <f>CEILING(P80*ROUND(VLOOKUP($A81,Pensions!$A$8:$C$91,3)/VLOOKUP($A80,Pensions!$A$8:$C$91,3),3),2.6)</f>
        <v>7124</v>
      </c>
      <c r="Q81" s="249">
        <f>Pensions!Q81</f>
        <v>170</v>
      </c>
      <c r="R81" s="252">
        <f>Pensions!S81</f>
        <v>152</v>
      </c>
      <c r="S81" s="253">
        <f t="shared" si="5"/>
        <v>0.5</v>
      </c>
      <c r="T81" s="720">
        <v>60.5</v>
      </c>
    </row>
    <row r="82" spans="1:20" x14ac:dyDescent="0.25">
      <c r="A82" s="247">
        <v>43466</v>
      </c>
      <c r="B82" s="248">
        <v>43543</v>
      </c>
      <c r="C82" s="249">
        <f>C81</f>
        <v>1379.8000000000002</v>
      </c>
      <c r="D82" s="251">
        <f t="shared" si="0"/>
        <v>21.5</v>
      </c>
      <c r="E82" s="249">
        <f t="shared" si="0"/>
        <v>936.90000000000009</v>
      </c>
      <c r="F82" s="251">
        <f t="shared" si="1"/>
        <v>14.5</v>
      </c>
      <c r="G82" s="249">
        <f t="shared" si="1"/>
        <v>762.30000000000007</v>
      </c>
      <c r="H82" s="251">
        <v>11.8</v>
      </c>
      <c r="I82" s="249">
        <f>I81</f>
        <v>490.5</v>
      </c>
      <c r="J82" s="251">
        <f t="shared" si="2"/>
        <v>7.7</v>
      </c>
      <c r="K82" s="249">
        <f>Pensions!C82</f>
        <v>830.3</v>
      </c>
      <c r="L82" s="250">
        <f>L81</f>
        <v>31</v>
      </c>
      <c r="M82" s="250">
        <f>M81</f>
        <v>51.7</v>
      </c>
      <c r="N82" s="251">
        <f t="shared" si="3"/>
        <v>14.200000000000001</v>
      </c>
      <c r="O82" s="251">
        <f t="shared" si="4"/>
        <v>927.2</v>
      </c>
      <c r="P82" s="249">
        <f>P81</f>
        <v>7124</v>
      </c>
      <c r="Q82" s="249">
        <f>Pensions!Q82</f>
        <v>170</v>
      </c>
      <c r="R82" s="252">
        <f>Pensions!S82</f>
        <v>152</v>
      </c>
      <c r="S82" s="253">
        <f t="shared" si="5"/>
        <v>0.5</v>
      </c>
      <c r="T82" s="720">
        <v>60.5</v>
      </c>
    </row>
    <row r="83" spans="1:20" ht="15.75" thickBot="1" x14ac:dyDescent="0.3">
      <c r="A83" s="261">
        <v>43544</v>
      </c>
      <c r="B83" s="262">
        <v>43646</v>
      </c>
      <c r="C83" s="263">
        <f>CEILING($I83+(C82-$I82)*ROUND(VLOOKUP($A83,Pensions!$A$8:$C$91,3)/VLOOKUP($A82,Pensions!$A$8:$C$91,3),3),0.1)</f>
        <v>1395</v>
      </c>
      <c r="D83" s="265">
        <f t="shared" si="0"/>
        <v>21.5</v>
      </c>
      <c r="E83" s="263">
        <f>CEILING($I83+(E82-$I82)*ROUND(VLOOKUP($A83,Pensions!$A$8:$C$91,3)/VLOOKUP($A82,Pensions!$A$8:$C$91,3),3),0.1)</f>
        <v>947.30000000000007</v>
      </c>
      <c r="F83" s="265">
        <f t="shared" si="1"/>
        <v>14.5</v>
      </c>
      <c r="G83" s="263">
        <f>CEILING(I83+(G82-I82)*ROUND(VLOOKUP($A83,Pensions!$A$8:$C$91,3)/VLOOKUP($A82,Pensions!$A$8:$C$91,3),3),0.1)</f>
        <v>770.7</v>
      </c>
      <c r="H83" s="265">
        <v>11.8</v>
      </c>
      <c r="I83" s="263">
        <f>CEILING(I82*ROUND(VLOOKUP($A83,Pensions!$A$8:$C$91,3)/VLOOKUP($A82,Pensions!$A$8:$C$91,3),3),0.1)</f>
        <v>495.90000000000003</v>
      </c>
      <c r="J83" s="265">
        <f t="shared" si="2"/>
        <v>7.7</v>
      </c>
      <c r="K83" s="263">
        <f>Pensions!C83</f>
        <v>839.5</v>
      </c>
      <c r="L83" s="264">
        <f>IndexAmt(L82,"peCpiFp",$B81,0.1,6)</f>
        <v>31.3</v>
      </c>
      <c r="M83" s="264">
        <f>CEILING(M82*ROUND(VLOOKUP($A83,Pensions!$A$8:$C$91,3)/VLOOKUP($A82,Pensions!$A$8:$C$91,3),3),0.1)</f>
        <v>52.300000000000004</v>
      </c>
      <c r="N83" s="265">
        <f t="shared" si="3"/>
        <v>14.200000000000001</v>
      </c>
      <c r="O83" s="265">
        <f t="shared" si="4"/>
        <v>937.3</v>
      </c>
      <c r="P83" s="263">
        <f>CEILING(P82*ROUND(VLOOKUP($A83,Pensions!$A$8:$C$91,3)/VLOOKUP($A82,Pensions!$A$8:$C$91,3),3),2.6)</f>
        <v>7204.6</v>
      </c>
      <c r="Q83" s="263">
        <f>Pensions!Q83</f>
        <v>170</v>
      </c>
      <c r="R83" s="266">
        <f>Pensions!S83</f>
        <v>152</v>
      </c>
      <c r="S83" s="267">
        <f t="shared" si="5"/>
        <v>0.5</v>
      </c>
      <c r="T83" s="721">
        <v>60.5</v>
      </c>
    </row>
    <row r="84" spans="1:20" x14ac:dyDescent="0.25">
      <c r="A84" s="247">
        <v>43647</v>
      </c>
      <c r="B84" s="248">
        <v>43727</v>
      </c>
      <c r="C84" s="249">
        <f>C83</f>
        <v>1395</v>
      </c>
      <c r="D84" s="258">
        <f t="shared" si="0"/>
        <v>21.5</v>
      </c>
      <c r="E84" s="249">
        <f t="shared" si="0"/>
        <v>947.30000000000007</v>
      </c>
      <c r="F84" s="258">
        <f t="shared" si="1"/>
        <v>14.5</v>
      </c>
      <c r="G84" s="249">
        <f t="shared" si="1"/>
        <v>770.7</v>
      </c>
      <c r="H84" s="258">
        <v>11.8</v>
      </c>
      <c r="I84" s="249">
        <f>I83</f>
        <v>495.90000000000003</v>
      </c>
      <c r="J84" s="258">
        <f t="shared" si="2"/>
        <v>7.7</v>
      </c>
      <c r="K84" s="249">
        <f>Pensions!C84</f>
        <v>839.5</v>
      </c>
      <c r="L84" s="250">
        <f>L83</f>
        <v>31.3</v>
      </c>
      <c r="M84" s="250">
        <f>M83</f>
        <v>52.300000000000004</v>
      </c>
      <c r="N84" s="258">
        <f t="shared" si="3"/>
        <v>14.200000000000001</v>
      </c>
      <c r="O84" s="251">
        <f t="shared" si="4"/>
        <v>937.3</v>
      </c>
      <c r="P84" s="249">
        <f>P83</f>
        <v>7204.6</v>
      </c>
      <c r="Q84" s="249">
        <f>Pensions!Q84</f>
        <v>172</v>
      </c>
      <c r="R84" s="252">
        <f>Pensions!S84</f>
        <v>156</v>
      </c>
      <c r="S84" s="253">
        <f t="shared" si="5"/>
        <v>0.5</v>
      </c>
      <c r="T84" s="720">
        <v>61</v>
      </c>
    </row>
    <row r="85" spans="1:20" x14ac:dyDescent="0.25">
      <c r="A85" s="247">
        <v>43728</v>
      </c>
      <c r="B85" s="248">
        <v>43830</v>
      </c>
      <c r="C85" s="249">
        <f>CEILING($I85+(C84-$I84)*ROUND(VLOOKUP($A85,Pensions!$A$8:$C$91,3)/VLOOKUP($A84,Pensions!$A$8:$C$91,3),3),0.1)</f>
        <v>1410.4</v>
      </c>
      <c r="D85" s="251">
        <f t="shared" si="0"/>
        <v>21.5</v>
      </c>
      <c r="E85" s="249">
        <f>CEILING($I85+(E84-$I84)*ROUND(VLOOKUP($A85,Pensions!$A$8:$C$91,3)/VLOOKUP($A84,Pensions!$A$8:$C$91,3),3),0.1)</f>
        <v>957.80000000000007</v>
      </c>
      <c r="F85" s="251">
        <f t="shared" si="1"/>
        <v>14.5</v>
      </c>
      <c r="G85" s="249">
        <f>CEILING(I85+(G84-I84)*ROUND(VLOOKUP($A85,Pensions!$A$8:$C$91,3)/VLOOKUP($A84,Pensions!$A$8:$C$91,3),3),0.1)</f>
        <v>779.30000000000007</v>
      </c>
      <c r="H85" s="251">
        <v>11.8</v>
      </c>
      <c r="I85" s="249">
        <f>CEILING(I84*ROUND(VLOOKUP($A85,Pensions!$A$8:$C$91,3)/VLOOKUP($A84,Pensions!$A$8:$C$91,3),3),0.1)</f>
        <v>501.40000000000003</v>
      </c>
      <c r="J85" s="251">
        <f t="shared" si="2"/>
        <v>7.7</v>
      </c>
      <c r="K85" s="249">
        <f>Pensions!C85</f>
        <v>848.8</v>
      </c>
      <c r="L85" s="250">
        <f>IndexAmt(L84,"peCpiFp",$B83,0.1,6)</f>
        <v>31.6</v>
      </c>
      <c r="M85" s="250">
        <f>CEILING(M84*ROUND(VLOOKUP($A85,Pensions!$A$8:$C$91,3)/VLOOKUP($A84,Pensions!$A$8:$C$91,3),3),0.1)</f>
        <v>52.900000000000006</v>
      </c>
      <c r="N85" s="251">
        <f t="shared" si="3"/>
        <v>14.200000000000001</v>
      </c>
      <c r="O85" s="251">
        <f t="shared" si="4"/>
        <v>947.5</v>
      </c>
      <c r="P85" s="249">
        <f>CEILING(P84*ROUND(VLOOKUP($A85,Pensions!$A$8:$C$91,3)/VLOOKUP($A84,Pensions!$A$8:$C$91,3),3),2.6)</f>
        <v>7285.2</v>
      </c>
      <c r="Q85" s="249">
        <f>Pensions!Q85</f>
        <v>172</v>
      </c>
      <c r="R85" s="252">
        <f>Pensions!S85</f>
        <v>156</v>
      </c>
      <c r="S85" s="253">
        <f t="shared" si="5"/>
        <v>0.5</v>
      </c>
      <c r="T85" s="720">
        <v>61</v>
      </c>
    </row>
    <row r="86" spans="1:20" x14ac:dyDescent="0.25">
      <c r="A86" s="247">
        <v>43831</v>
      </c>
      <c r="B86" s="248">
        <v>43909</v>
      </c>
      <c r="C86" s="249">
        <f>C85</f>
        <v>1410.4</v>
      </c>
      <c r="D86" s="251">
        <f t="shared" si="0"/>
        <v>21.5</v>
      </c>
      <c r="E86" s="249">
        <f t="shared" si="0"/>
        <v>957.80000000000007</v>
      </c>
      <c r="F86" s="251">
        <f t="shared" si="1"/>
        <v>14.5</v>
      </c>
      <c r="G86" s="249">
        <f t="shared" si="1"/>
        <v>779.30000000000007</v>
      </c>
      <c r="H86" s="251">
        <v>11.8</v>
      </c>
      <c r="I86" s="249">
        <f>I85</f>
        <v>501.40000000000003</v>
      </c>
      <c r="J86" s="251">
        <f t="shared" si="2"/>
        <v>7.7</v>
      </c>
      <c r="K86" s="249">
        <f>Pensions!C86</f>
        <v>848.8</v>
      </c>
      <c r="L86" s="250">
        <f>L85</f>
        <v>31.6</v>
      </c>
      <c r="M86" s="250">
        <f>M85</f>
        <v>52.900000000000006</v>
      </c>
      <c r="N86" s="251">
        <f t="shared" si="3"/>
        <v>14.200000000000001</v>
      </c>
      <c r="O86" s="251">
        <f t="shared" si="4"/>
        <v>947.5</v>
      </c>
      <c r="P86" s="249">
        <f>P85</f>
        <v>7285.2</v>
      </c>
      <c r="Q86" s="249">
        <f>Pensions!Q86</f>
        <v>172</v>
      </c>
      <c r="R86" s="252">
        <f>Pensions!S86</f>
        <v>156</v>
      </c>
      <c r="S86" s="253">
        <f t="shared" si="5"/>
        <v>0.5</v>
      </c>
      <c r="T86" s="720">
        <v>61</v>
      </c>
    </row>
    <row r="87" spans="1:20" ht="15.75" thickBot="1" x14ac:dyDescent="0.3">
      <c r="A87" s="247">
        <v>43910</v>
      </c>
      <c r="B87" s="248">
        <v>44012</v>
      </c>
      <c r="C87" s="249">
        <f>CEILING($I87+(C86-$I86)*ROUND(VLOOKUP($A87,Pensions!$A$8:$C$91,3)/VLOOKUP($A86,Pensions!$A$8:$C$91,3),3),0.1)</f>
        <v>1427.5</v>
      </c>
      <c r="D87" s="265">
        <f t="shared" si="0"/>
        <v>21.5</v>
      </c>
      <c r="E87" s="249">
        <f>CEILING($I87+(E86-$I86)*ROUND(VLOOKUP($A87,Pensions!$A$8:$C$91,3)/VLOOKUP($A86,Pensions!$A$8:$C$91,3),3),0.1)</f>
        <v>969.40000000000009</v>
      </c>
      <c r="F87" s="265">
        <f t="shared" si="1"/>
        <v>14.5</v>
      </c>
      <c r="G87" s="249">
        <f>CEILING(I87+(G86-I86)*ROUND(VLOOKUP($A87,Pensions!$A$8:$C$91,3)/VLOOKUP($A86,Pensions!$A$8:$C$91,3),3),0.1)</f>
        <v>788.80000000000007</v>
      </c>
      <c r="H87" s="265">
        <v>11.8</v>
      </c>
      <c r="I87" s="249">
        <f>CEILING(I86*ROUND(VLOOKUP($A87,Pensions!$A$8:$C$91,3)/VLOOKUP($A86,Pensions!$A$8:$C$91,3),3),0.1)</f>
        <v>507.5</v>
      </c>
      <c r="J87" s="265">
        <f t="shared" si="2"/>
        <v>7.7</v>
      </c>
      <c r="K87" s="249">
        <f>Pensions!C87</f>
        <v>859</v>
      </c>
      <c r="L87" s="250">
        <f>IndexAmt(L86,"peCpiFp",$B85,0.1,6)</f>
        <v>32</v>
      </c>
      <c r="M87" s="250">
        <f>CEILING(M86*ROUND(VLOOKUP($A87,Pensions!$A$8:$C$91,3)/VLOOKUP($A86,Pensions!$A$8:$C$91,3),3),0.1)</f>
        <v>53.6</v>
      </c>
      <c r="N87" s="265">
        <f t="shared" si="3"/>
        <v>14.200000000000001</v>
      </c>
      <c r="O87" s="251">
        <f t="shared" si="4"/>
        <v>958.80000000000007</v>
      </c>
      <c r="P87" s="249">
        <f>CEILING(P86*ROUND(VLOOKUP($A87,Pensions!$A$8:$C$91,3)/VLOOKUP($A86,Pensions!$A$8:$C$91,3),3),2.6)</f>
        <v>7373.6</v>
      </c>
      <c r="Q87" s="249">
        <f>Pensions!Q87</f>
        <v>172</v>
      </c>
      <c r="R87" s="252">
        <f>Pensions!S87</f>
        <v>156</v>
      </c>
      <c r="S87" s="253">
        <f t="shared" si="5"/>
        <v>0.5</v>
      </c>
      <c r="T87" s="720">
        <v>61</v>
      </c>
    </row>
    <row r="88" spans="1:20" x14ac:dyDescent="0.25">
      <c r="A88" s="254">
        <v>44013</v>
      </c>
      <c r="B88" s="255">
        <v>44093</v>
      </c>
      <c r="C88" s="256">
        <f>C87</f>
        <v>1427.5</v>
      </c>
      <c r="D88" s="258">
        <f t="shared" si="0"/>
        <v>21.5</v>
      </c>
      <c r="E88" s="256">
        <f t="shared" si="0"/>
        <v>969.40000000000009</v>
      </c>
      <c r="F88" s="258">
        <f t="shared" si="1"/>
        <v>14.5</v>
      </c>
      <c r="G88" s="256">
        <f t="shared" si="1"/>
        <v>788.80000000000007</v>
      </c>
      <c r="H88" s="258">
        <v>11.8</v>
      </c>
      <c r="I88" s="256">
        <f>I87</f>
        <v>507.5</v>
      </c>
      <c r="J88" s="258">
        <f t="shared" si="2"/>
        <v>7.7</v>
      </c>
      <c r="K88" s="256">
        <f>Pensions!C88</f>
        <v>859</v>
      </c>
      <c r="L88" s="257">
        <f>L87</f>
        <v>32</v>
      </c>
      <c r="M88" s="257">
        <f>M87</f>
        <v>53.6</v>
      </c>
      <c r="N88" s="258">
        <f t="shared" si="3"/>
        <v>14.200000000000001</v>
      </c>
      <c r="O88" s="258">
        <f t="shared" si="4"/>
        <v>958.80000000000007</v>
      </c>
      <c r="P88" s="256">
        <f>P87</f>
        <v>7373.6</v>
      </c>
      <c r="Q88" s="256">
        <f>Pensions!Q88</f>
        <v>176</v>
      </c>
      <c r="R88" s="259">
        <f>Pensions!S88</f>
        <v>160</v>
      </c>
      <c r="S88" s="260">
        <f t="shared" si="5"/>
        <v>0.5</v>
      </c>
      <c r="T88" s="719">
        <v>61</v>
      </c>
    </row>
    <row r="89" spans="1:20" x14ac:dyDescent="0.25">
      <c r="A89" s="247">
        <v>44094</v>
      </c>
      <c r="B89" s="248">
        <v>44196</v>
      </c>
      <c r="C89" s="249">
        <f>CEILING($I89+(C88-$I88)*ROUND(VLOOKUP($A89,Pensions!$A$8:$C$91,3)/VLOOKUP($A88,Pensions!$A$8:$C$91,3),3),0.1)</f>
        <v>1446.1000000000001</v>
      </c>
      <c r="D89" s="251">
        <f t="shared" si="0"/>
        <v>21.5</v>
      </c>
      <c r="E89" s="249">
        <f>CEILING($I89+(E88-$I88)*ROUND(VLOOKUP($A89,Pensions!$A$8:$C$91,3)/VLOOKUP($A88,Pensions!$A$8:$C$91,3),3),0.1)</f>
        <v>982.1</v>
      </c>
      <c r="F89" s="251">
        <f t="shared" si="1"/>
        <v>14.5</v>
      </c>
      <c r="G89" s="249">
        <f>CEILING(I89+(G88-I88)*ROUND(VLOOKUP($A89,Pensions!$A$8:$C$91,3)/VLOOKUP($A88,Pensions!$A$8:$C$91,3),3),0.1)</f>
        <v>799.1</v>
      </c>
      <c r="H89" s="251">
        <v>11.8</v>
      </c>
      <c r="I89" s="249">
        <f>CEILING(I88*ROUND(VLOOKUP($A89,Pensions!$A$8:$C$91,3)/VLOOKUP($A88,Pensions!$A$8:$C$91,3),3),0.1)</f>
        <v>514.1</v>
      </c>
      <c r="J89" s="251">
        <f t="shared" si="2"/>
        <v>7.7</v>
      </c>
      <c r="K89" s="249">
        <f>Pensions!C89</f>
        <v>870.10000000000014</v>
      </c>
      <c r="L89" s="250">
        <f>IndexAmt(L88,"peCpiFp",$B87,0.1,6)</f>
        <v>32.4</v>
      </c>
      <c r="M89" s="250">
        <f>CEILING(M88*ROUND(VLOOKUP($A89,Pensions!$A$8:$C$91,3)/VLOOKUP($A88,Pensions!$A$8:$C$91,3),3),0.1)</f>
        <v>54.300000000000004</v>
      </c>
      <c r="N89" s="251">
        <f t="shared" si="3"/>
        <v>14.200000000000001</v>
      </c>
      <c r="O89" s="251">
        <f t="shared" si="4"/>
        <v>971.00000000000011</v>
      </c>
      <c r="P89" s="249">
        <f>CEILING(P88*ROUND(VLOOKUP($A89,Pensions!$A$8:$C$91,3)/VLOOKUP($A88,Pensions!$A$8:$C$91,3),3),2.6)</f>
        <v>7469.8</v>
      </c>
      <c r="Q89" s="249">
        <f>Pensions!Q89</f>
        <v>176</v>
      </c>
      <c r="R89" s="252">
        <f>Pensions!S89</f>
        <v>160</v>
      </c>
      <c r="S89" s="253">
        <f t="shared" si="5"/>
        <v>0.5</v>
      </c>
      <c r="T89" s="720">
        <v>61</v>
      </c>
    </row>
    <row r="90" spans="1:20" x14ac:dyDescent="0.25">
      <c r="A90" s="247">
        <v>44197</v>
      </c>
      <c r="B90" s="248">
        <v>44274</v>
      </c>
      <c r="C90" s="249">
        <f>C89</f>
        <v>1446.1000000000001</v>
      </c>
      <c r="D90" s="251">
        <f t="shared" si="0"/>
        <v>21.5</v>
      </c>
      <c r="E90" s="249">
        <f t="shared" si="0"/>
        <v>982.1</v>
      </c>
      <c r="F90" s="251">
        <f t="shared" si="1"/>
        <v>14.5</v>
      </c>
      <c r="G90" s="249">
        <f t="shared" si="1"/>
        <v>799.1</v>
      </c>
      <c r="H90" s="251">
        <v>11.8</v>
      </c>
      <c r="I90" s="249">
        <f>I89</f>
        <v>514.1</v>
      </c>
      <c r="J90" s="251">
        <f t="shared" si="2"/>
        <v>7.7</v>
      </c>
      <c r="K90" s="249">
        <f>Pensions!C90</f>
        <v>870.10000000000014</v>
      </c>
      <c r="L90" s="250">
        <f>L89</f>
        <v>32.4</v>
      </c>
      <c r="M90" s="250">
        <f>M89</f>
        <v>54.300000000000004</v>
      </c>
      <c r="N90" s="251">
        <f t="shared" si="3"/>
        <v>14.200000000000001</v>
      </c>
      <c r="O90" s="251">
        <f t="shared" si="4"/>
        <v>971.00000000000011</v>
      </c>
      <c r="P90" s="249">
        <f>P89</f>
        <v>7469.8</v>
      </c>
      <c r="Q90" s="249">
        <f>Pensions!Q90</f>
        <v>176</v>
      </c>
      <c r="R90" s="252">
        <f>Pensions!S90</f>
        <v>160</v>
      </c>
      <c r="S90" s="253">
        <f t="shared" si="5"/>
        <v>0.5</v>
      </c>
      <c r="T90" s="720">
        <v>61</v>
      </c>
    </row>
    <row r="91" spans="1:20" ht="15.75" thickBot="1" x14ac:dyDescent="0.3">
      <c r="A91" s="261">
        <v>44275</v>
      </c>
      <c r="B91" s="262">
        <v>44377</v>
      </c>
      <c r="C91" s="263">
        <f>CEILING($I91+(C90-$I90)*ROUND(VLOOKUP($A91,Pensions!$A$8:$C$91,3)/VLOOKUP($A90,Pensions!$A$8:$C$91,3),3),0.1)</f>
        <v>1465</v>
      </c>
      <c r="D91" s="265">
        <f t="shared" si="0"/>
        <v>21.5</v>
      </c>
      <c r="E91" s="263">
        <f>CEILING($I91+(E90-$I90)*ROUND(VLOOKUP($A91,Pensions!$A$8:$C$91,3)/VLOOKUP($A90,Pensions!$A$8:$C$91,3),3),0.1)</f>
        <v>994.90000000000009</v>
      </c>
      <c r="F91" s="265">
        <f t="shared" si="1"/>
        <v>14.5</v>
      </c>
      <c r="G91" s="263">
        <f>CEILING(I91+(G90-I90)*ROUND(VLOOKUP($A91,Pensions!$A$8:$C$91,3)/VLOOKUP($A90,Pensions!$A$8:$C$91,3),3),0.1)</f>
        <v>809.6</v>
      </c>
      <c r="H91" s="265">
        <v>11.8</v>
      </c>
      <c r="I91" s="263">
        <f>CEILING(I90*ROUND(VLOOKUP($A91,Pensions!$A$8:$C$91,3)/VLOOKUP($A90,Pensions!$A$8:$C$91,3),3),0.1)</f>
        <v>520.80000000000007</v>
      </c>
      <c r="J91" s="265">
        <f t="shared" si="2"/>
        <v>7.7</v>
      </c>
      <c r="K91" s="263">
        <f>Pensions!C91</f>
        <v>881.40000000000009</v>
      </c>
      <c r="L91" s="264">
        <f>IndexAmt(L90,"peCpiFp",$B89,0.1,6)</f>
        <v>32.800000000000004</v>
      </c>
      <c r="M91" s="264">
        <f>CEILING(M90*ROUND(VLOOKUP($A91,Pensions!$A$8:$C$91,3)/VLOOKUP($A90,Pensions!$A$8:$C$91,3),3),0.1)</f>
        <v>55.1</v>
      </c>
      <c r="N91" s="265">
        <f t="shared" si="3"/>
        <v>14.200000000000001</v>
      </c>
      <c r="O91" s="265">
        <f t="shared" si="4"/>
        <v>983.50000000000011</v>
      </c>
      <c r="P91" s="263">
        <f>CEILING(P90*ROUND(VLOOKUP($A91,Pensions!$A$8:$C$91,3)/VLOOKUP($A90,Pensions!$A$8:$C$91,3),3),2.6)</f>
        <v>7568.6</v>
      </c>
      <c r="Q91" s="263">
        <f>Pensions!Q91</f>
        <v>176</v>
      </c>
      <c r="R91" s="266">
        <f>Pensions!S91</f>
        <v>160</v>
      </c>
      <c r="S91" s="267">
        <f t="shared" si="5"/>
        <v>0.5</v>
      </c>
      <c r="T91" s="721">
        <v>61</v>
      </c>
    </row>
  </sheetData>
  <customSheetViews>
    <customSheetView guid="{E49C2F27-B0B9-497E-BEC0-5B59561292FE}">
      <pane xSplit="2" ySplit="7" topLeftCell="C41" activePane="bottomRight" state="frozen"/>
      <selection pane="bottomRight" activeCell="G59" sqref="G59"/>
      <pageMargins left="0.7" right="0.7" top="0.75" bottom="0.75" header="0.3" footer="0.3"/>
      <pageSetup paperSize="9" orientation="portrait" r:id="rId1"/>
    </customSheetView>
    <customSheetView guid="{A5953138-1481-4137-BEAD-32FA4FDF03E6}">
      <pane xSplit="2" ySplit="7" topLeftCell="C41" activePane="bottomRight" state="frozen"/>
      <selection pane="bottomRight" activeCell="G59" sqref="G59"/>
      <pageMargins left="0.7" right="0.7" top="0.75" bottom="0.75" header="0.3" footer="0.3"/>
      <pageSetup paperSize="9" orientation="portrait" r:id="rId2"/>
    </customSheetView>
    <customSheetView guid="{2A1F94CA-1A34-4418-88FD-EABF7586C2B2}">
      <pane xSplit="2" ySplit="7" topLeftCell="C41" activePane="bottomRight" state="frozen"/>
      <selection pane="bottomRight" activeCell="G59" sqref="G59"/>
      <pageMargins left="0.7" right="0.7" top="0.75" bottom="0.75" header="0.3" footer="0.3"/>
      <pageSetup paperSize="9" orientation="portrait" r:id="rId3"/>
    </customSheetView>
  </customSheetViews>
  <mergeCells count="31">
    <mergeCell ref="C1:O1"/>
    <mergeCell ref="P1:P6"/>
    <mergeCell ref="K2:O3"/>
    <mergeCell ref="O4:O6"/>
    <mergeCell ref="K5:K6"/>
    <mergeCell ref="L5:L6"/>
    <mergeCell ref="M5:M6"/>
    <mergeCell ref="C5:C6"/>
    <mergeCell ref="D5:D6"/>
    <mergeCell ref="H5:H6"/>
    <mergeCell ref="C2:J3"/>
    <mergeCell ref="C4:D4"/>
    <mergeCell ref="E4:F4"/>
    <mergeCell ref="G4:H4"/>
    <mergeCell ref="I4:J4"/>
    <mergeCell ref="A2:B3"/>
    <mergeCell ref="A4:A6"/>
    <mergeCell ref="B4:B6"/>
    <mergeCell ref="Q4:Q6"/>
    <mergeCell ref="E5:E6"/>
    <mergeCell ref="F5:F6"/>
    <mergeCell ref="G5:G6"/>
    <mergeCell ref="I5:I6"/>
    <mergeCell ref="J5:J6"/>
    <mergeCell ref="N5:N6"/>
    <mergeCell ref="K4:N4"/>
    <mergeCell ref="T1:T6"/>
    <mergeCell ref="S2:S6"/>
    <mergeCell ref="Q1:S1"/>
    <mergeCell ref="R4:R6"/>
    <mergeCell ref="Q2:R3"/>
  </mergeCells>
  <pageMargins left="0.7" right="0.7" top="0.75" bottom="0.75" header="0.3" footer="0.3"/>
  <pageSetup paperSize="9" orientation="portrait" r:id="rId4"/>
  <legacyDrawing r:id="rId5"/>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codeName="Sheet18">
    <tabColor rgb="FFFF0000"/>
  </sheetPr>
  <dimension ref="A1:T28"/>
  <sheetViews>
    <sheetView zoomScaleNormal="100" workbookViewId="0">
      <pane xSplit="2" ySplit="7" topLeftCell="E8" activePane="bottomRight" state="frozen"/>
      <selection pane="topRight" activeCell="C1" sqref="C1"/>
      <selection pane="bottomLeft" activeCell="A8" sqref="A8"/>
      <selection pane="bottomRight" activeCell="F50" sqref="F50"/>
    </sheetView>
  </sheetViews>
  <sheetFormatPr defaultRowHeight="15" x14ac:dyDescent="0.25"/>
  <cols>
    <col min="1" max="1" width="11.85546875" style="5" customWidth="1"/>
    <col min="2" max="2" width="11.7109375" style="5" customWidth="1"/>
    <col min="3" max="3" width="16.85546875" style="5" bestFit="1" customWidth="1"/>
    <col min="4" max="4" width="16.85546875" style="5" customWidth="1"/>
    <col min="5" max="5" width="15.5703125" style="5" bestFit="1" customWidth="1"/>
    <col min="6" max="6" width="15.5703125" style="5" customWidth="1"/>
    <col min="7" max="7" width="15.5703125" style="5" bestFit="1" customWidth="1"/>
    <col min="8" max="8" width="15.5703125" style="5" customWidth="1"/>
    <col min="9" max="9" width="15.5703125" style="5" bestFit="1" customWidth="1"/>
    <col min="10" max="10" width="15.5703125" style="5" customWidth="1"/>
    <col min="11" max="11" width="19.42578125" style="5" bestFit="1" customWidth="1"/>
    <col min="12" max="12" width="22.5703125" style="5" bestFit="1" customWidth="1"/>
    <col min="13" max="13" width="14.28515625" style="5" bestFit="1" customWidth="1"/>
    <col min="14" max="14" width="14.28515625" style="5" customWidth="1"/>
    <col min="15" max="15" width="32.140625" style="5" bestFit="1" customWidth="1"/>
    <col min="16" max="16" width="38.28515625" style="5" bestFit="1" customWidth="1"/>
    <col min="17" max="17" width="18.28515625" style="243" bestFit="1" customWidth="1"/>
    <col min="18" max="18" width="18.28515625" style="5" bestFit="1" customWidth="1"/>
    <col min="19" max="19" width="32.5703125" style="5" bestFit="1" customWidth="1"/>
    <col min="20" max="20" width="16.7109375" style="5" bestFit="1" customWidth="1"/>
    <col min="21" max="16384" width="9.140625" style="5"/>
  </cols>
  <sheetData>
    <row r="1" spans="1:20" ht="15.75" customHeight="1" thickBot="1" x14ac:dyDescent="0.3">
      <c r="A1" s="1199"/>
      <c r="B1" s="1199"/>
      <c r="C1" s="1181" t="s">
        <v>185</v>
      </c>
      <c r="D1" s="1182"/>
      <c r="E1" s="1182"/>
      <c r="F1" s="1182"/>
      <c r="G1" s="1182"/>
      <c r="H1" s="1182"/>
      <c r="I1" s="1182"/>
      <c r="J1" s="1182"/>
      <c r="K1" s="1182"/>
      <c r="L1" s="1182"/>
      <c r="M1" s="1182"/>
      <c r="N1" s="1182"/>
      <c r="O1" s="1182"/>
      <c r="P1" s="1157" t="s">
        <v>186</v>
      </c>
      <c r="Q1" s="1160" t="s">
        <v>262</v>
      </c>
      <c r="R1" s="1161"/>
      <c r="S1" s="1162"/>
      <c r="T1" s="1157" t="s">
        <v>552</v>
      </c>
    </row>
    <row r="2" spans="1:20" ht="15" customHeight="1" x14ac:dyDescent="0.25">
      <c r="A2" s="1200" t="s">
        <v>13</v>
      </c>
      <c r="B2" s="1201"/>
      <c r="C2" s="1168" t="s">
        <v>14</v>
      </c>
      <c r="D2" s="1183"/>
      <c r="E2" s="1183"/>
      <c r="F2" s="1183"/>
      <c r="G2" s="1183"/>
      <c r="H2" s="1183"/>
      <c r="I2" s="1183"/>
      <c r="J2" s="1183"/>
      <c r="K2" s="1168" t="s">
        <v>187</v>
      </c>
      <c r="L2" s="1183"/>
      <c r="M2" s="1183"/>
      <c r="N2" s="1183"/>
      <c r="O2" s="1169"/>
      <c r="P2" s="1158"/>
      <c r="Q2" s="1198" t="s">
        <v>15</v>
      </c>
      <c r="R2" s="1198"/>
      <c r="S2" s="1157" t="s">
        <v>22</v>
      </c>
      <c r="T2" s="1158"/>
    </row>
    <row r="3" spans="1:20" ht="15.75" thickBot="1" x14ac:dyDescent="0.3">
      <c r="A3" s="1202"/>
      <c r="B3" s="1203"/>
      <c r="C3" s="1184"/>
      <c r="D3" s="1185"/>
      <c r="E3" s="1185"/>
      <c r="F3" s="1185"/>
      <c r="G3" s="1185"/>
      <c r="H3" s="1185"/>
      <c r="I3" s="1185"/>
      <c r="J3" s="1185"/>
      <c r="K3" s="1184"/>
      <c r="L3" s="1185"/>
      <c r="M3" s="1185"/>
      <c r="N3" s="1185"/>
      <c r="O3" s="1186"/>
      <c r="P3" s="1158"/>
      <c r="Q3" s="1198"/>
      <c r="R3" s="1198"/>
      <c r="S3" s="1158"/>
      <c r="T3" s="1158"/>
    </row>
    <row r="4" spans="1:20" ht="15.75" customHeight="1" thickBot="1" x14ac:dyDescent="0.3">
      <c r="A4" s="1194" t="s">
        <v>16</v>
      </c>
      <c r="B4" s="1196" t="s">
        <v>17</v>
      </c>
      <c r="C4" s="1190" t="s">
        <v>18</v>
      </c>
      <c r="D4" s="1191"/>
      <c r="E4" s="1190" t="s">
        <v>19</v>
      </c>
      <c r="F4" s="1191"/>
      <c r="G4" s="1190" t="s">
        <v>20</v>
      </c>
      <c r="H4" s="1191"/>
      <c r="I4" s="1192">
        <v>1</v>
      </c>
      <c r="J4" s="1193"/>
      <c r="K4" s="1204" t="s">
        <v>188</v>
      </c>
      <c r="L4" s="1205"/>
      <c r="M4" s="1205"/>
      <c r="N4" s="1206"/>
      <c r="O4" s="1187" t="s">
        <v>189</v>
      </c>
      <c r="P4" s="1158"/>
      <c r="Q4" s="1163" t="s">
        <v>12</v>
      </c>
      <c r="R4" s="1163" t="s">
        <v>21</v>
      </c>
      <c r="S4" s="1158"/>
      <c r="T4" s="1158"/>
    </row>
    <row r="5" spans="1:20" ht="15" customHeight="1" x14ac:dyDescent="0.25">
      <c r="A5" s="1194"/>
      <c r="B5" s="1196"/>
      <c r="C5" s="1188" t="s">
        <v>342</v>
      </c>
      <c r="D5" s="1176" t="s">
        <v>605</v>
      </c>
      <c r="E5" s="1188" t="s">
        <v>342</v>
      </c>
      <c r="F5" s="1176" t="s">
        <v>605</v>
      </c>
      <c r="G5" s="1188" t="s">
        <v>342</v>
      </c>
      <c r="H5" s="1176" t="s">
        <v>605</v>
      </c>
      <c r="I5" s="1188" t="s">
        <v>342</v>
      </c>
      <c r="J5" s="1176" t="s">
        <v>605</v>
      </c>
      <c r="K5" s="1188" t="s">
        <v>181</v>
      </c>
      <c r="L5" s="1189" t="s">
        <v>190</v>
      </c>
      <c r="M5" s="1189" t="s">
        <v>191</v>
      </c>
      <c r="N5" s="1176" t="s">
        <v>605</v>
      </c>
      <c r="O5" s="1176"/>
      <c r="P5" s="1158"/>
      <c r="Q5" s="1163"/>
      <c r="R5" s="1163"/>
      <c r="S5" s="1158"/>
      <c r="T5" s="1158"/>
    </row>
    <row r="6" spans="1:20" ht="15.75" thickBot="1" x14ac:dyDescent="0.3">
      <c r="A6" s="1195"/>
      <c r="B6" s="1197"/>
      <c r="C6" s="1207"/>
      <c r="D6" s="1177"/>
      <c r="E6" s="1207"/>
      <c r="F6" s="1177"/>
      <c r="G6" s="1207"/>
      <c r="H6" s="1177"/>
      <c r="I6" s="1207"/>
      <c r="J6" s="1177"/>
      <c r="K6" s="1188"/>
      <c r="L6" s="1189"/>
      <c r="M6" s="1189"/>
      <c r="N6" s="1177"/>
      <c r="O6" s="1177"/>
      <c r="P6" s="1159"/>
      <c r="Q6" s="1163"/>
      <c r="R6" s="1163"/>
      <c r="S6" s="1158"/>
      <c r="T6" s="1159"/>
    </row>
    <row r="7" spans="1:20" ht="15.75" customHeight="1" thickBot="1" x14ac:dyDescent="0.3">
      <c r="A7" s="713" t="s">
        <v>550</v>
      </c>
      <c r="B7" s="714" t="s">
        <v>551</v>
      </c>
      <c r="C7" s="611" t="s">
        <v>752</v>
      </c>
      <c r="D7" s="612" t="s">
        <v>753</v>
      </c>
      <c r="E7" s="611" t="s">
        <v>754</v>
      </c>
      <c r="F7" s="612" t="s">
        <v>755</v>
      </c>
      <c r="G7" s="48" t="s">
        <v>756</v>
      </c>
      <c r="H7" s="49" t="s">
        <v>757</v>
      </c>
      <c r="I7" s="48" t="s">
        <v>758</v>
      </c>
      <c r="J7" s="49" t="s">
        <v>610</v>
      </c>
      <c r="K7" s="48" t="s">
        <v>759</v>
      </c>
      <c r="L7" s="244" t="s">
        <v>760</v>
      </c>
      <c r="M7" s="244" t="s">
        <v>761</v>
      </c>
      <c r="N7" s="49" t="s">
        <v>609</v>
      </c>
      <c r="O7" s="49" t="s">
        <v>762</v>
      </c>
      <c r="P7" s="48" t="s">
        <v>763</v>
      </c>
      <c r="Q7" s="83" t="s">
        <v>764</v>
      </c>
      <c r="R7" s="49" t="s">
        <v>765</v>
      </c>
      <c r="S7" s="49" t="s">
        <v>766</v>
      </c>
      <c r="T7" s="722" t="s">
        <v>360</v>
      </c>
    </row>
    <row r="8" spans="1:20" x14ac:dyDescent="0.25">
      <c r="A8" s="7">
        <v>36708</v>
      </c>
      <c r="B8" s="6">
        <v>37072</v>
      </c>
      <c r="C8" s="231">
        <v>695.6653846153846</v>
      </c>
      <c r="D8" s="620">
        <v>0</v>
      </c>
      <c r="E8" s="622">
        <v>480.13846153846151</v>
      </c>
      <c r="F8" s="623">
        <v>0</v>
      </c>
      <c r="G8" s="232">
        <v>395.84038461538461</v>
      </c>
      <c r="H8" s="232">
        <v>0</v>
      </c>
      <c r="I8" s="622">
        <v>263.88461538461536</v>
      </c>
      <c r="J8" s="232">
        <v>0</v>
      </c>
      <c r="K8" s="231">
        <v>379.35384615384612</v>
      </c>
      <c r="L8" s="232">
        <v>15.211538461538462</v>
      </c>
      <c r="M8" s="232">
        <v>25</v>
      </c>
      <c r="N8" s="232">
        <v>0</v>
      </c>
      <c r="O8" s="234">
        <v>419.56538461538463</v>
      </c>
      <c r="P8" s="234">
        <v>3247.4</v>
      </c>
      <c r="Q8" s="235">
        <v>106</v>
      </c>
      <c r="R8" s="233">
        <v>94</v>
      </c>
      <c r="S8" s="37">
        <v>0.4</v>
      </c>
      <c r="T8" s="715">
        <v>60</v>
      </c>
    </row>
    <row r="9" spans="1:20" x14ac:dyDescent="0.25">
      <c r="A9" s="7">
        <v>37073</v>
      </c>
      <c r="B9" s="6">
        <v>37437</v>
      </c>
      <c r="C9" s="231">
        <v>721.22692307692307</v>
      </c>
      <c r="D9" s="232">
        <v>0</v>
      </c>
      <c r="E9" s="231">
        <v>497.76923076923077</v>
      </c>
      <c r="F9" s="233">
        <v>0</v>
      </c>
      <c r="G9" s="232">
        <v>410.27884615384613</v>
      </c>
      <c r="H9" s="232">
        <v>0</v>
      </c>
      <c r="I9" s="231">
        <v>273.51153846153846</v>
      </c>
      <c r="J9" s="232">
        <v>0</v>
      </c>
      <c r="K9" s="231">
        <v>395.79615384615386</v>
      </c>
      <c r="L9" s="232">
        <v>15.784615384615385</v>
      </c>
      <c r="M9" s="232">
        <v>25</v>
      </c>
      <c r="N9" s="232">
        <v>0</v>
      </c>
      <c r="O9" s="236">
        <v>436.58076923076925</v>
      </c>
      <c r="P9" s="236">
        <v>3247.4</v>
      </c>
      <c r="Q9" s="235">
        <v>112</v>
      </c>
      <c r="R9" s="233">
        <v>100</v>
      </c>
      <c r="S9" s="37">
        <v>0.4</v>
      </c>
      <c r="T9" s="715">
        <v>60</v>
      </c>
    </row>
    <row r="10" spans="1:20" x14ac:dyDescent="0.25">
      <c r="A10" s="7">
        <v>37438</v>
      </c>
      <c r="B10" s="6">
        <v>37802</v>
      </c>
      <c r="C10" s="231">
        <v>742.5</v>
      </c>
      <c r="D10" s="232">
        <v>0</v>
      </c>
      <c r="E10" s="231">
        <v>512.46923076923076</v>
      </c>
      <c r="F10" s="233">
        <v>0</v>
      </c>
      <c r="G10" s="232">
        <v>422.30192307692306</v>
      </c>
      <c r="H10" s="232">
        <v>0</v>
      </c>
      <c r="I10" s="231">
        <v>281.53461538461539</v>
      </c>
      <c r="J10" s="232">
        <v>0</v>
      </c>
      <c r="K10" s="231">
        <v>414.29615384615386</v>
      </c>
      <c r="L10" s="232">
        <v>16.284615384615385</v>
      </c>
      <c r="M10" s="232">
        <v>25</v>
      </c>
      <c r="N10" s="232">
        <v>0</v>
      </c>
      <c r="O10" s="236">
        <v>455.58076923076925</v>
      </c>
      <c r="P10" s="236">
        <v>3317.2</v>
      </c>
      <c r="Q10" s="235">
        <v>116</v>
      </c>
      <c r="R10" s="233">
        <v>102</v>
      </c>
      <c r="S10" s="37">
        <v>0.4</v>
      </c>
      <c r="T10" s="715">
        <v>60</v>
      </c>
    </row>
    <row r="11" spans="1:20" x14ac:dyDescent="0.25">
      <c r="A11" s="7">
        <v>37803</v>
      </c>
      <c r="B11" s="6">
        <v>38168</v>
      </c>
      <c r="C11" s="231">
        <v>764.53846153846155</v>
      </c>
      <c r="D11" s="232">
        <v>0</v>
      </c>
      <c r="E11" s="231">
        <v>527.36153846153843</v>
      </c>
      <c r="F11" s="233">
        <v>0</v>
      </c>
      <c r="G11" s="232">
        <v>434.26730769230767</v>
      </c>
      <c r="H11" s="232">
        <v>0</v>
      </c>
      <c r="I11" s="231">
        <v>289.10769230769233</v>
      </c>
      <c r="J11" s="232">
        <v>0</v>
      </c>
      <c r="K11" s="231">
        <v>436.27692307692308</v>
      </c>
      <c r="L11" s="232">
        <v>16.707692307692305</v>
      </c>
      <c r="M11" s="232">
        <v>25</v>
      </c>
      <c r="N11" s="232">
        <v>0</v>
      </c>
      <c r="O11" s="236">
        <v>477.98461538461538</v>
      </c>
      <c r="P11" s="236">
        <v>3496.1</v>
      </c>
      <c r="Q11" s="235">
        <v>120</v>
      </c>
      <c r="R11" s="233">
        <v>106</v>
      </c>
      <c r="S11" s="37">
        <v>0.4</v>
      </c>
      <c r="T11" s="715">
        <v>60</v>
      </c>
    </row>
    <row r="12" spans="1:20" x14ac:dyDescent="0.25">
      <c r="A12" s="7">
        <v>38169</v>
      </c>
      <c r="B12" s="6">
        <v>38533</v>
      </c>
      <c r="C12" s="231">
        <v>789.6</v>
      </c>
      <c r="D12" s="232">
        <v>0</v>
      </c>
      <c r="E12" s="231">
        <v>543.66666666666663</v>
      </c>
      <c r="F12" s="233">
        <v>0</v>
      </c>
      <c r="G12" s="232">
        <v>447.15185185185186</v>
      </c>
      <c r="H12" s="232">
        <v>0</v>
      </c>
      <c r="I12" s="231">
        <v>296.55555555555554</v>
      </c>
      <c r="J12" s="232">
        <v>0</v>
      </c>
      <c r="K12" s="231">
        <v>453.8</v>
      </c>
      <c r="L12" s="232">
        <v>17.114814814814814</v>
      </c>
      <c r="M12" s="232">
        <v>25</v>
      </c>
      <c r="N12" s="232">
        <v>0</v>
      </c>
      <c r="O12" s="236">
        <v>495.9148148148148</v>
      </c>
      <c r="P12" s="236">
        <v>3638.9407407407407</v>
      </c>
      <c r="Q12" s="235">
        <v>122</v>
      </c>
      <c r="R12" s="233">
        <v>108</v>
      </c>
      <c r="S12" s="37">
        <v>0.4</v>
      </c>
      <c r="T12" s="715">
        <v>60</v>
      </c>
    </row>
    <row r="13" spans="1:20" x14ac:dyDescent="0.25">
      <c r="A13" s="7">
        <v>38534</v>
      </c>
      <c r="B13" s="6">
        <v>38898</v>
      </c>
      <c r="C13" s="231">
        <v>817.7461538461539</v>
      </c>
      <c r="D13" s="232">
        <v>0</v>
      </c>
      <c r="E13" s="231">
        <v>561.81153846153848</v>
      </c>
      <c r="F13" s="233">
        <v>0</v>
      </c>
      <c r="G13" s="232">
        <v>461.43461538461537</v>
      </c>
      <c r="H13" s="232">
        <v>0</v>
      </c>
      <c r="I13" s="231">
        <v>304.56538461538463</v>
      </c>
      <c r="J13" s="232">
        <v>0</v>
      </c>
      <c r="K13" s="231">
        <v>472.24615384615385</v>
      </c>
      <c r="L13" s="232">
        <v>17.553846153846155</v>
      </c>
      <c r="M13" s="232">
        <v>25</v>
      </c>
      <c r="N13" s="232">
        <v>0</v>
      </c>
      <c r="O13" s="236">
        <v>514.79999999999995</v>
      </c>
      <c r="P13" s="236">
        <v>3789.9</v>
      </c>
      <c r="Q13" s="235">
        <v>124</v>
      </c>
      <c r="R13" s="233">
        <v>110</v>
      </c>
      <c r="S13" s="37">
        <v>0.4</v>
      </c>
      <c r="T13" s="715">
        <v>60</v>
      </c>
    </row>
    <row r="14" spans="1:20" x14ac:dyDescent="0.25">
      <c r="A14" s="7">
        <v>38899</v>
      </c>
      <c r="B14" s="6">
        <v>39263</v>
      </c>
      <c r="C14" s="231">
        <v>853.97692307692307</v>
      </c>
      <c r="D14" s="232">
        <v>0</v>
      </c>
      <c r="E14" s="231">
        <v>585.47307692307686</v>
      </c>
      <c r="F14" s="233">
        <v>0</v>
      </c>
      <c r="G14" s="232">
        <v>480.22307692307692</v>
      </c>
      <c r="H14" s="232">
        <v>0</v>
      </c>
      <c r="I14" s="231">
        <v>315.48846153846154</v>
      </c>
      <c r="J14" s="232">
        <v>0</v>
      </c>
      <c r="K14" s="231">
        <v>495.56153846153848</v>
      </c>
      <c r="L14" s="232">
        <v>18.153846153846153</v>
      </c>
      <c r="M14" s="232">
        <v>25</v>
      </c>
      <c r="N14" s="232">
        <v>0</v>
      </c>
      <c r="O14" s="236">
        <v>538.71538461538466</v>
      </c>
      <c r="P14" s="236">
        <v>3980.6</v>
      </c>
      <c r="Q14" s="235">
        <v>128</v>
      </c>
      <c r="R14" s="233">
        <v>114</v>
      </c>
      <c r="S14" s="37">
        <v>0.4</v>
      </c>
      <c r="T14" s="715">
        <v>60</v>
      </c>
    </row>
    <row r="15" spans="1:20" x14ac:dyDescent="0.25">
      <c r="A15" s="7">
        <v>39264</v>
      </c>
      <c r="B15" s="6">
        <v>39629</v>
      </c>
      <c r="C15" s="231">
        <v>944.42307692307691</v>
      </c>
      <c r="D15" s="232">
        <v>0</v>
      </c>
      <c r="E15" s="231">
        <v>637.40769230769229</v>
      </c>
      <c r="F15" s="233">
        <v>0</v>
      </c>
      <c r="G15" s="232">
        <v>506.19230769230768</v>
      </c>
      <c r="H15" s="232">
        <v>0</v>
      </c>
      <c r="I15" s="231">
        <v>328.78076923076924</v>
      </c>
      <c r="J15" s="232">
        <v>0</v>
      </c>
      <c r="K15" s="231">
        <v>519.52307692307693</v>
      </c>
      <c r="L15" s="232">
        <v>18.553846153846155</v>
      </c>
      <c r="M15" s="232">
        <v>28.261538461538461</v>
      </c>
      <c r="N15" s="232">
        <v>0</v>
      </c>
      <c r="O15" s="236">
        <v>566.33846153846162</v>
      </c>
      <c r="P15" s="236">
        <v>4173.8</v>
      </c>
      <c r="Q15" s="235">
        <v>132</v>
      </c>
      <c r="R15" s="233">
        <v>116</v>
      </c>
      <c r="S15" s="37">
        <v>0.4</v>
      </c>
      <c r="T15" s="715">
        <v>60</v>
      </c>
    </row>
    <row r="16" spans="1:20" x14ac:dyDescent="0.25">
      <c r="A16" s="7">
        <v>39630</v>
      </c>
      <c r="B16" s="6">
        <v>39994</v>
      </c>
      <c r="C16" s="231">
        <v>995.29615384615386</v>
      </c>
      <c r="D16" s="232">
        <v>0</v>
      </c>
      <c r="E16" s="231">
        <v>675.31538461538457</v>
      </c>
      <c r="F16" s="233">
        <v>0</v>
      </c>
      <c r="G16" s="232">
        <v>549.31538461538469</v>
      </c>
      <c r="H16" s="232">
        <v>0</v>
      </c>
      <c r="I16" s="231">
        <v>353.60769230769233</v>
      </c>
      <c r="J16" s="232">
        <v>0</v>
      </c>
      <c r="K16" s="231">
        <v>541.40384615384608</v>
      </c>
      <c r="L16" s="232">
        <v>19.238461538461539</v>
      </c>
      <c r="M16" s="232">
        <v>36.530769230769231</v>
      </c>
      <c r="N16" s="232">
        <v>0</v>
      </c>
      <c r="O16" s="236">
        <v>597.17307692307691</v>
      </c>
      <c r="P16" s="236">
        <v>4352</v>
      </c>
      <c r="Q16" s="235">
        <v>138</v>
      </c>
      <c r="R16" s="233">
        <v>120</v>
      </c>
      <c r="S16" s="37">
        <v>0.4</v>
      </c>
      <c r="T16" s="715">
        <v>60</v>
      </c>
    </row>
    <row r="17" spans="1:20" x14ac:dyDescent="0.25">
      <c r="A17" s="7">
        <v>39995</v>
      </c>
      <c r="B17" s="6">
        <v>40359</v>
      </c>
      <c r="C17" s="231">
        <v>1032.4538461538461</v>
      </c>
      <c r="D17" s="232">
        <v>0</v>
      </c>
      <c r="E17" s="231">
        <v>700.52307692307693</v>
      </c>
      <c r="F17" s="233">
        <v>0</v>
      </c>
      <c r="G17" s="232">
        <v>569.8346153846154</v>
      </c>
      <c r="H17" s="232">
        <v>0</v>
      </c>
      <c r="I17" s="231">
        <v>366.7923076923077</v>
      </c>
      <c r="J17" s="232">
        <v>0</v>
      </c>
      <c r="K17" s="231">
        <v>608.33076923076919</v>
      </c>
      <c r="L17" s="232">
        <v>24.3</v>
      </c>
      <c r="M17" s="232">
        <v>37.992307692307691</v>
      </c>
      <c r="N17" s="232">
        <v>0</v>
      </c>
      <c r="O17" s="236">
        <v>670.62307692307695</v>
      </c>
      <c r="P17" s="236">
        <v>5137</v>
      </c>
      <c r="Q17" s="235">
        <v>142</v>
      </c>
      <c r="R17" s="233">
        <v>124</v>
      </c>
      <c r="S17" s="37">
        <v>0.47692307692307695</v>
      </c>
      <c r="T17" s="715">
        <v>60</v>
      </c>
    </row>
    <row r="18" spans="1:20" x14ac:dyDescent="0.25">
      <c r="A18" s="7">
        <v>40360</v>
      </c>
      <c r="B18" s="6">
        <v>40724</v>
      </c>
      <c r="C18" s="231">
        <v>1093.0538461538463</v>
      </c>
      <c r="D18" s="232">
        <v>0</v>
      </c>
      <c r="E18" s="231">
        <v>741.70769230769235</v>
      </c>
      <c r="F18" s="233">
        <v>0</v>
      </c>
      <c r="G18" s="232">
        <v>603.37307692307695</v>
      </c>
      <c r="H18" s="232">
        <v>0</v>
      </c>
      <c r="I18" s="231">
        <v>388.35384615384618</v>
      </c>
      <c r="J18" s="232">
        <v>0</v>
      </c>
      <c r="K18" s="231">
        <v>658.48846153846148</v>
      </c>
      <c r="L18" s="232">
        <v>26.388461538461538</v>
      </c>
      <c r="M18" s="232">
        <v>40.307692307692307</v>
      </c>
      <c r="N18" s="232">
        <v>0</v>
      </c>
      <c r="O18" s="236">
        <v>725.18461538461543</v>
      </c>
      <c r="P18" s="236">
        <v>5632.8</v>
      </c>
      <c r="Q18" s="235">
        <v>146</v>
      </c>
      <c r="R18" s="233">
        <v>128</v>
      </c>
      <c r="S18" s="37">
        <v>0.5</v>
      </c>
      <c r="T18" s="715">
        <v>60</v>
      </c>
    </row>
    <row r="19" spans="1:20" x14ac:dyDescent="0.25">
      <c r="A19" s="7">
        <v>40725</v>
      </c>
      <c r="B19" s="6">
        <v>41090</v>
      </c>
      <c r="C19" s="231">
        <v>1139.6538461538462</v>
      </c>
      <c r="D19" s="232">
        <v>0</v>
      </c>
      <c r="E19" s="231">
        <v>773.48076923076917</v>
      </c>
      <c r="F19" s="233">
        <v>0</v>
      </c>
      <c r="G19" s="232">
        <v>629.20769230769224</v>
      </c>
      <c r="H19" s="232">
        <v>0</v>
      </c>
      <c r="I19" s="231">
        <v>404.92692307692306</v>
      </c>
      <c r="J19" s="232">
        <v>0</v>
      </c>
      <c r="K19" s="231">
        <v>686.51923076923072</v>
      </c>
      <c r="L19" s="232">
        <v>27.292307692307691</v>
      </c>
      <c r="M19" s="232">
        <v>42.130769230769232</v>
      </c>
      <c r="N19" s="232">
        <v>0</v>
      </c>
      <c r="O19" s="236">
        <v>755.94230769230774</v>
      </c>
      <c r="P19" s="236">
        <v>5875.5</v>
      </c>
      <c r="Q19" s="235">
        <v>150</v>
      </c>
      <c r="R19" s="233">
        <v>132</v>
      </c>
      <c r="S19" s="37">
        <v>0.5</v>
      </c>
      <c r="T19" s="715">
        <v>60</v>
      </c>
    </row>
    <row r="20" spans="1:20" x14ac:dyDescent="0.25">
      <c r="A20" s="7">
        <v>41091</v>
      </c>
      <c r="B20" s="6">
        <v>41455</v>
      </c>
      <c r="C20" s="231">
        <v>1185.1423076923077</v>
      </c>
      <c r="D20" s="232">
        <v>5.5730769230769228</v>
      </c>
      <c r="E20" s="231">
        <v>804.426923076923</v>
      </c>
      <c r="F20" s="233">
        <v>3.7692307692307692</v>
      </c>
      <c r="G20" s="232">
        <v>654.42307692307691</v>
      </c>
      <c r="H20" s="232">
        <v>3.0692307692307694</v>
      </c>
      <c r="I20" s="231">
        <v>421.10769230769233</v>
      </c>
      <c r="J20" s="232">
        <v>1.9923076923076923</v>
      </c>
      <c r="K20" s="231">
        <v>713.98846153846159</v>
      </c>
      <c r="L20" s="232">
        <v>27.834615384615386</v>
      </c>
      <c r="M20" s="232">
        <v>43.92307692307692</v>
      </c>
      <c r="N20" s="232">
        <v>3.6884615384615382</v>
      </c>
      <c r="O20" s="236">
        <v>789.43461538461543</v>
      </c>
      <c r="P20" s="236">
        <v>6111.0999999999995</v>
      </c>
      <c r="Q20" s="235">
        <v>152</v>
      </c>
      <c r="R20" s="233">
        <v>134</v>
      </c>
      <c r="S20" s="37">
        <v>0.5</v>
      </c>
      <c r="T20" s="715">
        <v>60</v>
      </c>
    </row>
    <row r="21" spans="1:20" x14ac:dyDescent="0.25">
      <c r="A21" s="7">
        <v>41456</v>
      </c>
      <c r="B21" s="6">
        <v>41820</v>
      </c>
      <c r="C21" s="231">
        <v>1247.4461538461537</v>
      </c>
      <c r="D21" s="232">
        <v>20.96153846153846</v>
      </c>
      <c r="E21" s="231">
        <v>846.76153846153852</v>
      </c>
      <c r="F21" s="233">
        <v>14.157692307692308</v>
      </c>
      <c r="G21" s="232">
        <v>688.85384615384612</v>
      </c>
      <c r="H21" s="232">
        <v>11.557692307692308</v>
      </c>
      <c r="I21" s="231">
        <v>443.27307692307693</v>
      </c>
      <c r="J21" s="232">
        <v>7.5038461538461538</v>
      </c>
      <c r="K21" s="231">
        <v>751.39615384615388</v>
      </c>
      <c r="L21" s="232">
        <v>28.388461538461538</v>
      </c>
      <c r="M21" s="232">
        <v>46.365384615384613</v>
      </c>
      <c r="N21" s="232">
        <v>13.857692307692307</v>
      </c>
      <c r="O21" s="236">
        <v>840.00769230769231</v>
      </c>
      <c r="P21" s="236">
        <v>6434.6</v>
      </c>
      <c r="Q21" s="235">
        <v>156</v>
      </c>
      <c r="R21" s="233">
        <v>138</v>
      </c>
      <c r="S21" s="37">
        <v>0.5</v>
      </c>
      <c r="T21" s="715">
        <v>60</v>
      </c>
    </row>
    <row r="22" spans="1:20" x14ac:dyDescent="0.25">
      <c r="A22" s="7">
        <v>41821</v>
      </c>
      <c r="B22" s="6">
        <v>42185</v>
      </c>
      <c r="C22" s="231">
        <v>1288.1461538461538</v>
      </c>
      <c r="D22" s="232">
        <v>21.453846153846154</v>
      </c>
      <c r="E22" s="231">
        <v>874.48076923076928</v>
      </c>
      <c r="F22" s="233">
        <v>14.476923076923077</v>
      </c>
      <c r="G22" s="232">
        <v>711.46538461538455</v>
      </c>
      <c r="H22" s="232">
        <v>11.8</v>
      </c>
      <c r="I22" s="231">
        <v>457.81153846153848</v>
      </c>
      <c r="J22" s="232">
        <v>7.6769230769230772</v>
      </c>
      <c r="K22" s="231">
        <v>775.71153846153845</v>
      </c>
      <c r="L22" s="232">
        <v>29.084615384615386</v>
      </c>
      <c r="M22" s="232">
        <v>47.946153846153848</v>
      </c>
      <c r="N22" s="232">
        <v>14.176923076923076</v>
      </c>
      <c r="O22" s="236">
        <v>866.91923076923081</v>
      </c>
      <c r="P22" s="236">
        <v>6647</v>
      </c>
      <c r="Q22" s="235">
        <v>160</v>
      </c>
      <c r="R22" s="233">
        <v>142</v>
      </c>
      <c r="S22" s="37">
        <v>0.5</v>
      </c>
      <c r="T22" s="715">
        <v>60</v>
      </c>
    </row>
    <row r="23" spans="1:20" x14ac:dyDescent="0.25">
      <c r="A23" s="7">
        <v>42186</v>
      </c>
      <c r="B23" s="6">
        <v>42551</v>
      </c>
      <c r="C23" s="231">
        <v>1310.2296296296297</v>
      </c>
      <c r="D23" s="232">
        <v>21.5</v>
      </c>
      <c r="E23" s="231">
        <v>889.55555555555554</v>
      </c>
      <c r="F23" s="233">
        <v>14.5</v>
      </c>
      <c r="G23" s="232">
        <v>723.75925925925924</v>
      </c>
      <c r="H23" s="232">
        <v>11.8</v>
      </c>
      <c r="I23" s="231">
        <v>465.7037037037037</v>
      </c>
      <c r="J23" s="232">
        <v>7.7</v>
      </c>
      <c r="K23" s="231">
        <v>788.91851851851845</v>
      </c>
      <c r="L23" s="232">
        <v>29.514814814814816</v>
      </c>
      <c r="M23" s="232">
        <v>48.829629629629629</v>
      </c>
      <c r="N23" s="232">
        <v>14.2</v>
      </c>
      <c r="O23" s="236">
        <v>881.46296296296293</v>
      </c>
      <c r="P23" s="236">
        <v>6761.4444444444443</v>
      </c>
      <c r="Q23" s="235">
        <v>162</v>
      </c>
      <c r="R23" s="233">
        <v>144</v>
      </c>
      <c r="S23" s="37">
        <v>0.5</v>
      </c>
      <c r="T23" s="715">
        <v>60</v>
      </c>
    </row>
    <row r="24" spans="1:20" x14ac:dyDescent="0.25">
      <c r="A24" s="7">
        <v>42552</v>
      </c>
      <c r="B24" s="6">
        <v>42916</v>
      </c>
      <c r="C24" s="231">
        <f t="shared" ref="C24:T28" si="0">AnnualAverage($A24,C$7,DVAParms,DVADates,DVANames)</f>
        <v>1329.7153846153847</v>
      </c>
      <c r="D24" s="232">
        <f t="shared" si="0"/>
        <v>21.5</v>
      </c>
      <c r="E24" s="231">
        <f t="shared" si="0"/>
        <v>902.81923076923078</v>
      </c>
      <c r="F24" s="233">
        <f t="shared" si="0"/>
        <v>14.5</v>
      </c>
      <c r="G24" s="232">
        <f t="shared" si="0"/>
        <v>734.57692307692309</v>
      </c>
      <c r="H24" s="232">
        <f t="shared" si="0"/>
        <v>11.8</v>
      </c>
      <c r="I24" s="231">
        <f t="shared" si="0"/>
        <v>472.64230769230772</v>
      </c>
      <c r="J24" s="232">
        <f t="shared" si="0"/>
        <v>7.7</v>
      </c>
      <c r="K24" s="231">
        <f t="shared" si="0"/>
        <v>800.5038461538461</v>
      </c>
      <c r="L24" s="232">
        <f t="shared" si="0"/>
        <v>29.903846153846153</v>
      </c>
      <c r="M24" s="232">
        <f t="shared" si="0"/>
        <v>49.57692307692308</v>
      </c>
      <c r="N24" s="232">
        <f t="shared" si="0"/>
        <v>14.2</v>
      </c>
      <c r="O24" s="236">
        <f t="shared" si="0"/>
        <v>894.18461538461531</v>
      </c>
      <c r="P24" s="236">
        <f t="shared" si="0"/>
        <v>6863.1</v>
      </c>
      <c r="Q24" s="235">
        <f t="shared" si="0"/>
        <v>164</v>
      </c>
      <c r="R24" s="233">
        <f t="shared" si="0"/>
        <v>146</v>
      </c>
      <c r="S24" s="37">
        <f t="shared" si="0"/>
        <v>0.5</v>
      </c>
      <c r="T24" s="715">
        <f t="shared" si="0"/>
        <v>60</v>
      </c>
    </row>
    <row r="25" spans="1:20" x14ac:dyDescent="0.25">
      <c r="A25" s="9">
        <v>42917</v>
      </c>
      <c r="B25" s="8">
        <v>43281</v>
      </c>
      <c r="C25" s="237">
        <f t="shared" si="0"/>
        <v>1354.6884615384615</v>
      </c>
      <c r="D25" s="238">
        <f t="shared" si="0"/>
        <v>21.5</v>
      </c>
      <c r="E25" s="237">
        <f t="shared" si="0"/>
        <v>919.81153846153848</v>
      </c>
      <c r="F25" s="239">
        <f t="shared" si="0"/>
        <v>14.5</v>
      </c>
      <c r="G25" s="238">
        <f t="shared" si="0"/>
        <v>748.41923076923081</v>
      </c>
      <c r="H25" s="238">
        <f t="shared" si="0"/>
        <v>11.8</v>
      </c>
      <c r="I25" s="237">
        <f t="shared" si="0"/>
        <v>481.55384615384617</v>
      </c>
      <c r="J25" s="238">
        <f t="shared" si="0"/>
        <v>7.7</v>
      </c>
      <c r="K25" s="237">
        <f t="shared" si="0"/>
        <v>815.39615384615388</v>
      </c>
      <c r="L25" s="238">
        <f t="shared" si="0"/>
        <v>30.453846153846154</v>
      </c>
      <c r="M25" s="238">
        <f t="shared" si="0"/>
        <v>50.607692307692311</v>
      </c>
      <c r="N25" s="238">
        <f t="shared" si="0"/>
        <v>14.2</v>
      </c>
      <c r="O25" s="240">
        <f t="shared" si="0"/>
        <v>910.65769230769229</v>
      </c>
      <c r="P25" s="240">
        <f t="shared" si="0"/>
        <v>6993.1</v>
      </c>
      <c r="Q25" s="621">
        <f t="shared" si="0"/>
        <v>168</v>
      </c>
      <c r="R25" s="239">
        <f t="shared" si="0"/>
        <v>150</v>
      </c>
      <c r="S25" s="241">
        <f t="shared" si="0"/>
        <v>0.5</v>
      </c>
      <c r="T25" s="716">
        <f t="shared" si="0"/>
        <v>60.5</v>
      </c>
    </row>
    <row r="26" spans="1:20" x14ac:dyDescent="0.25">
      <c r="A26" s="9">
        <v>43282</v>
      </c>
      <c r="B26" s="8">
        <v>43646</v>
      </c>
      <c r="C26" s="237">
        <f t="shared" si="0"/>
        <v>1381.823076923077</v>
      </c>
      <c r="D26" s="238">
        <f t="shared" si="0"/>
        <v>21.5</v>
      </c>
      <c r="E26" s="237">
        <f t="shared" si="0"/>
        <v>938.29230769230765</v>
      </c>
      <c r="F26" s="239">
        <f t="shared" si="0"/>
        <v>14.5</v>
      </c>
      <c r="G26" s="238">
        <f t="shared" si="0"/>
        <v>763.42307692307691</v>
      </c>
      <c r="H26" s="238">
        <f t="shared" si="0"/>
        <v>11.8</v>
      </c>
      <c r="I26" s="237">
        <f t="shared" si="0"/>
        <v>491.21923076923076</v>
      </c>
      <c r="J26" s="238">
        <f t="shared" si="0"/>
        <v>7.7</v>
      </c>
      <c r="K26" s="237">
        <f t="shared" si="0"/>
        <v>831.55384615384617</v>
      </c>
      <c r="L26" s="238">
        <f t="shared" si="0"/>
        <v>31.034615384615385</v>
      </c>
      <c r="M26" s="238">
        <f t="shared" si="0"/>
        <v>51.769230769230774</v>
      </c>
      <c r="N26" s="238">
        <f t="shared" si="0"/>
        <v>14.2</v>
      </c>
      <c r="O26" s="240">
        <f t="shared" si="0"/>
        <v>928.55769230769238</v>
      </c>
      <c r="P26" s="240">
        <f t="shared" si="0"/>
        <v>7134.8</v>
      </c>
      <c r="Q26" s="621">
        <f t="shared" si="0"/>
        <v>170</v>
      </c>
      <c r="R26" s="239">
        <f t="shared" si="0"/>
        <v>152</v>
      </c>
      <c r="S26" s="241">
        <f t="shared" si="0"/>
        <v>0.5</v>
      </c>
      <c r="T26" s="716">
        <f t="shared" si="0"/>
        <v>60.5</v>
      </c>
    </row>
    <row r="27" spans="1:20" x14ac:dyDescent="0.25">
      <c r="A27" s="9">
        <v>43647</v>
      </c>
      <c r="B27" s="8">
        <v>44012</v>
      </c>
      <c r="C27" s="237">
        <f t="shared" si="0"/>
        <v>1411.45</v>
      </c>
      <c r="D27" s="238">
        <f t="shared" si="0"/>
        <v>21.5</v>
      </c>
      <c r="E27" s="237">
        <f t="shared" si="0"/>
        <v>958.5</v>
      </c>
      <c r="F27" s="239">
        <f t="shared" si="0"/>
        <v>14.5</v>
      </c>
      <c r="G27" s="238">
        <f t="shared" si="0"/>
        <v>779.87307692307695</v>
      </c>
      <c r="H27" s="238">
        <f t="shared" si="0"/>
        <v>11.8</v>
      </c>
      <c r="I27" s="237">
        <f t="shared" si="0"/>
        <v>501.77307692307693</v>
      </c>
      <c r="J27" s="238">
        <f t="shared" si="0"/>
        <v>7.7</v>
      </c>
      <c r="K27" s="237">
        <f t="shared" si="0"/>
        <v>849.4</v>
      </c>
      <c r="L27" s="238">
        <f t="shared" si="0"/>
        <v>31.638461538461538</v>
      </c>
      <c r="M27" s="238">
        <f t="shared" si="0"/>
        <v>52.949999999999996</v>
      </c>
      <c r="N27" s="238">
        <f t="shared" si="0"/>
        <v>14.2</v>
      </c>
      <c r="O27" s="240">
        <f t="shared" si="0"/>
        <v>948.18846153846152</v>
      </c>
      <c r="P27" s="240">
        <f t="shared" si="0"/>
        <v>7290.4</v>
      </c>
      <c r="Q27" s="621">
        <f t="shared" si="0"/>
        <v>172</v>
      </c>
      <c r="R27" s="239">
        <f t="shared" si="0"/>
        <v>156</v>
      </c>
      <c r="S27" s="241">
        <f t="shared" si="0"/>
        <v>0.5</v>
      </c>
      <c r="T27" s="716">
        <f t="shared" si="0"/>
        <v>61</v>
      </c>
    </row>
    <row r="28" spans="1:20" x14ac:dyDescent="0.25">
      <c r="A28" s="9">
        <v>44013</v>
      </c>
      <c r="B28" s="8">
        <v>44377</v>
      </c>
      <c r="C28" s="237">
        <f t="shared" ref="C28:T28" si="1">AnnualAverage($A28,C$7,DVAParms,DVADates,DVANames)</f>
        <v>1446.8961538461538</v>
      </c>
      <c r="D28" s="238">
        <f t="shared" si="0"/>
        <v>21.5</v>
      </c>
      <c r="E28" s="237">
        <f t="shared" si="1"/>
        <v>982.61538461538464</v>
      </c>
      <c r="F28" s="239">
        <f t="shared" si="0"/>
        <v>14.5</v>
      </c>
      <c r="G28" s="238">
        <f t="shared" si="1"/>
        <v>799.55</v>
      </c>
      <c r="H28" s="238">
        <f t="shared" si="0"/>
        <v>11.8</v>
      </c>
      <c r="I28" s="237">
        <f t="shared" si="1"/>
        <v>514.38076923076926</v>
      </c>
      <c r="J28" s="238">
        <f t="shared" si="0"/>
        <v>7.7</v>
      </c>
      <c r="K28" s="237">
        <f t="shared" si="1"/>
        <v>870.58076923076919</v>
      </c>
      <c r="L28" s="238">
        <f t="shared" si="1"/>
        <v>32.41538461538461</v>
      </c>
      <c r="M28" s="238">
        <f t="shared" si="1"/>
        <v>54.353846153846156</v>
      </c>
      <c r="N28" s="238">
        <f t="shared" si="0"/>
        <v>14.2</v>
      </c>
      <c r="O28" s="240">
        <f t="shared" si="1"/>
        <v>971.55</v>
      </c>
      <c r="P28" s="240">
        <f t="shared" si="1"/>
        <v>7474.2000000000007</v>
      </c>
      <c r="Q28" s="621">
        <f t="shared" si="1"/>
        <v>176</v>
      </c>
      <c r="R28" s="239">
        <f t="shared" si="1"/>
        <v>160</v>
      </c>
      <c r="S28" s="241">
        <f t="shared" si="1"/>
        <v>0.5</v>
      </c>
      <c r="T28" s="716">
        <f t="shared" si="1"/>
        <v>61</v>
      </c>
    </row>
  </sheetData>
  <customSheetViews>
    <customSheetView guid="{E49C2F27-B0B9-497E-BEC0-5B59561292FE}">
      <pane xSplit="2" ySplit="7" topLeftCell="C8" activePane="bottomRight" state="frozen"/>
      <selection pane="bottomRight" activeCell="F28" sqref="F28"/>
      <pageMargins left="0.7" right="0.7" top="0.75" bottom="0.75" header="0.3" footer="0.3"/>
      <pageSetup paperSize="9" orientation="portrait" r:id="rId1"/>
    </customSheetView>
    <customSheetView guid="{A5953138-1481-4137-BEAD-32FA4FDF03E6}">
      <pane xSplit="2" ySplit="7" topLeftCell="C8" activePane="bottomRight" state="frozen"/>
      <selection pane="bottomRight" activeCell="F28" sqref="F28"/>
      <pageMargins left="0.7" right="0.7" top="0.75" bottom="0.75" header="0.3" footer="0.3"/>
      <pageSetup paperSize="9" orientation="portrait" r:id="rId2"/>
    </customSheetView>
    <customSheetView guid="{2A1F94CA-1A34-4418-88FD-EABF7586C2B2}">
      <pane xSplit="2" ySplit="7" topLeftCell="C8" activePane="bottomRight" state="frozen"/>
      <selection pane="bottomRight" activeCell="F28" sqref="F28"/>
      <pageMargins left="0.7" right="0.7" top="0.75" bottom="0.75" header="0.3" footer="0.3"/>
      <pageSetup paperSize="9" orientation="portrait" r:id="rId3"/>
    </customSheetView>
  </customSheetViews>
  <mergeCells count="32">
    <mergeCell ref="O4:O6"/>
    <mergeCell ref="C1:O1"/>
    <mergeCell ref="C2:J3"/>
    <mergeCell ref="C4:D4"/>
    <mergeCell ref="E4:F4"/>
    <mergeCell ref="G4:H4"/>
    <mergeCell ref="I4:J4"/>
    <mergeCell ref="K4:N4"/>
    <mergeCell ref="H5:H6"/>
    <mergeCell ref="I5:I6"/>
    <mergeCell ref="J5:J6"/>
    <mergeCell ref="C5:C6"/>
    <mergeCell ref="D5:D6"/>
    <mergeCell ref="E5:E6"/>
    <mergeCell ref="F5:F6"/>
    <mergeCell ref="G5:G6"/>
    <mergeCell ref="T1:T6"/>
    <mergeCell ref="A4:A6"/>
    <mergeCell ref="B4:B6"/>
    <mergeCell ref="Q1:S1"/>
    <mergeCell ref="K2:O3"/>
    <mergeCell ref="Q2:R3"/>
    <mergeCell ref="S2:S6"/>
    <mergeCell ref="Q4:Q6"/>
    <mergeCell ref="R4:R6"/>
    <mergeCell ref="K5:K6"/>
    <mergeCell ref="L5:L6"/>
    <mergeCell ref="M5:M6"/>
    <mergeCell ref="P1:P6"/>
    <mergeCell ref="N5:N6"/>
    <mergeCell ref="A1:B1"/>
    <mergeCell ref="A2:B3"/>
  </mergeCells>
  <pageMargins left="0.7" right="0.7" top="0.75" bottom="0.75" header="0.3" footer="0.3"/>
  <pageSetup paperSize="9" orientation="portrait" r:id="rId4"/>
  <legacyDrawing r:id="rId5"/>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codeName="Sheet19">
    <tabColor rgb="FF00B0F0"/>
  </sheetPr>
  <dimension ref="A1:AQ91"/>
  <sheetViews>
    <sheetView zoomScaleNormal="100" workbookViewId="0">
      <pane xSplit="2" ySplit="7" topLeftCell="C69" activePane="bottomRight" state="frozen"/>
      <selection pane="topRight" activeCell="C1" sqref="C1"/>
      <selection pane="bottomLeft" activeCell="A8" sqref="A8"/>
      <selection pane="bottomRight" activeCell="M101" sqref="M101"/>
    </sheetView>
  </sheetViews>
  <sheetFormatPr defaultRowHeight="15" x14ac:dyDescent="0.25"/>
  <cols>
    <col min="1" max="2" width="12.5703125" style="28" bestFit="1" customWidth="1"/>
    <col min="3" max="3" width="14.42578125" style="12" customWidth="1"/>
    <col min="4" max="4" width="14.28515625" style="12" customWidth="1"/>
    <col min="5" max="5" width="11.7109375" style="12" customWidth="1"/>
    <col min="6" max="6" width="12.7109375" style="12" customWidth="1"/>
    <col min="7" max="7" width="11.7109375" style="12" customWidth="1"/>
    <col min="8" max="8" width="12" style="12" customWidth="1"/>
    <col min="9" max="10" width="12.5703125" style="12" customWidth="1"/>
    <col min="11" max="11" width="15.42578125" style="12" bestFit="1" customWidth="1"/>
    <col min="12" max="12" width="20.42578125" style="54" bestFit="1" customWidth="1"/>
    <col min="13" max="13" width="19.140625" style="12" bestFit="1" customWidth="1"/>
    <col min="14" max="14" width="11.7109375" style="12" customWidth="1"/>
    <col min="15" max="15" width="19.85546875" style="12" customWidth="1"/>
    <col min="16" max="16" width="21.42578125" style="12" customWidth="1"/>
    <col min="17" max="17" width="22.7109375" style="12" bestFit="1" customWidth="1"/>
    <col min="18" max="18" width="26.5703125" style="12" bestFit="1" customWidth="1"/>
    <col min="19" max="19" width="22.7109375" style="12" bestFit="1" customWidth="1"/>
    <col min="20" max="20" width="18.7109375" style="12" bestFit="1" customWidth="1"/>
    <col min="21" max="21" width="15.7109375" style="28" customWidth="1"/>
    <col min="22" max="23" width="15.7109375" style="53" customWidth="1"/>
    <col min="24" max="24" width="15.7109375" style="12" customWidth="1"/>
    <col min="25" max="25" width="19.7109375" style="12" bestFit="1" customWidth="1"/>
    <col min="26" max="26" width="18.7109375" style="12" bestFit="1" customWidth="1"/>
    <col min="27" max="27" width="16.140625" style="12" bestFit="1" customWidth="1"/>
    <col min="28" max="28" width="18.7109375" style="12" bestFit="1" customWidth="1"/>
    <col min="29" max="29" width="16.28515625" style="12" bestFit="1" customWidth="1"/>
    <col min="30" max="30" width="18.7109375" style="12" bestFit="1" customWidth="1"/>
    <col min="31" max="31" width="15.7109375" style="28" customWidth="1"/>
    <col min="32" max="33" width="15.7109375" style="12" customWidth="1"/>
    <col min="34" max="34" width="15.7109375" style="53" customWidth="1"/>
    <col min="35" max="36" width="15.7109375" style="28" customWidth="1"/>
    <col min="37" max="37" width="9.140625" style="28"/>
    <col min="38" max="38" width="12" style="28" bestFit="1" customWidth="1"/>
    <col min="39" max="39" width="11.5703125" style="28" bestFit="1" customWidth="1"/>
    <col min="40" max="40" width="8.7109375" style="28" bestFit="1" customWidth="1"/>
    <col min="41" max="16384" width="9.140625" style="28"/>
  </cols>
  <sheetData>
    <row r="1" spans="1:36" ht="15.75" customHeight="1" thickBot="1" x14ac:dyDescent="0.3">
      <c r="A1" s="87"/>
      <c r="B1" s="87"/>
      <c r="C1" s="1160" t="s">
        <v>23</v>
      </c>
      <c r="D1" s="1161"/>
      <c r="E1" s="1161"/>
      <c r="F1" s="1161"/>
      <c r="G1" s="1161"/>
      <c r="H1" s="1161"/>
      <c r="I1" s="1161"/>
      <c r="J1" s="1161"/>
      <c r="K1" s="1161"/>
      <c r="L1" s="1161"/>
      <c r="M1" s="1161"/>
      <c r="N1" s="1161"/>
      <c r="O1" s="1161"/>
      <c r="P1" s="1162"/>
      <c r="Q1" s="1160" t="s">
        <v>168</v>
      </c>
      <c r="R1" s="1161"/>
      <c r="S1" s="1161"/>
      <c r="T1" s="1161"/>
      <c r="U1" s="1161"/>
      <c r="V1" s="1161"/>
      <c r="W1" s="1161"/>
      <c r="X1" s="1161"/>
      <c r="Y1" s="1161"/>
      <c r="Z1" s="1161"/>
      <c r="AA1" s="1161"/>
      <c r="AB1" s="1161"/>
      <c r="AC1" s="1161"/>
      <c r="AD1" s="1161"/>
      <c r="AE1" s="1161"/>
      <c r="AF1" s="1161"/>
      <c r="AG1" s="1164" t="s">
        <v>197</v>
      </c>
      <c r="AH1" s="1214"/>
      <c r="AI1" s="1164" t="s">
        <v>200</v>
      </c>
      <c r="AJ1" s="1165"/>
    </row>
    <row r="2" spans="1:36" ht="15.75" customHeight="1" thickBot="1" x14ac:dyDescent="0.3">
      <c r="A2" s="1164" t="s">
        <v>13</v>
      </c>
      <c r="B2" s="1165"/>
      <c r="C2" s="1211" t="s">
        <v>12</v>
      </c>
      <c r="D2" s="1212"/>
      <c r="E2" s="1212"/>
      <c r="F2" s="1212"/>
      <c r="G2" s="1212"/>
      <c r="H2" s="1212"/>
      <c r="I2" s="1213"/>
      <c r="J2" s="1198" t="s">
        <v>180</v>
      </c>
      <c r="K2" s="1198"/>
      <c r="L2" s="1198"/>
      <c r="M2" s="1198"/>
      <c r="N2" s="1198"/>
      <c r="O2" s="1198"/>
      <c r="P2" s="1198"/>
      <c r="Q2" s="1211" t="s">
        <v>26</v>
      </c>
      <c r="R2" s="1212"/>
      <c r="S2" s="1212"/>
      <c r="T2" s="1212"/>
      <c r="U2" s="1212"/>
      <c r="V2" s="1212"/>
      <c r="W2" s="1212"/>
      <c r="X2" s="1212"/>
      <c r="Y2" s="1212"/>
      <c r="Z2" s="1213"/>
      <c r="AA2" s="1211" t="s">
        <v>175</v>
      </c>
      <c r="AB2" s="1212"/>
      <c r="AC2" s="1212"/>
      <c r="AD2" s="1212"/>
      <c r="AE2" s="1212"/>
      <c r="AF2" s="1213"/>
      <c r="AG2" s="1215"/>
      <c r="AH2" s="1216"/>
      <c r="AI2" s="1215"/>
      <c r="AJ2" s="1236"/>
    </row>
    <row r="3" spans="1:36" ht="15.75" customHeight="1" thickBot="1" x14ac:dyDescent="0.3">
      <c r="A3" s="1215"/>
      <c r="B3" s="1236"/>
      <c r="C3" s="1224" t="s">
        <v>181</v>
      </c>
      <c r="D3" s="1248" t="s">
        <v>179</v>
      </c>
      <c r="E3" s="1238"/>
      <c r="F3" s="1238"/>
      <c r="G3" s="1239"/>
      <c r="H3" s="1224" t="s">
        <v>605</v>
      </c>
      <c r="I3" s="1224" t="s">
        <v>182</v>
      </c>
      <c r="J3" s="1224" t="s">
        <v>181</v>
      </c>
      <c r="K3" s="1229" t="s">
        <v>179</v>
      </c>
      <c r="L3" s="1249"/>
      <c r="M3" s="1249"/>
      <c r="N3" s="1247"/>
      <c r="O3" s="1224" t="s">
        <v>605</v>
      </c>
      <c r="P3" s="1224" t="s">
        <v>183</v>
      </c>
      <c r="Q3" s="1229" t="s">
        <v>172</v>
      </c>
      <c r="R3" s="1247"/>
      <c r="S3" s="1229" t="s">
        <v>173</v>
      </c>
      <c r="T3" s="1230"/>
      <c r="U3" s="1157" t="s">
        <v>174</v>
      </c>
      <c r="V3" s="1235" t="s">
        <v>167</v>
      </c>
      <c r="W3" s="1235"/>
      <c r="X3" s="1235"/>
      <c r="Y3" s="1235"/>
      <c r="Z3" s="1235"/>
      <c r="AA3" s="1208" t="s">
        <v>169</v>
      </c>
      <c r="AB3" s="1209"/>
      <c r="AC3" s="1209"/>
      <c r="AD3" s="1210"/>
      <c r="AE3" s="1231" t="s">
        <v>176</v>
      </c>
      <c r="AF3" s="1233" t="s">
        <v>177</v>
      </c>
      <c r="AG3" s="1166"/>
      <c r="AH3" s="1217"/>
      <c r="AI3" s="1215"/>
      <c r="AJ3" s="1236"/>
    </row>
    <row r="4" spans="1:36" ht="15" customHeight="1" thickBot="1" x14ac:dyDescent="0.3">
      <c r="A4" s="1188" t="s">
        <v>16</v>
      </c>
      <c r="B4" s="1176" t="s">
        <v>17</v>
      </c>
      <c r="C4" s="1225"/>
      <c r="D4" s="1218" t="s">
        <v>30</v>
      </c>
      <c r="E4" s="1240" t="s">
        <v>31</v>
      </c>
      <c r="F4" s="1240" t="s">
        <v>32</v>
      </c>
      <c r="G4" s="1227" t="s">
        <v>33</v>
      </c>
      <c r="H4" s="1225"/>
      <c r="I4" s="1225"/>
      <c r="J4" s="1225"/>
      <c r="K4" s="1218" t="s">
        <v>30</v>
      </c>
      <c r="L4" s="1240" t="s">
        <v>31</v>
      </c>
      <c r="M4" s="1240" t="s">
        <v>32</v>
      </c>
      <c r="N4" s="1227" t="s">
        <v>33</v>
      </c>
      <c r="O4" s="1225"/>
      <c r="P4" s="1225"/>
      <c r="Q4" s="1218" t="s">
        <v>27</v>
      </c>
      <c r="R4" s="1227" t="s">
        <v>28</v>
      </c>
      <c r="S4" s="1218" t="s">
        <v>27</v>
      </c>
      <c r="T4" s="1227" t="s">
        <v>28</v>
      </c>
      <c r="U4" s="1158"/>
      <c r="V4" s="1235"/>
      <c r="W4" s="1235"/>
      <c r="X4" s="1235"/>
      <c r="Y4" s="1235"/>
      <c r="Z4" s="1235"/>
      <c r="AA4" s="1229" t="s">
        <v>12</v>
      </c>
      <c r="AB4" s="1247"/>
      <c r="AC4" s="1229" t="s">
        <v>21</v>
      </c>
      <c r="AD4" s="1247"/>
      <c r="AE4" s="1231"/>
      <c r="AF4" s="1233"/>
      <c r="AG4" s="1218" t="s">
        <v>122</v>
      </c>
      <c r="AH4" s="1221" t="s">
        <v>178</v>
      </c>
      <c r="AI4" s="1243"/>
      <c r="AJ4" s="1244"/>
    </row>
    <row r="5" spans="1:36" ht="26.25" customHeight="1" thickBot="1" x14ac:dyDescent="0.3">
      <c r="A5" s="1188"/>
      <c r="B5" s="1176"/>
      <c r="C5" s="1225"/>
      <c r="D5" s="1219"/>
      <c r="E5" s="1241"/>
      <c r="F5" s="1241"/>
      <c r="G5" s="1237"/>
      <c r="H5" s="1225"/>
      <c r="I5" s="1225"/>
      <c r="J5" s="1225"/>
      <c r="K5" s="1219"/>
      <c r="L5" s="1241"/>
      <c r="M5" s="1241"/>
      <c r="N5" s="1237"/>
      <c r="O5" s="1225"/>
      <c r="P5" s="1225"/>
      <c r="Q5" s="1219"/>
      <c r="R5" s="1237"/>
      <c r="S5" s="1219"/>
      <c r="T5" s="1237"/>
      <c r="U5" s="1158"/>
      <c r="V5" s="1238" t="s">
        <v>67</v>
      </c>
      <c r="W5" s="1239"/>
      <c r="X5" s="1229" t="s">
        <v>169</v>
      </c>
      <c r="Y5" s="1249"/>
      <c r="Z5" s="1247"/>
      <c r="AA5" s="1218" t="s">
        <v>29</v>
      </c>
      <c r="AB5" s="1227" t="s">
        <v>34</v>
      </c>
      <c r="AC5" s="1218" t="s">
        <v>29</v>
      </c>
      <c r="AD5" s="1227" t="s">
        <v>34</v>
      </c>
      <c r="AE5" s="1231"/>
      <c r="AF5" s="1233"/>
      <c r="AG5" s="1219"/>
      <c r="AH5" s="1222"/>
      <c r="AI5" s="1245"/>
      <c r="AJ5" s="1246"/>
    </row>
    <row r="6" spans="1:36" ht="15.75" thickBot="1" x14ac:dyDescent="0.3">
      <c r="A6" s="1207"/>
      <c r="B6" s="1177"/>
      <c r="C6" s="1226"/>
      <c r="D6" s="1220"/>
      <c r="E6" s="1242"/>
      <c r="F6" s="1242"/>
      <c r="G6" s="1228"/>
      <c r="H6" s="1226"/>
      <c r="I6" s="1226"/>
      <c r="J6" s="1226"/>
      <c r="K6" s="1220"/>
      <c r="L6" s="1242"/>
      <c r="M6" s="1242"/>
      <c r="N6" s="1228"/>
      <c r="O6" s="1226"/>
      <c r="P6" s="1226"/>
      <c r="Q6" s="1220"/>
      <c r="R6" s="1228"/>
      <c r="S6" s="1220"/>
      <c r="T6" s="1228"/>
      <c r="U6" s="1159"/>
      <c r="V6" s="212" t="s">
        <v>156</v>
      </c>
      <c r="W6" s="207" t="s">
        <v>157</v>
      </c>
      <c r="X6" s="213" t="s">
        <v>12</v>
      </c>
      <c r="Y6" s="213" t="s">
        <v>171</v>
      </c>
      <c r="Z6" s="183" t="s">
        <v>170</v>
      </c>
      <c r="AA6" s="1220"/>
      <c r="AB6" s="1228"/>
      <c r="AC6" s="1220"/>
      <c r="AD6" s="1228"/>
      <c r="AE6" s="1232"/>
      <c r="AF6" s="1234"/>
      <c r="AG6" s="1220"/>
      <c r="AH6" s="1223"/>
      <c r="AI6" s="214" t="s">
        <v>199</v>
      </c>
      <c r="AJ6" s="215" t="s">
        <v>198</v>
      </c>
    </row>
    <row r="7" spans="1:36" ht="15" customHeight="1" thickBot="1" x14ac:dyDescent="0.3">
      <c r="A7" s="713" t="s">
        <v>550</v>
      </c>
      <c r="B7" s="714" t="s">
        <v>551</v>
      </c>
      <c r="C7" s="227" t="s">
        <v>367</v>
      </c>
      <c r="D7" s="228" t="s">
        <v>368</v>
      </c>
      <c r="E7" s="229" t="s">
        <v>369</v>
      </c>
      <c r="F7" s="229" t="s">
        <v>370</v>
      </c>
      <c r="G7" s="230" t="s">
        <v>371</v>
      </c>
      <c r="H7" s="227" t="s">
        <v>612</v>
      </c>
      <c r="I7" s="227" t="s">
        <v>372</v>
      </c>
      <c r="J7" s="227" t="s">
        <v>373</v>
      </c>
      <c r="K7" s="228" t="s">
        <v>374</v>
      </c>
      <c r="L7" s="229" t="s">
        <v>375</v>
      </c>
      <c r="M7" s="229" t="s">
        <v>376</v>
      </c>
      <c r="N7" s="230" t="s">
        <v>377</v>
      </c>
      <c r="O7" s="227" t="s">
        <v>611</v>
      </c>
      <c r="P7" s="227" t="s">
        <v>378</v>
      </c>
      <c r="Q7" s="55" t="s">
        <v>379</v>
      </c>
      <c r="R7" s="56" t="s">
        <v>380</v>
      </c>
      <c r="S7" s="55" t="s">
        <v>381</v>
      </c>
      <c r="T7" s="56" t="s">
        <v>382</v>
      </c>
      <c r="U7" s="82" t="s">
        <v>383</v>
      </c>
      <c r="V7" s="208" t="s">
        <v>885</v>
      </c>
      <c r="W7" s="186" t="s">
        <v>886</v>
      </c>
      <c r="X7" s="55" t="s">
        <v>887</v>
      </c>
      <c r="Y7" s="185" t="s">
        <v>888</v>
      </c>
      <c r="Z7" s="56" t="s">
        <v>889</v>
      </c>
      <c r="AA7" s="55" t="s">
        <v>879</v>
      </c>
      <c r="AB7" s="56" t="s">
        <v>880</v>
      </c>
      <c r="AC7" s="55" t="s">
        <v>881</v>
      </c>
      <c r="AD7" s="56" t="s">
        <v>882</v>
      </c>
      <c r="AE7" s="83" t="s">
        <v>883</v>
      </c>
      <c r="AF7" s="56" t="s">
        <v>884</v>
      </c>
      <c r="AG7" s="55" t="s">
        <v>384</v>
      </c>
      <c r="AH7" s="186" t="s">
        <v>767</v>
      </c>
      <c r="AI7" s="83" t="s">
        <v>385</v>
      </c>
      <c r="AJ7" s="84" t="s">
        <v>386</v>
      </c>
    </row>
    <row r="8" spans="1:36" x14ac:dyDescent="0.25">
      <c r="A8" s="161">
        <v>36708</v>
      </c>
      <c r="B8" s="162">
        <v>36788</v>
      </c>
      <c r="C8" s="92">
        <v>372</v>
      </c>
      <c r="D8" s="18">
        <v>14.9</v>
      </c>
      <c r="E8" s="20"/>
      <c r="F8" s="20"/>
      <c r="G8" s="60">
        <f>D8</f>
        <v>14.9</v>
      </c>
      <c r="H8" s="92"/>
      <c r="I8" s="92">
        <f t="shared" ref="I8:I70" si="0">SUM(C8,G8,H8)</f>
        <v>386.9</v>
      </c>
      <c r="J8" s="92">
        <v>310.5</v>
      </c>
      <c r="K8" s="18">
        <v>12.4</v>
      </c>
      <c r="L8" s="20"/>
      <c r="M8" s="20"/>
      <c r="N8" s="60">
        <v>12.4</v>
      </c>
      <c r="O8" s="92"/>
      <c r="P8" s="92">
        <f t="shared" ref="P8:P71" si="1">SUM(J8,N8,O8)</f>
        <v>322.89999999999998</v>
      </c>
      <c r="Q8" s="18">
        <v>106</v>
      </c>
      <c r="R8" s="60">
        <v>24.6</v>
      </c>
      <c r="S8" s="18">
        <v>94</v>
      </c>
      <c r="T8" s="60">
        <v>12.3</v>
      </c>
      <c r="U8" s="10">
        <v>0.4</v>
      </c>
      <c r="V8" s="58">
        <v>3.5000000000000003E-2</v>
      </c>
      <c r="W8" s="57">
        <v>5.5E-2</v>
      </c>
      <c r="X8" s="18">
        <v>31600</v>
      </c>
      <c r="Y8" s="20">
        <v>52600</v>
      </c>
      <c r="Z8" s="60">
        <f>Y8/2</f>
        <v>26300</v>
      </c>
      <c r="AA8" s="18">
        <v>133250</v>
      </c>
      <c r="AB8" s="60">
        <v>228750</v>
      </c>
      <c r="AC8" s="18">
        <v>189500</v>
      </c>
      <c r="AD8" s="60">
        <v>285000</v>
      </c>
      <c r="AE8" s="10">
        <f>19.5/(250*26)</f>
        <v>3.0000000000000001E-3</v>
      </c>
      <c r="AF8" s="92">
        <v>250</v>
      </c>
      <c r="AG8" s="18"/>
      <c r="AH8" s="57"/>
      <c r="AI8" s="3">
        <v>65</v>
      </c>
      <c r="AJ8" s="4">
        <v>61.5</v>
      </c>
    </row>
    <row r="9" spans="1:36" x14ac:dyDescent="0.25">
      <c r="A9" s="163">
        <v>36789</v>
      </c>
      <c r="B9" s="164">
        <v>36891</v>
      </c>
      <c r="C9" s="93">
        <v>378.90000000000003</v>
      </c>
      <c r="D9" s="17">
        <v>15.2</v>
      </c>
      <c r="E9" s="19"/>
      <c r="F9" s="19"/>
      <c r="G9" s="35">
        <f t="shared" ref="G9:G44" si="2">D9</f>
        <v>15.2</v>
      </c>
      <c r="H9" s="93"/>
      <c r="I9" s="93">
        <f t="shared" si="0"/>
        <v>394.1</v>
      </c>
      <c r="J9" s="93">
        <v>316.3</v>
      </c>
      <c r="K9" s="17">
        <v>12.600000000000001</v>
      </c>
      <c r="L9" s="19"/>
      <c r="M9" s="19"/>
      <c r="N9" s="35">
        <v>12.600000000000001</v>
      </c>
      <c r="O9" s="93"/>
      <c r="P9" s="93">
        <f t="shared" si="1"/>
        <v>328.90000000000003</v>
      </c>
      <c r="Q9" s="17">
        <v>106</v>
      </c>
      <c r="R9" s="35">
        <v>24.6</v>
      </c>
      <c r="S9" s="17">
        <v>94</v>
      </c>
      <c r="T9" s="35">
        <v>12.3</v>
      </c>
      <c r="U9" s="11">
        <v>0.4</v>
      </c>
      <c r="V9" s="62">
        <f t="shared" ref="V9:W11" si="3">V8</f>
        <v>3.5000000000000003E-2</v>
      </c>
      <c r="W9" s="61">
        <f t="shared" si="3"/>
        <v>5.5E-2</v>
      </c>
      <c r="X9" s="17">
        <v>31600</v>
      </c>
      <c r="Y9" s="19">
        <v>52600</v>
      </c>
      <c r="Z9" s="35">
        <f t="shared" ref="Z9:Z72" si="4">Y9/2</f>
        <v>26300</v>
      </c>
      <c r="AA9" s="17">
        <v>133250</v>
      </c>
      <c r="AB9" s="35">
        <v>228750</v>
      </c>
      <c r="AC9" s="17">
        <v>189500</v>
      </c>
      <c r="AD9" s="35">
        <v>285000</v>
      </c>
      <c r="AE9" s="11">
        <f>AE8</f>
        <v>3.0000000000000001E-3</v>
      </c>
      <c r="AF9" s="93">
        <f>AF8</f>
        <v>250</v>
      </c>
      <c r="AG9" s="17"/>
      <c r="AH9" s="61"/>
      <c r="AI9" s="2">
        <f t="shared" ref="AI9:AJ24" si="5">AI8</f>
        <v>65</v>
      </c>
      <c r="AJ9" s="1">
        <f>AJ8</f>
        <v>61.5</v>
      </c>
    </row>
    <row r="10" spans="1:36" x14ac:dyDescent="0.25">
      <c r="A10" s="163">
        <v>36892</v>
      </c>
      <c r="B10" s="164">
        <v>36969</v>
      </c>
      <c r="C10" s="93">
        <v>378.90000000000003</v>
      </c>
      <c r="D10" s="17">
        <v>15.2</v>
      </c>
      <c r="E10" s="19"/>
      <c r="F10" s="19"/>
      <c r="G10" s="35">
        <f t="shared" si="2"/>
        <v>15.2</v>
      </c>
      <c r="H10" s="93"/>
      <c r="I10" s="93">
        <f t="shared" si="0"/>
        <v>394.1</v>
      </c>
      <c r="J10" s="93">
        <v>316.3</v>
      </c>
      <c r="K10" s="17">
        <v>12.600000000000001</v>
      </c>
      <c r="L10" s="19"/>
      <c r="M10" s="19"/>
      <c r="N10" s="35">
        <v>12.600000000000001</v>
      </c>
      <c r="O10" s="93"/>
      <c r="P10" s="93">
        <f t="shared" si="1"/>
        <v>328.90000000000003</v>
      </c>
      <c r="Q10" s="17">
        <v>106</v>
      </c>
      <c r="R10" s="35">
        <v>24.6</v>
      </c>
      <c r="S10" s="17">
        <v>94</v>
      </c>
      <c r="T10" s="35">
        <v>12.3</v>
      </c>
      <c r="U10" s="11">
        <v>0.4</v>
      </c>
      <c r="V10" s="62">
        <f t="shared" si="3"/>
        <v>3.5000000000000003E-2</v>
      </c>
      <c r="W10" s="61">
        <f t="shared" si="3"/>
        <v>5.5E-2</v>
      </c>
      <c r="X10" s="17">
        <v>31600</v>
      </c>
      <c r="Y10" s="19">
        <v>52600</v>
      </c>
      <c r="Z10" s="35">
        <f t="shared" si="4"/>
        <v>26300</v>
      </c>
      <c r="AA10" s="17">
        <v>133250</v>
      </c>
      <c r="AB10" s="35">
        <v>228750</v>
      </c>
      <c r="AC10" s="17">
        <v>189500</v>
      </c>
      <c r="AD10" s="35">
        <v>285000</v>
      </c>
      <c r="AE10" s="11">
        <f t="shared" ref="AE10:AF25" si="6">AE9</f>
        <v>3.0000000000000001E-3</v>
      </c>
      <c r="AF10" s="93">
        <f t="shared" si="6"/>
        <v>250</v>
      </c>
      <c r="AG10" s="17"/>
      <c r="AH10" s="61"/>
      <c r="AI10" s="2">
        <f t="shared" si="5"/>
        <v>65</v>
      </c>
      <c r="AJ10" s="1">
        <f>AJ9</f>
        <v>61.5</v>
      </c>
    </row>
    <row r="11" spans="1:36" ht="15.75" thickBot="1" x14ac:dyDescent="0.3">
      <c r="A11" s="180">
        <v>36970</v>
      </c>
      <c r="B11" s="181">
        <v>37072</v>
      </c>
      <c r="C11" s="94">
        <v>386.5</v>
      </c>
      <c r="D11" s="65">
        <v>15.5</v>
      </c>
      <c r="E11" s="68"/>
      <c r="F11" s="68"/>
      <c r="G11" s="69">
        <f t="shared" si="2"/>
        <v>15.5</v>
      </c>
      <c r="H11" s="94"/>
      <c r="I11" s="94">
        <f t="shared" si="0"/>
        <v>402</v>
      </c>
      <c r="J11" s="94">
        <v>322.7</v>
      </c>
      <c r="K11" s="65">
        <v>12.8</v>
      </c>
      <c r="L11" s="68"/>
      <c r="M11" s="68"/>
      <c r="N11" s="69">
        <v>12.8</v>
      </c>
      <c r="O11" s="94"/>
      <c r="P11" s="94">
        <f t="shared" si="1"/>
        <v>335.5</v>
      </c>
      <c r="Q11" s="65">
        <v>106</v>
      </c>
      <c r="R11" s="69">
        <v>24.6</v>
      </c>
      <c r="S11" s="65">
        <v>94</v>
      </c>
      <c r="T11" s="69">
        <v>12.3</v>
      </c>
      <c r="U11" s="64">
        <v>0.4</v>
      </c>
      <c r="V11" s="67">
        <f t="shared" si="3"/>
        <v>3.5000000000000003E-2</v>
      </c>
      <c r="W11" s="66">
        <f t="shared" si="3"/>
        <v>5.5E-2</v>
      </c>
      <c r="X11" s="65">
        <v>31600</v>
      </c>
      <c r="Y11" s="68">
        <v>52600</v>
      </c>
      <c r="Z11" s="69">
        <f t="shared" si="4"/>
        <v>26300</v>
      </c>
      <c r="AA11" s="65">
        <v>133250</v>
      </c>
      <c r="AB11" s="69">
        <v>228750</v>
      </c>
      <c r="AC11" s="65">
        <v>189500</v>
      </c>
      <c r="AD11" s="69">
        <v>285000</v>
      </c>
      <c r="AE11" s="64">
        <f t="shared" si="6"/>
        <v>3.0000000000000001E-3</v>
      </c>
      <c r="AF11" s="94">
        <f t="shared" si="6"/>
        <v>250</v>
      </c>
      <c r="AG11" s="65"/>
      <c r="AH11" s="66"/>
      <c r="AI11" s="85">
        <f t="shared" si="5"/>
        <v>65</v>
      </c>
      <c r="AJ11" s="70">
        <f>AJ10</f>
        <v>61.5</v>
      </c>
    </row>
    <row r="12" spans="1:36" x14ac:dyDescent="0.25">
      <c r="A12" s="161">
        <v>37073</v>
      </c>
      <c r="B12" s="162">
        <v>37153</v>
      </c>
      <c r="C12" s="92">
        <v>386.5</v>
      </c>
      <c r="D12" s="18">
        <v>15.5</v>
      </c>
      <c r="E12" s="20"/>
      <c r="F12" s="20"/>
      <c r="G12" s="60">
        <f t="shared" si="2"/>
        <v>15.5</v>
      </c>
      <c r="H12" s="92"/>
      <c r="I12" s="92">
        <f t="shared" si="0"/>
        <v>402</v>
      </c>
      <c r="J12" s="92">
        <v>322.7</v>
      </c>
      <c r="K12" s="18">
        <v>12.8</v>
      </c>
      <c r="L12" s="20"/>
      <c r="M12" s="20"/>
      <c r="N12" s="60">
        <v>12.8</v>
      </c>
      <c r="O12" s="92"/>
      <c r="P12" s="92">
        <f t="shared" si="1"/>
        <v>335.5</v>
      </c>
      <c r="Q12" s="18">
        <v>112</v>
      </c>
      <c r="R12" s="60">
        <v>24.6</v>
      </c>
      <c r="S12" s="18">
        <v>100</v>
      </c>
      <c r="T12" s="60">
        <v>12.3</v>
      </c>
      <c r="U12" s="10">
        <v>0.4</v>
      </c>
      <c r="V12" s="58">
        <v>0.03</v>
      </c>
      <c r="W12" s="57">
        <v>4.4999999999999998E-2</v>
      </c>
      <c r="X12" s="18">
        <v>33400</v>
      </c>
      <c r="Y12" s="20">
        <v>55800</v>
      </c>
      <c r="Z12" s="60">
        <f t="shared" si="4"/>
        <v>27900</v>
      </c>
      <c r="AA12" s="18">
        <v>141000</v>
      </c>
      <c r="AB12" s="60">
        <f>AA12+(AD12-AC12)</f>
        <v>242000</v>
      </c>
      <c r="AC12" s="18">
        <v>200500</v>
      </c>
      <c r="AD12" s="60">
        <v>301500</v>
      </c>
      <c r="AE12" s="10">
        <f t="shared" si="6"/>
        <v>3.0000000000000001E-3</v>
      </c>
      <c r="AF12" s="92">
        <f t="shared" si="6"/>
        <v>250</v>
      </c>
      <c r="AG12" s="18"/>
      <c r="AH12" s="57"/>
      <c r="AI12" s="3">
        <f t="shared" si="5"/>
        <v>65</v>
      </c>
      <c r="AJ12" s="4">
        <v>62</v>
      </c>
    </row>
    <row r="13" spans="1:36" x14ac:dyDescent="0.25">
      <c r="A13" s="163">
        <v>37154</v>
      </c>
      <c r="B13" s="164">
        <v>37256</v>
      </c>
      <c r="C13" s="93">
        <v>394.70000000000005</v>
      </c>
      <c r="D13" s="17">
        <v>15.8</v>
      </c>
      <c r="E13" s="19"/>
      <c r="F13" s="19"/>
      <c r="G13" s="35">
        <f t="shared" si="2"/>
        <v>15.8</v>
      </c>
      <c r="H13" s="93"/>
      <c r="I13" s="93">
        <f t="shared" si="0"/>
        <v>410.50000000000006</v>
      </c>
      <c r="J13" s="93">
        <v>329.6</v>
      </c>
      <c r="K13" s="17">
        <v>13</v>
      </c>
      <c r="L13" s="19"/>
      <c r="M13" s="19"/>
      <c r="N13" s="35">
        <v>13</v>
      </c>
      <c r="O13" s="93"/>
      <c r="P13" s="93">
        <f t="shared" si="1"/>
        <v>342.6</v>
      </c>
      <c r="Q13" s="17">
        <v>112</v>
      </c>
      <c r="R13" s="35">
        <v>24.6</v>
      </c>
      <c r="S13" s="17">
        <v>100</v>
      </c>
      <c r="T13" s="35">
        <v>12.3</v>
      </c>
      <c r="U13" s="11">
        <v>0.4</v>
      </c>
      <c r="V13" s="62">
        <f t="shared" ref="V13:W28" si="7">V12</f>
        <v>0.03</v>
      </c>
      <c r="W13" s="61">
        <f t="shared" si="7"/>
        <v>4.4999999999999998E-2</v>
      </c>
      <c r="X13" s="17">
        <v>33400</v>
      </c>
      <c r="Y13" s="19">
        <v>55800</v>
      </c>
      <c r="Z13" s="35">
        <f t="shared" si="4"/>
        <v>27900</v>
      </c>
      <c r="AA13" s="17">
        <v>141000</v>
      </c>
      <c r="AB13" s="35">
        <f>AB12</f>
        <v>242000</v>
      </c>
      <c r="AC13" s="17">
        <v>200500</v>
      </c>
      <c r="AD13" s="35">
        <v>301500</v>
      </c>
      <c r="AE13" s="11">
        <f t="shared" si="6"/>
        <v>3.0000000000000001E-3</v>
      </c>
      <c r="AF13" s="93">
        <f t="shared" si="6"/>
        <v>250</v>
      </c>
      <c r="AG13" s="17"/>
      <c r="AH13" s="61"/>
      <c r="AI13" s="2">
        <f t="shared" si="5"/>
        <v>65</v>
      </c>
      <c r="AJ13" s="1">
        <f>AJ12</f>
        <v>62</v>
      </c>
    </row>
    <row r="14" spans="1:36" x14ac:dyDescent="0.25">
      <c r="A14" s="163">
        <v>37257</v>
      </c>
      <c r="B14" s="164">
        <v>37334</v>
      </c>
      <c r="C14" s="93">
        <v>394.70000000000005</v>
      </c>
      <c r="D14" s="17">
        <v>15.8</v>
      </c>
      <c r="E14" s="19"/>
      <c r="F14" s="19"/>
      <c r="G14" s="35">
        <f t="shared" si="2"/>
        <v>15.8</v>
      </c>
      <c r="H14" s="93"/>
      <c r="I14" s="93">
        <f t="shared" si="0"/>
        <v>410.50000000000006</v>
      </c>
      <c r="J14" s="93">
        <v>329.6</v>
      </c>
      <c r="K14" s="17">
        <v>13</v>
      </c>
      <c r="L14" s="19"/>
      <c r="M14" s="19"/>
      <c r="N14" s="35">
        <v>13</v>
      </c>
      <c r="O14" s="93"/>
      <c r="P14" s="93">
        <f t="shared" si="1"/>
        <v>342.6</v>
      </c>
      <c r="Q14" s="17">
        <v>112</v>
      </c>
      <c r="R14" s="35">
        <v>24.6</v>
      </c>
      <c r="S14" s="17">
        <v>100</v>
      </c>
      <c r="T14" s="35">
        <v>12.3</v>
      </c>
      <c r="U14" s="11">
        <v>0.4</v>
      </c>
      <c r="V14" s="62">
        <f t="shared" si="7"/>
        <v>0.03</v>
      </c>
      <c r="W14" s="61">
        <f t="shared" si="7"/>
        <v>4.4999999999999998E-2</v>
      </c>
      <c r="X14" s="17">
        <v>33400</v>
      </c>
      <c r="Y14" s="19">
        <v>55800</v>
      </c>
      <c r="Z14" s="35">
        <f t="shared" si="4"/>
        <v>27900</v>
      </c>
      <c r="AA14" s="17">
        <v>141000</v>
      </c>
      <c r="AB14" s="35">
        <f>AB13</f>
        <v>242000</v>
      </c>
      <c r="AC14" s="17">
        <v>200500</v>
      </c>
      <c r="AD14" s="35">
        <v>301500</v>
      </c>
      <c r="AE14" s="11">
        <f t="shared" si="6"/>
        <v>3.0000000000000001E-3</v>
      </c>
      <c r="AF14" s="93">
        <f t="shared" si="6"/>
        <v>250</v>
      </c>
      <c r="AG14" s="17"/>
      <c r="AH14" s="61"/>
      <c r="AI14" s="2">
        <f t="shared" si="5"/>
        <v>65</v>
      </c>
      <c r="AJ14" s="1">
        <f t="shared" si="5"/>
        <v>62</v>
      </c>
    </row>
    <row r="15" spans="1:36" ht="15.75" thickBot="1" x14ac:dyDescent="0.3">
      <c r="A15" s="180">
        <v>37335</v>
      </c>
      <c r="B15" s="181">
        <v>37437</v>
      </c>
      <c r="C15" s="94">
        <v>405.8</v>
      </c>
      <c r="D15" s="65">
        <v>16</v>
      </c>
      <c r="E15" s="68"/>
      <c r="F15" s="68"/>
      <c r="G15" s="69">
        <f t="shared" si="2"/>
        <v>16</v>
      </c>
      <c r="H15" s="94"/>
      <c r="I15" s="94">
        <f t="shared" si="0"/>
        <v>421.8</v>
      </c>
      <c r="J15" s="94">
        <v>338.90000000000003</v>
      </c>
      <c r="K15" s="65">
        <v>13.2</v>
      </c>
      <c r="L15" s="68"/>
      <c r="M15" s="68"/>
      <c r="N15" s="69">
        <v>13.2</v>
      </c>
      <c r="O15" s="94"/>
      <c r="P15" s="94">
        <f t="shared" si="1"/>
        <v>352.1</v>
      </c>
      <c r="Q15" s="65">
        <v>112</v>
      </c>
      <c r="R15" s="69">
        <v>24.6</v>
      </c>
      <c r="S15" s="65">
        <v>100</v>
      </c>
      <c r="T15" s="69">
        <v>12.3</v>
      </c>
      <c r="U15" s="64">
        <v>0.4</v>
      </c>
      <c r="V15" s="67">
        <v>2.5000000000000001E-2</v>
      </c>
      <c r="W15" s="66">
        <v>0.04</v>
      </c>
      <c r="X15" s="65">
        <v>33400</v>
      </c>
      <c r="Y15" s="68">
        <v>55800</v>
      </c>
      <c r="Z15" s="69">
        <f t="shared" si="4"/>
        <v>27900</v>
      </c>
      <c r="AA15" s="65">
        <v>141000</v>
      </c>
      <c r="AB15" s="69">
        <f>AB14</f>
        <v>242000</v>
      </c>
      <c r="AC15" s="65">
        <v>200500</v>
      </c>
      <c r="AD15" s="69">
        <v>301500</v>
      </c>
      <c r="AE15" s="64">
        <f t="shared" si="6"/>
        <v>3.0000000000000001E-3</v>
      </c>
      <c r="AF15" s="94">
        <f t="shared" si="6"/>
        <v>250</v>
      </c>
      <c r="AG15" s="65"/>
      <c r="AH15" s="66"/>
      <c r="AI15" s="85">
        <f t="shared" si="5"/>
        <v>65</v>
      </c>
      <c r="AJ15" s="70">
        <f t="shared" si="5"/>
        <v>62</v>
      </c>
    </row>
    <row r="16" spans="1:36" x14ac:dyDescent="0.25">
      <c r="A16" s="161">
        <v>37438</v>
      </c>
      <c r="B16" s="162">
        <v>37518</v>
      </c>
      <c r="C16" s="92">
        <v>405.8</v>
      </c>
      <c r="D16" s="18">
        <v>16</v>
      </c>
      <c r="E16" s="20"/>
      <c r="F16" s="20"/>
      <c r="G16" s="60">
        <f t="shared" si="2"/>
        <v>16</v>
      </c>
      <c r="H16" s="92"/>
      <c r="I16" s="92">
        <f t="shared" si="0"/>
        <v>421.8</v>
      </c>
      <c r="J16" s="92">
        <v>338.90000000000003</v>
      </c>
      <c r="K16" s="18">
        <v>13.2</v>
      </c>
      <c r="L16" s="20"/>
      <c r="M16" s="20"/>
      <c r="N16" s="60">
        <v>13.2</v>
      </c>
      <c r="O16" s="92"/>
      <c r="P16" s="92">
        <f t="shared" si="1"/>
        <v>352.1</v>
      </c>
      <c r="Q16" s="18">
        <v>116</v>
      </c>
      <c r="R16" s="60">
        <v>24.6</v>
      </c>
      <c r="S16" s="18">
        <v>102</v>
      </c>
      <c r="T16" s="60">
        <v>12.3</v>
      </c>
      <c r="U16" s="10">
        <v>0.4</v>
      </c>
      <c r="V16" s="58">
        <f t="shared" si="7"/>
        <v>2.5000000000000001E-2</v>
      </c>
      <c r="W16" s="57">
        <f t="shared" si="7"/>
        <v>0.04</v>
      </c>
      <c r="X16" s="18">
        <v>34400</v>
      </c>
      <c r="Y16" s="20">
        <v>57400</v>
      </c>
      <c r="Z16" s="60">
        <f t="shared" si="4"/>
        <v>28700</v>
      </c>
      <c r="AA16" s="18">
        <v>145250</v>
      </c>
      <c r="AB16" s="60">
        <f>AA16+(AD16-AC16)</f>
        <v>249750</v>
      </c>
      <c r="AC16" s="18">
        <v>206500</v>
      </c>
      <c r="AD16" s="60">
        <v>311000</v>
      </c>
      <c r="AE16" s="10">
        <f t="shared" si="6"/>
        <v>3.0000000000000001E-3</v>
      </c>
      <c r="AF16" s="92">
        <f t="shared" si="6"/>
        <v>250</v>
      </c>
      <c r="AG16" s="18"/>
      <c r="AH16" s="57"/>
      <c r="AI16" s="3">
        <f t="shared" si="5"/>
        <v>65</v>
      </c>
      <c r="AJ16" s="4">
        <f t="shared" si="5"/>
        <v>62</v>
      </c>
    </row>
    <row r="17" spans="1:36" x14ac:dyDescent="0.25">
      <c r="A17" s="163">
        <v>37519</v>
      </c>
      <c r="B17" s="164">
        <v>37621</v>
      </c>
      <c r="C17" s="93">
        <v>413.1</v>
      </c>
      <c r="D17" s="17">
        <v>16.3</v>
      </c>
      <c r="E17" s="19"/>
      <c r="F17" s="19"/>
      <c r="G17" s="35">
        <f t="shared" si="2"/>
        <v>16.3</v>
      </c>
      <c r="H17" s="93"/>
      <c r="I17" s="93">
        <f t="shared" si="0"/>
        <v>429.40000000000003</v>
      </c>
      <c r="J17" s="93">
        <v>345</v>
      </c>
      <c r="K17" s="17">
        <v>13.400000000000002</v>
      </c>
      <c r="L17" s="19"/>
      <c r="M17" s="19"/>
      <c r="N17" s="35">
        <v>13.400000000000002</v>
      </c>
      <c r="O17" s="93"/>
      <c r="P17" s="93">
        <f t="shared" si="1"/>
        <v>358.4</v>
      </c>
      <c r="Q17" s="17">
        <v>116</v>
      </c>
      <c r="R17" s="35">
        <v>24.6</v>
      </c>
      <c r="S17" s="17">
        <v>102</v>
      </c>
      <c r="T17" s="35">
        <v>12.3</v>
      </c>
      <c r="U17" s="11">
        <v>0.4</v>
      </c>
      <c r="V17" s="62">
        <f t="shared" si="7"/>
        <v>2.5000000000000001E-2</v>
      </c>
      <c r="W17" s="61">
        <f t="shared" si="7"/>
        <v>0.04</v>
      </c>
      <c r="X17" s="17">
        <v>34400</v>
      </c>
      <c r="Y17" s="19">
        <v>57400</v>
      </c>
      <c r="Z17" s="35">
        <f t="shared" si="4"/>
        <v>28700</v>
      </c>
      <c r="AA17" s="17">
        <v>145250</v>
      </c>
      <c r="AB17" s="35">
        <f>AB16</f>
        <v>249750</v>
      </c>
      <c r="AC17" s="17">
        <v>206500</v>
      </c>
      <c r="AD17" s="35">
        <v>311000</v>
      </c>
      <c r="AE17" s="11">
        <f t="shared" si="6"/>
        <v>3.0000000000000001E-3</v>
      </c>
      <c r="AF17" s="93">
        <f t="shared" si="6"/>
        <v>250</v>
      </c>
      <c r="AG17" s="17"/>
      <c r="AH17" s="61"/>
      <c r="AI17" s="2">
        <f t="shared" si="5"/>
        <v>65</v>
      </c>
      <c r="AJ17" s="1">
        <f t="shared" si="5"/>
        <v>62</v>
      </c>
    </row>
    <row r="18" spans="1:36" x14ac:dyDescent="0.25">
      <c r="A18" s="163">
        <v>37622</v>
      </c>
      <c r="B18" s="164">
        <v>37699</v>
      </c>
      <c r="C18" s="93">
        <v>413.1</v>
      </c>
      <c r="D18" s="17">
        <v>16.3</v>
      </c>
      <c r="E18" s="19"/>
      <c r="F18" s="19"/>
      <c r="G18" s="35">
        <f t="shared" si="2"/>
        <v>16.3</v>
      </c>
      <c r="H18" s="93"/>
      <c r="I18" s="93">
        <f t="shared" si="0"/>
        <v>429.40000000000003</v>
      </c>
      <c r="J18" s="93">
        <v>345</v>
      </c>
      <c r="K18" s="17">
        <v>13.400000000000002</v>
      </c>
      <c r="L18" s="19"/>
      <c r="M18" s="19"/>
      <c r="N18" s="35">
        <v>13.400000000000002</v>
      </c>
      <c r="O18" s="93"/>
      <c r="P18" s="93">
        <f t="shared" si="1"/>
        <v>358.4</v>
      </c>
      <c r="Q18" s="17">
        <v>116</v>
      </c>
      <c r="R18" s="35">
        <v>24.6</v>
      </c>
      <c r="S18" s="17">
        <v>102</v>
      </c>
      <c r="T18" s="35">
        <v>12.3</v>
      </c>
      <c r="U18" s="11">
        <v>0.4</v>
      </c>
      <c r="V18" s="62">
        <f t="shared" si="7"/>
        <v>2.5000000000000001E-2</v>
      </c>
      <c r="W18" s="61">
        <f t="shared" si="7"/>
        <v>0.04</v>
      </c>
      <c r="X18" s="17">
        <v>34400</v>
      </c>
      <c r="Y18" s="19">
        <v>57400</v>
      </c>
      <c r="Z18" s="35">
        <f t="shared" si="4"/>
        <v>28700</v>
      </c>
      <c r="AA18" s="17">
        <v>145250</v>
      </c>
      <c r="AB18" s="35">
        <f>AB17</f>
        <v>249750</v>
      </c>
      <c r="AC18" s="17">
        <v>206500</v>
      </c>
      <c r="AD18" s="35">
        <v>311000</v>
      </c>
      <c r="AE18" s="11">
        <f t="shared" si="6"/>
        <v>3.0000000000000001E-3</v>
      </c>
      <c r="AF18" s="93">
        <f t="shared" si="6"/>
        <v>250</v>
      </c>
      <c r="AG18" s="17"/>
      <c r="AH18" s="61"/>
      <c r="AI18" s="2">
        <f t="shared" si="5"/>
        <v>65</v>
      </c>
      <c r="AJ18" s="1">
        <f t="shared" si="5"/>
        <v>62</v>
      </c>
    </row>
    <row r="19" spans="1:36" ht="15.75" thickBot="1" x14ac:dyDescent="0.3">
      <c r="A19" s="180">
        <v>37700</v>
      </c>
      <c r="B19" s="181">
        <v>37802</v>
      </c>
      <c r="C19" s="94">
        <v>423.8</v>
      </c>
      <c r="D19" s="65">
        <v>16.5</v>
      </c>
      <c r="E19" s="68"/>
      <c r="F19" s="68"/>
      <c r="G19" s="69">
        <f t="shared" si="2"/>
        <v>16.5</v>
      </c>
      <c r="H19" s="94"/>
      <c r="I19" s="94">
        <f t="shared" si="0"/>
        <v>440.3</v>
      </c>
      <c r="J19" s="94">
        <v>353.90000000000003</v>
      </c>
      <c r="K19" s="65">
        <v>13.600000000000001</v>
      </c>
      <c r="L19" s="68"/>
      <c r="M19" s="68"/>
      <c r="N19" s="69">
        <v>13.600000000000001</v>
      </c>
      <c r="O19" s="94"/>
      <c r="P19" s="94">
        <f t="shared" si="1"/>
        <v>367.50000000000006</v>
      </c>
      <c r="Q19" s="65">
        <v>116</v>
      </c>
      <c r="R19" s="69">
        <v>24.6</v>
      </c>
      <c r="S19" s="65">
        <v>102</v>
      </c>
      <c r="T19" s="69">
        <v>12.3</v>
      </c>
      <c r="U19" s="64">
        <v>0.4</v>
      </c>
      <c r="V19" s="67">
        <f t="shared" si="7"/>
        <v>2.5000000000000001E-2</v>
      </c>
      <c r="W19" s="66">
        <f t="shared" si="7"/>
        <v>0.04</v>
      </c>
      <c r="X19" s="65">
        <v>34400</v>
      </c>
      <c r="Y19" s="68">
        <v>57400</v>
      </c>
      <c r="Z19" s="69">
        <f t="shared" si="4"/>
        <v>28700</v>
      </c>
      <c r="AA19" s="65">
        <v>145250</v>
      </c>
      <c r="AB19" s="69">
        <f>AB18</f>
        <v>249750</v>
      </c>
      <c r="AC19" s="65">
        <v>206500</v>
      </c>
      <c r="AD19" s="69">
        <v>311000</v>
      </c>
      <c r="AE19" s="64">
        <f t="shared" si="6"/>
        <v>3.0000000000000001E-3</v>
      </c>
      <c r="AF19" s="94">
        <f t="shared" si="6"/>
        <v>250</v>
      </c>
      <c r="AG19" s="65"/>
      <c r="AH19" s="66"/>
      <c r="AI19" s="85">
        <f t="shared" si="5"/>
        <v>65</v>
      </c>
      <c r="AJ19" s="70">
        <f t="shared" si="5"/>
        <v>62</v>
      </c>
    </row>
    <row r="20" spans="1:36" x14ac:dyDescent="0.25">
      <c r="A20" s="161">
        <v>37803</v>
      </c>
      <c r="B20" s="162">
        <v>37883</v>
      </c>
      <c r="C20" s="92">
        <v>423.8</v>
      </c>
      <c r="D20" s="18">
        <v>16.5</v>
      </c>
      <c r="E20" s="20"/>
      <c r="F20" s="20"/>
      <c r="G20" s="60">
        <f t="shared" si="2"/>
        <v>16.5</v>
      </c>
      <c r="H20" s="92"/>
      <c r="I20" s="92">
        <f t="shared" si="0"/>
        <v>440.3</v>
      </c>
      <c r="J20" s="92">
        <v>353.90000000000003</v>
      </c>
      <c r="K20" s="18">
        <v>13.600000000000001</v>
      </c>
      <c r="L20" s="20"/>
      <c r="M20" s="20"/>
      <c r="N20" s="60">
        <v>13.600000000000001</v>
      </c>
      <c r="O20" s="92"/>
      <c r="P20" s="92">
        <f t="shared" si="1"/>
        <v>367.50000000000006</v>
      </c>
      <c r="Q20" s="18">
        <v>120</v>
      </c>
      <c r="R20" s="60">
        <v>24.6</v>
      </c>
      <c r="S20" s="18">
        <v>106</v>
      </c>
      <c r="T20" s="60">
        <v>12.3</v>
      </c>
      <c r="U20" s="10">
        <v>0.4</v>
      </c>
      <c r="V20" s="58">
        <f t="shared" si="7"/>
        <v>2.5000000000000001E-2</v>
      </c>
      <c r="W20" s="57">
        <f t="shared" si="7"/>
        <v>0.04</v>
      </c>
      <c r="X20" s="18">
        <v>35600</v>
      </c>
      <c r="Y20" s="20">
        <v>59400</v>
      </c>
      <c r="Z20" s="60">
        <f t="shared" si="4"/>
        <v>29700</v>
      </c>
      <c r="AA20" s="18">
        <v>149500</v>
      </c>
      <c r="AB20" s="60">
        <f>AA20+(AD20-AC20)</f>
        <v>257500</v>
      </c>
      <c r="AC20" s="18">
        <v>212500</v>
      </c>
      <c r="AD20" s="60">
        <v>320500</v>
      </c>
      <c r="AE20" s="10">
        <f t="shared" si="6"/>
        <v>3.0000000000000001E-3</v>
      </c>
      <c r="AF20" s="92">
        <f t="shared" si="6"/>
        <v>250</v>
      </c>
      <c r="AG20" s="18"/>
      <c r="AH20" s="57"/>
      <c r="AI20" s="3">
        <f t="shared" si="5"/>
        <v>65</v>
      </c>
      <c r="AJ20" s="4">
        <v>62.5</v>
      </c>
    </row>
    <row r="21" spans="1:36" x14ac:dyDescent="0.25">
      <c r="A21" s="163">
        <v>37884</v>
      </c>
      <c r="B21" s="164">
        <v>37986</v>
      </c>
      <c r="C21" s="93">
        <v>436.1</v>
      </c>
      <c r="D21" s="17">
        <v>16.7</v>
      </c>
      <c r="E21" s="19"/>
      <c r="F21" s="19"/>
      <c r="G21" s="35">
        <f t="shared" si="2"/>
        <v>16.7</v>
      </c>
      <c r="H21" s="93"/>
      <c r="I21" s="93">
        <f t="shared" si="0"/>
        <v>452.8</v>
      </c>
      <c r="J21" s="93">
        <v>364.2</v>
      </c>
      <c r="K21" s="17">
        <v>13.8</v>
      </c>
      <c r="L21" s="19"/>
      <c r="M21" s="19"/>
      <c r="N21" s="35">
        <v>13.8</v>
      </c>
      <c r="O21" s="93"/>
      <c r="P21" s="93">
        <f t="shared" si="1"/>
        <v>378</v>
      </c>
      <c r="Q21" s="17">
        <v>120</v>
      </c>
      <c r="R21" s="35">
        <v>24.6</v>
      </c>
      <c r="S21" s="17">
        <v>106</v>
      </c>
      <c r="T21" s="35">
        <v>12.3</v>
      </c>
      <c r="U21" s="11">
        <v>0.4</v>
      </c>
      <c r="V21" s="62">
        <f t="shared" si="7"/>
        <v>2.5000000000000001E-2</v>
      </c>
      <c r="W21" s="61">
        <f t="shared" si="7"/>
        <v>0.04</v>
      </c>
      <c r="X21" s="17">
        <v>35600</v>
      </c>
      <c r="Y21" s="19">
        <v>59400</v>
      </c>
      <c r="Z21" s="35">
        <f t="shared" si="4"/>
        <v>29700</v>
      </c>
      <c r="AA21" s="17">
        <v>149500</v>
      </c>
      <c r="AB21" s="35">
        <f>AB20</f>
        <v>257500</v>
      </c>
      <c r="AC21" s="17">
        <v>212500</v>
      </c>
      <c r="AD21" s="35">
        <v>320500</v>
      </c>
      <c r="AE21" s="11">
        <f t="shared" si="6"/>
        <v>3.0000000000000001E-3</v>
      </c>
      <c r="AF21" s="93">
        <f t="shared" si="6"/>
        <v>250</v>
      </c>
      <c r="AG21" s="17"/>
      <c r="AH21" s="61"/>
      <c r="AI21" s="2">
        <f t="shared" si="5"/>
        <v>65</v>
      </c>
      <c r="AJ21" s="1">
        <f t="shared" si="5"/>
        <v>62.5</v>
      </c>
    </row>
    <row r="22" spans="1:36" x14ac:dyDescent="0.25">
      <c r="A22" s="163">
        <v>37987</v>
      </c>
      <c r="B22" s="164">
        <v>38065</v>
      </c>
      <c r="C22" s="93">
        <v>436.1</v>
      </c>
      <c r="D22" s="17">
        <v>16.7</v>
      </c>
      <c r="E22" s="19"/>
      <c r="F22" s="19"/>
      <c r="G22" s="35">
        <f t="shared" si="2"/>
        <v>16.7</v>
      </c>
      <c r="H22" s="93"/>
      <c r="I22" s="93">
        <f t="shared" si="0"/>
        <v>452.8</v>
      </c>
      <c r="J22" s="93">
        <v>364.2</v>
      </c>
      <c r="K22" s="17">
        <v>13.8</v>
      </c>
      <c r="L22" s="19"/>
      <c r="M22" s="19"/>
      <c r="N22" s="35">
        <v>13.8</v>
      </c>
      <c r="O22" s="93"/>
      <c r="P22" s="93">
        <f t="shared" si="1"/>
        <v>378</v>
      </c>
      <c r="Q22" s="17">
        <v>120</v>
      </c>
      <c r="R22" s="35">
        <v>24.6</v>
      </c>
      <c r="S22" s="17">
        <v>106</v>
      </c>
      <c r="T22" s="35">
        <v>12.3</v>
      </c>
      <c r="U22" s="11">
        <v>0.4</v>
      </c>
      <c r="V22" s="62">
        <f t="shared" si="7"/>
        <v>2.5000000000000001E-2</v>
      </c>
      <c r="W22" s="61">
        <f t="shared" si="7"/>
        <v>0.04</v>
      </c>
      <c r="X22" s="17">
        <v>35600</v>
      </c>
      <c r="Y22" s="19">
        <v>59400</v>
      </c>
      <c r="Z22" s="35">
        <f t="shared" si="4"/>
        <v>29700</v>
      </c>
      <c r="AA22" s="17">
        <v>149500</v>
      </c>
      <c r="AB22" s="35">
        <f>AB21</f>
        <v>257500</v>
      </c>
      <c r="AC22" s="17">
        <v>212500</v>
      </c>
      <c r="AD22" s="35">
        <v>320500</v>
      </c>
      <c r="AE22" s="11">
        <f t="shared" si="6"/>
        <v>3.0000000000000001E-3</v>
      </c>
      <c r="AF22" s="93">
        <f t="shared" si="6"/>
        <v>250</v>
      </c>
      <c r="AG22" s="17"/>
      <c r="AH22" s="61"/>
      <c r="AI22" s="2">
        <f t="shared" si="5"/>
        <v>65</v>
      </c>
      <c r="AJ22" s="1">
        <f t="shared" si="5"/>
        <v>62.5</v>
      </c>
    </row>
    <row r="23" spans="1:36" ht="15.75" thickBot="1" x14ac:dyDescent="0.3">
      <c r="A23" s="180">
        <v>38066</v>
      </c>
      <c r="B23" s="181">
        <v>38168</v>
      </c>
      <c r="C23" s="94">
        <v>447.3</v>
      </c>
      <c r="D23" s="65">
        <v>16.900000000000002</v>
      </c>
      <c r="E23" s="68"/>
      <c r="F23" s="68"/>
      <c r="G23" s="69">
        <f t="shared" si="2"/>
        <v>16.900000000000002</v>
      </c>
      <c r="H23" s="94"/>
      <c r="I23" s="94">
        <f t="shared" si="0"/>
        <v>464.2</v>
      </c>
      <c r="J23" s="94">
        <v>373.6</v>
      </c>
      <c r="K23" s="65">
        <v>14</v>
      </c>
      <c r="L23" s="68"/>
      <c r="M23" s="68"/>
      <c r="N23" s="69">
        <v>14</v>
      </c>
      <c r="O23" s="94"/>
      <c r="P23" s="94">
        <f t="shared" si="1"/>
        <v>387.6</v>
      </c>
      <c r="Q23" s="65">
        <v>120</v>
      </c>
      <c r="R23" s="69">
        <v>24.6</v>
      </c>
      <c r="S23" s="65">
        <v>106</v>
      </c>
      <c r="T23" s="69">
        <v>12.3</v>
      </c>
      <c r="U23" s="64">
        <v>0.4</v>
      </c>
      <c r="V23" s="67">
        <v>0.03</v>
      </c>
      <c r="W23" s="66">
        <v>0.05</v>
      </c>
      <c r="X23" s="65">
        <v>35600</v>
      </c>
      <c r="Y23" s="68">
        <v>59400</v>
      </c>
      <c r="Z23" s="69">
        <f t="shared" si="4"/>
        <v>29700</v>
      </c>
      <c r="AA23" s="65">
        <v>149500</v>
      </c>
      <c r="AB23" s="69">
        <f>AB22</f>
        <v>257500</v>
      </c>
      <c r="AC23" s="65">
        <v>212500</v>
      </c>
      <c r="AD23" s="69">
        <v>320500</v>
      </c>
      <c r="AE23" s="64">
        <f t="shared" si="6"/>
        <v>3.0000000000000001E-3</v>
      </c>
      <c r="AF23" s="94">
        <f t="shared" si="6"/>
        <v>250</v>
      </c>
      <c r="AG23" s="65"/>
      <c r="AH23" s="66"/>
      <c r="AI23" s="85">
        <f t="shared" si="5"/>
        <v>65</v>
      </c>
      <c r="AJ23" s="70">
        <f t="shared" si="5"/>
        <v>62.5</v>
      </c>
    </row>
    <row r="24" spans="1:36" x14ac:dyDescent="0.25">
      <c r="A24" s="161">
        <v>38169</v>
      </c>
      <c r="B24" s="162">
        <v>38249</v>
      </c>
      <c r="C24" s="92">
        <v>447.3</v>
      </c>
      <c r="D24" s="18">
        <v>16.900000000000002</v>
      </c>
      <c r="E24" s="20"/>
      <c r="F24" s="20"/>
      <c r="G24" s="60">
        <f t="shared" si="2"/>
        <v>16.900000000000002</v>
      </c>
      <c r="H24" s="92"/>
      <c r="I24" s="92">
        <f t="shared" si="0"/>
        <v>464.2</v>
      </c>
      <c r="J24" s="92">
        <v>373.6</v>
      </c>
      <c r="K24" s="18">
        <v>14</v>
      </c>
      <c r="L24" s="20"/>
      <c r="M24" s="20"/>
      <c r="N24" s="60">
        <v>14</v>
      </c>
      <c r="O24" s="92"/>
      <c r="P24" s="92">
        <f t="shared" si="1"/>
        <v>387.6</v>
      </c>
      <c r="Q24" s="18">
        <v>122</v>
      </c>
      <c r="R24" s="60">
        <v>24.6</v>
      </c>
      <c r="S24" s="18">
        <v>108</v>
      </c>
      <c r="T24" s="60">
        <v>12.3</v>
      </c>
      <c r="U24" s="10">
        <v>0.4</v>
      </c>
      <c r="V24" s="58">
        <f t="shared" si="7"/>
        <v>0.03</v>
      </c>
      <c r="W24" s="57">
        <f t="shared" si="7"/>
        <v>0.05</v>
      </c>
      <c r="X24" s="18">
        <v>36400</v>
      </c>
      <c r="Y24" s="20">
        <v>60600</v>
      </c>
      <c r="Z24" s="60">
        <f t="shared" si="4"/>
        <v>30300</v>
      </c>
      <c r="AA24" s="18">
        <v>153000</v>
      </c>
      <c r="AB24" s="60">
        <f>AA24+(AD24-AC24)</f>
        <v>263500</v>
      </c>
      <c r="AC24" s="18">
        <v>217500</v>
      </c>
      <c r="AD24" s="60">
        <v>328000</v>
      </c>
      <c r="AE24" s="10">
        <f t="shared" si="6"/>
        <v>3.0000000000000001E-3</v>
      </c>
      <c r="AF24" s="92">
        <f t="shared" si="6"/>
        <v>250</v>
      </c>
      <c r="AG24" s="18"/>
      <c r="AH24" s="57"/>
      <c r="AI24" s="3">
        <f t="shared" si="5"/>
        <v>65</v>
      </c>
      <c r="AJ24" s="4">
        <f t="shared" si="5"/>
        <v>62.5</v>
      </c>
    </row>
    <row r="25" spans="1:36" x14ac:dyDescent="0.25">
      <c r="A25" s="163">
        <v>38250</v>
      </c>
      <c r="B25" s="164">
        <v>38352</v>
      </c>
      <c r="C25" s="93">
        <v>453.6</v>
      </c>
      <c r="D25" s="17">
        <v>17.100000000000001</v>
      </c>
      <c r="E25" s="19"/>
      <c r="F25" s="19"/>
      <c r="G25" s="35">
        <f t="shared" si="2"/>
        <v>17.100000000000001</v>
      </c>
      <c r="H25" s="93"/>
      <c r="I25" s="93">
        <f t="shared" si="0"/>
        <v>470.70000000000005</v>
      </c>
      <c r="J25" s="93">
        <v>378.8</v>
      </c>
      <c r="K25" s="17">
        <v>14.2</v>
      </c>
      <c r="L25" s="19"/>
      <c r="M25" s="19"/>
      <c r="N25" s="35">
        <v>14.2</v>
      </c>
      <c r="O25" s="93"/>
      <c r="P25" s="93">
        <f t="shared" si="1"/>
        <v>393</v>
      </c>
      <c r="Q25" s="17">
        <v>122</v>
      </c>
      <c r="R25" s="35">
        <v>24.6</v>
      </c>
      <c r="S25" s="17">
        <v>108</v>
      </c>
      <c r="T25" s="35">
        <v>12.3</v>
      </c>
      <c r="U25" s="11">
        <v>0.4</v>
      </c>
      <c r="V25" s="62">
        <f t="shared" si="7"/>
        <v>0.03</v>
      </c>
      <c r="W25" s="61">
        <f t="shared" si="7"/>
        <v>0.05</v>
      </c>
      <c r="X25" s="17">
        <v>36400</v>
      </c>
      <c r="Y25" s="19">
        <v>60600</v>
      </c>
      <c r="Z25" s="35">
        <f t="shared" si="4"/>
        <v>30300</v>
      </c>
      <c r="AA25" s="17">
        <v>153000</v>
      </c>
      <c r="AB25" s="35">
        <f>AB24</f>
        <v>263500</v>
      </c>
      <c r="AC25" s="17">
        <v>217500</v>
      </c>
      <c r="AD25" s="35">
        <v>328000</v>
      </c>
      <c r="AE25" s="11">
        <f t="shared" si="6"/>
        <v>3.0000000000000001E-3</v>
      </c>
      <c r="AF25" s="93">
        <f t="shared" si="6"/>
        <v>250</v>
      </c>
      <c r="AG25" s="17"/>
      <c r="AH25" s="61"/>
      <c r="AI25" s="2">
        <f t="shared" ref="AI25:AJ39" si="8">AI24</f>
        <v>65</v>
      </c>
      <c r="AJ25" s="1">
        <f t="shared" si="8"/>
        <v>62.5</v>
      </c>
    </row>
    <row r="26" spans="1:36" x14ac:dyDescent="0.25">
      <c r="A26" s="163">
        <v>38353</v>
      </c>
      <c r="B26" s="164">
        <v>38430</v>
      </c>
      <c r="C26" s="93">
        <v>453.6</v>
      </c>
      <c r="D26" s="17">
        <v>17.100000000000001</v>
      </c>
      <c r="E26" s="19"/>
      <c r="F26" s="19"/>
      <c r="G26" s="35">
        <f t="shared" si="2"/>
        <v>17.100000000000001</v>
      </c>
      <c r="H26" s="93"/>
      <c r="I26" s="93">
        <f t="shared" si="0"/>
        <v>470.70000000000005</v>
      </c>
      <c r="J26" s="93">
        <v>378.8</v>
      </c>
      <c r="K26" s="17">
        <v>14.2</v>
      </c>
      <c r="L26" s="19"/>
      <c r="M26" s="19"/>
      <c r="N26" s="35">
        <v>14.2</v>
      </c>
      <c r="O26" s="93"/>
      <c r="P26" s="93">
        <f t="shared" si="1"/>
        <v>393</v>
      </c>
      <c r="Q26" s="17">
        <v>122</v>
      </c>
      <c r="R26" s="35">
        <v>24.6</v>
      </c>
      <c r="S26" s="17">
        <v>108</v>
      </c>
      <c r="T26" s="35">
        <v>12.3</v>
      </c>
      <c r="U26" s="11">
        <v>0.4</v>
      </c>
      <c r="V26" s="62">
        <f t="shared" si="7"/>
        <v>0.03</v>
      </c>
      <c r="W26" s="61">
        <f t="shared" si="7"/>
        <v>0.05</v>
      </c>
      <c r="X26" s="17">
        <v>36400</v>
      </c>
      <c r="Y26" s="19">
        <v>60600</v>
      </c>
      <c r="Z26" s="35">
        <f t="shared" si="4"/>
        <v>30300</v>
      </c>
      <c r="AA26" s="17">
        <v>153000</v>
      </c>
      <c r="AB26" s="35">
        <f>AB25</f>
        <v>263500</v>
      </c>
      <c r="AC26" s="17">
        <v>217500</v>
      </c>
      <c r="AD26" s="35">
        <v>328000</v>
      </c>
      <c r="AE26" s="11">
        <f t="shared" ref="AE26:AF41" si="9">AE25</f>
        <v>3.0000000000000001E-3</v>
      </c>
      <c r="AF26" s="93">
        <f t="shared" si="9"/>
        <v>250</v>
      </c>
      <c r="AG26" s="17"/>
      <c r="AH26" s="61"/>
      <c r="AI26" s="2">
        <f t="shared" si="8"/>
        <v>65</v>
      </c>
      <c r="AJ26" s="1">
        <f t="shared" si="8"/>
        <v>62.5</v>
      </c>
    </row>
    <row r="27" spans="1:36" ht="15.75" thickBot="1" x14ac:dyDescent="0.3">
      <c r="A27" s="180">
        <v>38431</v>
      </c>
      <c r="B27" s="181">
        <v>38533</v>
      </c>
      <c r="C27" s="94">
        <v>459</v>
      </c>
      <c r="D27" s="65">
        <v>17.3</v>
      </c>
      <c r="E27" s="68"/>
      <c r="F27" s="68"/>
      <c r="G27" s="69">
        <f t="shared" si="2"/>
        <v>17.3</v>
      </c>
      <c r="H27" s="94"/>
      <c r="I27" s="94">
        <f t="shared" si="0"/>
        <v>476.3</v>
      </c>
      <c r="J27" s="94">
        <v>383.3</v>
      </c>
      <c r="K27" s="65">
        <v>14.400000000000002</v>
      </c>
      <c r="L27" s="68"/>
      <c r="M27" s="68"/>
      <c r="N27" s="69">
        <v>14.400000000000002</v>
      </c>
      <c r="O27" s="94"/>
      <c r="P27" s="94">
        <f t="shared" si="1"/>
        <v>397.7</v>
      </c>
      <c r="Q27" s="65">
        <v>122</v>
      </c>
      <c r="R27" s="69">
        <v>24.6</v>
      </c>
      <c r="S27" s="65">
        <v>108</v>
      </c>
      <c r="T27" s="69">
        <v>12.3</v>
      </c>
      <c r="U27" s="64">
        <v>0.4</v>
      </c>
      <c r="V27" s="67">
        <f t="shared" si="7"/>
        <v>0.03</v>
      </c>
      <c r="W27" s="66">
        <f t="shared" si="7"/>
        <v>0.05</v>
      </c>
      <c r="X27" s="65">
        <v>36400</v>
      </c>
      <c r="Y27" s="68">
        <v>60600</v>
      </c>
      <c r="Z27" s="69">
        <f t="shared" si="4"/>
        <v>30300</v>
      </c>
      <c r="AA27" s="65">
        <v>153000</v>
      </c>
      <c r="AB27" s="69">
        <f>AB26</f>
        <v>263500</v>
      </c>
      <c r="AC27" s="65">
        <v>217500</v>
      </c>
      <c r="AD27" s="69">
        <v>328000</v>
      </c>
      <c r="AE27" s="64">
        <f t="shared" si="9"/>
        <v>3.0000000000000001E-3</v>
      </c>
      <c r="AF27" s="94">
        <f t="shared" si="9"/>
        <v>250</v>
      </c>
      <c r="AG27" s="65"/>
      <c r="AH27" s="66"/>
      <c r="AI27" s="85">
        <f t="shared" si="8"/>
        <v>65</v>
      </c>
      <c r="AJ27" s="70">
        <f t="shared" si="8"/>
        <v>62.5</v>
      </c>
    </row>
    <row r="28" spans="1:36" x14ac:dyDescent="0.25">
      <c r="A28" s="161">
        <v>38534</v>
      </c>
      <c r="B28" s="162">
        <v>38614</v>
      </c>
      <c r="C28" s="92">
        <v>459</v>
      </c>
      <c r="D28" s="18">
        <v>17.3</v>
      </c>
      <c r="E28" s="20"/>
      <c r="F28" s="20"/>
      <c r="G28" s="60">
        <f t="shared" si="2"/>
        <v>17.3</v>
      </c>
      <c r="H28" s="92"/>
      <c r="I28" s="92">
        <f t="shared" si="0"/>
        <v>476.3</v>
      </c>
      <c r="J28" s="92">
        <v>383.3</v>
      </c>
      <c r="K28" s="18">
        <v>14.400000000000002</v>
      </c>
      <c r="L28" s="20"/>
      <c r="M28" s="20"/>
      <c r="N28" s="60">
        <v>14.400000000000002</v>
      </c>
      <c r="O28" s="92"/>
      <c r="P28" s="92">
        <f t="shared" si="1"/>
        <v>397.7</v>
      </c>
      <c r="Q28" s="18">
        <v>124</v>
      </c>
      <c r="R28" s="60">
        <v>24.6</v>
      </c>
      <c r="S28" s="18">
        <v>110</v>
      </c>
      <c r="T28" s="60">
        <v>12.3</v>
      </c>
      <c r="U28" s="10">
        <v>0.4</v>
      </c>
      <c r="V28" s="58">
        <f t="shared" si="7"/>
        <v>0.03</v>
      </c>
      <c r="W28" s="57">
        <f t="shared" si="7"/>
        <v>0.05</v>
      </c>
      <c r="X28" s="18">
        <v>37200</v>
      </c>
      <c r="Y28" s="20">
        <v>62000</v>
      </c>
      <c r="Z28" s="60">
        <f t="shared" si="4"/>
        <v>31000</v>
      </c>
      <c r="AA28" s="18">
        <v>157000</v>
      </c>
      <c r="AB28" s="60">
        <f>AA28+(AD28-AC28)</f>
        <v>270500</v>
      </c>
      <c r="AC28" s="18">
        <v>223000</v>
      </c>
      <c r="AD28" s="60">
        <v>336500</v>
      </c>
      <c r="AE28" s="10">
        <f t="shared" si="9"/>
        <v>3.0000000000000001E-3</v>
      </c>
      <c r="AF28" s="92">
        <f t="shared" si="9"/>
        <v>250</v>
      </c>
      <c r="AG28" s="18"/>
      <c r="AH28" s="57"/>
      <c r="AI28" s="3">
        <f t="shared" si="8"/>
        <v>65</v>
      </c>
      <c r="AJ28" s="4">
        <v>63</v>
      </c>
    </row>
    <row r="29" spans="1:36" x14ac:dyDescent="0.25">
      <c r="A29" s="163">
        <v>38615</v>
      </c>
      <c r="B29" s="164">
        <v>38717</v>
      </c>
      <c r="C29" s="93">
        <v>471.40000000000003</v>
      </c>
      <c r="D29" s="17">
        <v>17.5</v>
      </c>
      <c r="E29" s="19"/>
      <c r="F29" s="19"/>
      <c r="G29" s="35">
        <f t="shared" si="2"/>
        <v>17.5</v>
      </c>
      <c r="H29" s="93"/>
      <c r="I29" s="93">
        <f t="shared" si="0"/>
        <v>488.90000000000003</v>
      </c>
      <c r="J29" s="93">
        <v>393.6</v>
      </c>
      <c r="K29" s="17">
        <v>14.600000000000001</v>
      </c>
      <c r="L29" s="19"/>
      <c r="M29" s="19"/>
      <c r="N29" s="35">
        <v>14.600000000000001</v>
      </c>
      <c r="O29" s="93"/>
      <c r="P29" s="93">
        <f t="shared" si="1"/>
        <v>408.20000000000005</v>
      </c>
      <c r="Q29" s="17">
        <v>124</v>
      </c>
      <c r="R29" s="35">
        <v>24.6</v>
      </c>
      <c r="S29" s="17">
        <v>110</v>
      </c>
      <c r="T29" s="35">
        <v>12.3</v>
      </c>
      <c r="U29" s="11">
        <v>0.4</v>
      </c>
      <c r="V29" s="62">
        <f t="shared" ref="V29:W44" si="10">V28</f>
        <v>0.03</v>
      </c>
      <c r="W29" s="61">
        <f t="shared" si="10"/>
        <v>0.05</v>
      </c>
      <c r="X29" s="17">
        <v>37200</v>
      </c>
      <c r="Y29" s="19">
        <v>62000</v>
      </c>
      <c r="Z29" s="35">
        <f t="shared" si="4"/>
        <v>31000</v>
      </c>
      <c r="AA29" s="17">
        <v>157000</v>
      </c>
      <c r="AB29" s="35">
        <f>AB28</f>
        <v>270500</v>
      </c>
      <c r="AC29" s="17">
        <v>223000</v>
      </c>
      <c r="AD29" s="35">
        <v>336500</v>
      </c>
      <c r="AE29" s="11">
        <f t="shared" si="9"/>
        <v>3.0000000000000001E-3</v>
      </c>
      <c r="AF29" s="93">
        <f t="shared" si="9"/>
        <v>250</v>
      </c>
      <c r="AG29" s="17"/>
      <c r="AH29" s="61"/>
      <c r="AI29" s="2">
        <f t="shared" si="8"/>
        <v>65</v>
      </c>
      <c r="AJ29" s="1">
        <f t="shared" si="8"/>
        <v>63</v>
      </c>
    </row>
    <row r="30" spans="1:36" x14ac:dyDescent="0.25">
      <c r="A30" s="163">
        <v>38718</v>
      </c>
      <c r="B30" s="164">
        <v>38795</v>
      </c>
      <c r="C30" s="93">
        <v>471.40000000000003</v>
      </c>
      <c r="D30" s="17">
        <v>17.5</v>
      </c>
      <c r="E30" s="19"/>
      <c r="F30" s="19"/>
      <c r="G30" s="35">
        <f t="shared" si="2"/>
        <v>17.5</v>
      </c>
      <c r="H30" s="93"/>
      <c r="I30" s="93">
        <f t="shared" si="0"/>
        <v>488.90000000000003</v>
      </c>
      <c r="J30" s="93">
        <v>393.6</v>
      </c>
      <c r="K30" s="17">
        <v>14.600000000000001</v>
      </c>
      <c r="L30" s="19"/>
      <c r="M30" s="19"/>
      <c r="N30" s="35">
        <v>14.600000000000001</v>
      </c>
      <c r="O30" s="93"/>
      <c r="P30" s="93">
        <f t="shared" si="1"/>
        <v>408.20000000000005</v>
      </c>
      <c r="Q30" s="17">
        <v>124</v>
      </c>
      <c r="R30" s="35">
        <v>24.6</v>
      </c>
      <c r="S30" s="17">
        <v>110</v>
      </c>
      <c r="T30" s="35">
        <v>12.3</v>
      </c>
      <c r="U30" s="11">
        <v>0.4</v>
      </c>
      <c r="V30" s="62">
        <f t="shared" si="10"/>
        <v>0.03</v>
      </c>
      <c r="W30" s="61">
        <f t="shared" si="10"/>
        <v>0.05</v>
      </c>
      <c r="X30" s="17">
        <v>37200</v>
      </c>
      <c r="Y30" s="19">
        <v>62000</v>
      </c>
      <c r="Z30" s="35">
        <f t="shared" si="4"/>
        <v>31000</v>
      </c>
      <c r="AA30" s="17">
        <v>157000</v>
      </c>
      <c r="AB30" s="35">
        <f>AB29</f>
        <v>270500</v>
      </c>
      <c r="AC30" s="17">
        <v>223000</v>
      </c>
      <c r="AD30" s="35">
        <v>336500</v>
      </c>
      <c r="AE30" s="11">
        <f t="shared" si="9"/>
        <v>3.0000000000000001E-3</v>
      </c>
      <c r="AF30" s="93">
        <f t="shared" si="9"/>
        <v>250</v>
      </c>
      <c r="AG30" s="17"/>
      <c r="AH30" s="61"/>
      <c r="AI30" s="2">
        <f t="shared" si="8"/>
        <v>65</v>
      </c>
      <c r="AJ30" s="1">
        <f t="shared" si="8"/>
        <v>63</v>
      </c>
    </row>
    <row r="31" spans="1:36" ht="15.75" thickBot="1" x14ac:dyDescent="0.3">
      <c r="A31" s="180">
        <v>38796</v>
      </c>
      <c r="B31" s="181">
        <v>38898</v>
      </c>
      <c r="C31" s="94">
        <v>481.90000000000003</v>
      </c>
      <c r="D31" s="65">
        <v>17.8</v>
      </c>
      <c r="E31" s="68"/>
      <c r="F31" s="68"/>
      <c r="G31" s="69">
        <f t="shared" si="2"/>
        <v>17.8</v>
      </c>
      <c r="H31" s="94"/>
      <c r="I31" s="94">
        <f t="shared" si="0"/>
        <v>499.70000000000005</v>
      </c>
      <c r="J31" s="94">
        <v>402.4</v>
      </c>
      <c r="K31" s="65">
        <v>14.8</v>
      </c>
      <c r="L31" s="68"/>
      <c r="M31" s="68"/>
      <c r="N31" s="69">
        <v>14.8</v>
      </c>
      <c r="O31" s="94"/>
      <c r="P31" s="94">
        <f t="shared" si="1"/>
        <v>417.2</v>
      </c>
      <c r="Q31" s="65">
        <v>124</v>
      </c>
      <c r="R31" s="69">
        <v>24.6</v>
      </c>
      <c r="S31" s="65">
        <v>110</v>
      </c>
      <c r="T31" s="69">
        <v>12.3</v>
      </c>
      <c r="U31" s="64">
        <v>0.4</v>
      </c>
      <c r="V31" s="67">
        <f t="shared" si="10"/>
        <v>0.03</v>
      </c>
      <c r="W31" s="66">
        <f t="shared" si="10"/>
        <v>0.05</v>
      </c>
      <c r="X31" s="65">
        <v>37200</v>
      </c>
      <c r="Y31" s="68">
        <v>62000</v>
      </c>
      <c r="Z31" s="69">
        <f t="shared" si="4"/>
        <v>31000</v>
      </c>
      <c r="AA31" s="65">
        <v>157000</v>
      </c>
      <c r="AB31" s="69">
        <f>AB30</f>
        <v>270500</v>
      </c>
      <c r="AC31" s="65">
        <v>223000</v>
      </c>
      <c r="AD31" s="69">
        <v>336500</v>
      </c>
      <c r="AE31" s="64">
        <f t="shared" si="9"/>
        <v>3.0000000000000001E-3</v>
      </c>
      <c r="AF31" s="94">
        <f t="shared" si="9"/>
        <v>250</v>
      </c>
      <c r="AG31" s="65"/>
      <c r="AH31" s="66"/>
      <c r="AI31" s="85">
        <f t="shared" si="8"/>
        <v>65</v>
      </c>
      <c r="AJ31" s="70">
        <f t="shared" si="8"/>
        <v>63</v>
      </c>
    </row>
    <row r="32" spans="1:36" x14ac:dyDescent="0.25">
      <c r="A32" s="161">
        <v>38899</v>
      </c>
      <c r="B32" s="162">
        <v>38979</v>
      </c>
      <c r="C32" s="92">
        <v>481.90000000000003</v>
      </c>
      <c r="D32" s="18">
        <v>17.8</v>
      </c>
      <c r="E32" s="20"/>
      <c r="F32" s="20"/>
      <c r="G32" s="60">
        <f t="shared" si="2"/>
        <v>17.8</v>
      </c>
      <c r="H32" s="92"/>
      <c r="I32" s="92">
        <f t="shared" si="0"/>
        <v>499.70000000000005</v>
      </c>
      <c r="J32" s="92">
        <v>402.4</v>
      </c>
      <c r="K32" s="18">
        <v>14.8</v>
      </c>
      <c r="L32" s="20"/>
      <c r="M32" s="20"/>
      <c r="N32" s="60">
        <v>14.8</v>
      </c>
      <c r="O32" s="92"/>
      <c r="P32" s="92">
        <f t="shared" si="1"/>
        <v>417.2</v>
      </c>
      <c r="Q32" s="18">
        <v>128</v>
      </c>
      <c r="R32" s="60">
        <v>24.6</v>
      </c>
      <c r="S32" s="18">
        <v>114</v>
      </c>
      <c r="T32" s="60">
        <v>12.3</v>
      </c>
      <c r="U32" s="10">
        <v>0.4</v>
      </c>
      <c r="V32" s="58">
        <f t="shared" si="10"/>
        <v>0.03</v>
      </c>
      <c r="W32" s="57">
        <f t="shared" si="10"/>
        <v>0.05</v>
      </c>
      <c r="X32" s="18">
        <v>38400</v>
      </c>
      <c r="Y32" s="20">
        <v>63800</v>
      </c>
      <c r="Z32" s="60">
        <f t="shared" si="4"/>
        <v>31900</v>
      </c>
      <c r="AA32" s="18">
        <v>161500</v>
      </c>
      <c r="AB32" s="60">
        <f>AA32+(AD32-AC32)</f>
        <v>278500</v>
      </c>
      <c r="AC32" s="18">
        <v>229000</v>
      </c>
      <c r="AD32" s="60">
        <v>346000</v>
      </c>
      <c r="AE32" s="10">
        <f t="shared" si="9"/>
        <v>3.0000000000000001E-3</v>
      </c>
      <c r="AF32" s="92">
        <f t="shared" si="9"/>
        <v>250</v>
      </c>
      <c r="AG32" s="18"/>
      <c r="AH32" s="57"/>
      <c r="AI32" s="3">
        <f t="shared" si="8"/>
        <v>65</v>
      </c>
      <c r="AJ32" s="4">
        <f t="shared" si="8"/>
        <v>63</v>
      </c>
    </row>
    <row r="33" spans="1:36" x14ac:dyDescent="0.25">
      <c r="A33" s="163">
        <v>38980</v>
      </c>
      <c r="B33" s="164">
        <v>39082</v>
      </c>
      <c r="C33" s="93">
        <v>493.90000000000003</v>
      </c>
      <c r="D33" s="17">
        <v>18.2</v>
      </c>
      <c r="E33" s="19"/>
      <c r="F33" s="19"/>
      <c r="G33" s="35">
        <f t="shared" si="2"/>
        <v>18.2</v>
      </c>
      <c r="H33" s="93"/>
      <c r="I33" s="93">
        <f t="shared" si="0"/>
        <v>512.1</v>
      </c>
      <c r="J33" s="93">
        <v>412.5</v>
      </c>
      <c r="K33" s="17">
        <v>15.2</v>
      </c>
      <c r="L33" s="19"/>
      <c r="M33" s="19"/>
      <c r="N33" s="35">
        <v>15.2</v>
      </c>
      <c r="O33" s="93"/>
      <c r="P33" s="93">
        <f t="shared" si="1"/>
        <v>427.7</v>
      </c>
      <c r="Q33" s="17">
        <v>128</v>
      </c>
      <c r="R33" s="35">
        <v>24.6</v>
      </c>
      <c r="S33" s="17">
        <v>114</v>
      </c>
      <c r="T33" s="35">
        <v>12.3</v>
      </c>
      <c r="U33" s="11">
        <v>0.4</v>
      </c>
      <c r="V33" s="62">
        <f t="shared" si="10"/>
        <v>0.03</v>
      </c>
      <c r="W33" s="61">
        <f t="shared" si="10"/>
        <v>0.05</v>
      </c>
      <c r="X33" s="17">
        <v>38400</v>
      </c>
      <c r="Y33" s="19">
        <v>63800</v>
      </c>
      <c r="Z33" s="35">
        <f t="shared" si="4"/>
        <v>31900</v>
      </c>
      <c r="AA33" s="17">
        <v>161500</v>
      </c>
      <c r="AB33" s="35">
        <f>AB32</f>
        <v>278500</v>
      </c>
      <c r="AC33" s="17">
        <v>229000</v>
      </c>
      <c r="AD33" s="35">
        <v>346000</v>
      </c>
      <c r="AE33" s="11">
        <f t="shared" si="9"/>
        <v>3.0000000000000001E-3</v>
      </c>
      <c r="AF33" s="93">
        <f t="shared" si="9"/>
        <v>250</v>
      </c>
      <c r="AG33" s="17"/>
      <c r="AH33" s="61"/>
      <c r="AI33" s="2">
        <f t="shared" si="8"/>
        <v>65</v>
      </c>
      <c r="AJ33" s="1">
        <f t="shared" si="8"/>
        <v>63</v>
      </c>
    </row>
    <row r="34" spans="1:36" x14ac:dyDescent="0.25">
      <c r="A34" s="163">
        <v>39083</v>
      </c>
      <c r="B34" s="164">
        <v>39160</v>
      </c>
      <c r="C34" s="93">
        <v>493.90000000000003</v>
      </c>
      <c r="D34" s="17">
        <v>18.2</v>
      </c>
      <c r="E34" s="19"/>
      <c r="F34" s="19"/>
      <c r="G34" s="35">
        <f t="shared" si="2"/>
        <v>18.2</v>
      </c>
      <c r="H34" s="93"/>
      <c r="I34" s="93">
        <f t="shared" si="0"/>
        <v>512.1</v>
      </c>
      <c r="J34" s="93">
        <v>412.5</v>
      </c>
      <c r="K34" s="17">
        <v>15.2</v>
      </c>
      <c r="L34" s="19"/>
      <c r="M34" s="19"/>
      <c r="N34" s="35">
        <v>15.2</v>
      </c>
      <c r="O34" s="93"/>
      <c r="P34" s="93">
        <f t="shared" si="1"/>
        <v>427.7</v>
      </c>
      <c r="Q34" s="17">
        <v>128</v>
      </c>
      <c r="R34" s="35">
        <v>24.6</v>
      </c>
      <c r="S34" s="17">
        <v>114</v>
      </c>
      <c r="T34" s="35">
        <v>12.3</v>
      </c>
      <c r="U34" s="11">
        <v>0.4</v>
      </c>
      <c r="V34" s="62">
        <f t="shared" si="10"/>
        <v>0.03</v>
      </c>
      <c r="W34" s="61">
        <f t="shared" si="10"/>
        <v>0.05</v>
      </c>
      <c r="X34" s="17">
        <v>38400</v>
      </c>
      <c r="Y34" s="19">
        <v>63800</v>
      </c>
      <c r="Z34" s="35">
        <f t="shared" si="4"/>
        <v>31900</v>
      </c>
      <c r="AA34" s="17">
        <v>161500</v>
      </c>
      <c r="AB34" s="35">
        <f>AB33</f>
        <v>278500</v>
      </c>
      <c r="AC34" s="17">
        <v>229000</v>
      </c>
      <c r="AD34" s="35">
        <v>346000</v>
      </c>
      <c r="AE34" s="11">
        <f t="shared" si="9"/>
        <v>3.0000000000000001E-3</v>
      </c>
      <c r="AF34" s="93">
        <f t="shared" si="9"/>
        <v>250</v>
      </c>
      <c r="AG34" s="17"/>
      <c r="AH34" s="61"/>
      <c r="AI34" s="2">
        <f t="shared" si="8"/>
        <v>65</v>
      </c>
      <c r="AJ34" s="1">
        <f t="shared" si="8"/>
        <v>63</v>
      </c>
    </row>
    <row r="35" spans="1:36" ht="15.75" thickBot="1" x14ac:dyDescent="0.3">
      <c r="A35" s="180">
        <v>39161</v>
      </c>
      <c r="B35" s="181">
        <v>39263</v>
      </c>
      <c r="C35" s="94">
        <v>506.8</v>
      </c>
      <c r="D35" s="65">
        <v>18.3</v>
      </c>
      <c r="E35" s="68"/>
      <c r="F35" s="68"/>
      <c r="G35" s="69">
        <f t="shared" si="2"/>
        <v>18.3</v>
      </c>
      <c r="H35" s="94"/>
      <c r="I35" s="94">
        <f t="shared" si="0"/>
        <v>525.1</v>
      </c>
      <c r="J35" s="94">
        <v>423.2</v>
      </c>
      <c r="K35" s="65">
        <v>15.3</v>
      </c>
      <c r="L35" s="68"/>
      <c r="M35" s="68"/>
      <c r="N35" s="69">
        <v>15.3</v>
      </c>
      <c r="O35" s="94"/>
      <c r="P35" s="94">
        <f t="shared" si="1"/>
        <v>438.5</v>
      </c>
      <c r="Q35" s="65">
        <v>128</v>
      </c>
      <c r="R35" s="69">
        <v>24.6</v>
      </c>
      <c r="S35" s="65">
        <v>114</v>
      </c>
      <c r="T35" s="69">
        <v>12.3</v>
      </c>
      <c r="U35" s="64">
        <v>0.4</v>
      </c>
      <c r="V35" s="67">
        <v>3.5000000000000003E-2</v>
      </c>
      <c r="W35" s="66">
        <v>5.5E-2</v>
      </c>
      <c r="X35" s="65">
        <v>38400</v>
      </c>
      <c r="Y35" s="68">
        <v>63800</v>
      </c>
      <c r="Z35" s="69">
        <f t="shared" si="4"/>
        <v>31900</v>
      </c>
      <c r="AA35" s="65">
        <v>161500</v>
      </c>
      <c r="AB35" s="69">
        <f>AB34</f>
        <v>278500</v>
      </c>
      <c r="AC35" s="65">
        <v>229000</v>
      </c>
      <c r="AD35" s="69">
        <v>346000</v>
      </c>
      <c r="AE35" s="64">
        <f t="shared" si="9"/>
        <v>3.0000000000000001E-3</v>
      </c>
      <c r="AF35" s="94">
        <f t="shared" si="9"/>
        <v>250</v>
      </c>
      <c r="AG35" s="65"/>
      <c r="AH35" s="66"/>
      <c r="AI35" s="85">
        <f t="shared" si="8"/>
        <v>65</v>
      </c>
      <c r="AJ35" s="70">
        <f t="shared" si="8"/>
        <v>63</v>
      </c>
    </row>
    <row r="36" spans="1:36" x14ac:dyDescent="0.25">
      <c r="A36" s="161">
        <v>39264</v>
      </c>
      <c r="B36" s="162">
        <v>39344</v>
      </c>
      <c r="C36" s="92">
        <v>506.8</v>
      </c>
      <c r="D36" s="18">
        <v>18.3</v>
      </c>
      <c r="E36" s="20"/>
      <c r="F36" s="20"/>
      <c r="G36" s="60">
        <f t="shared" si="2"/>
        <v>18.3</v>
      </c>
      <c r="H36" s="92"/>
      <c r="I36" s="92">
        <f t="shared" si="0"/>
        <v>525.1</v>
      </c>
      <c r="J36" s="92">
        <v>423.2</v>
      </c>
      <c r="K36" s="18">
        <v>15.3</v>
      </c>
      <c r="L36" s="20"/>
      <c r="M36" s="20"/>
      <c r="N36" s="60">
        <v>15.3</v>
      </c>
      <c r="O36" s="92"/>
      <c r="P36" s="92">
        <f t="shared" si="1"/>
        <v>438.5</v>
      </c>
      <c r="Q36" s="18">
        <v>132</v>
      </c>
      <c r="R36" s="60">
        <v>24.6</v>
      </c>
      <c r="S36" s="18">
        <v>116</v>
      </c>
      <c r="T36" s="60">
        <v>12.3</v>
      </c>
      <c r="U36" s="10">
        <v>0.4</v>
      </c>
      <c r="V36" s="58">
        <f t="shared" si="10"/>
        <v>3.5000000000000003E-2</v>
      </c>
      <c r="W36" s="57">
        <f t="shared" si="10"/>
        <v>5.5E-2</v>
      </c>
      <c r="X36" s="18">
        <v>39400</v>
      </c>
      <c r="Y36" s="20">
        <v>65400</v>
      </c>
      <c r="Z36" s="60">
        <f t="shared" si="4"/>
        <v>32700</v>
      </c>
      <c r="AA36" s="18">
        <v>166750</v>
      </c>
      <c r="AB36" s="60">
        <f>AA36+(AD36-AC36)</f>
        <v>287750</v>
      </c>
      <c r="AC36" s="18">
        <v>236500</v>
      </c>
      <c r="AD36" s="60">
        <v>357500</v>
      </c>
      <c r="AE36" s="10">
        <f t="shared" si="9"/>
        <v>3.0000000000000001E-3</v>
      </c>
      <c r="AF36" s="92">
        <f t="shared" si="9"/>
        <v>250</v>
      </c>
      <c r="AG36" s="18"/>
      <c r="AH36" s="57"/>
      <c r="AI36" s="3">
        <f t="shared" si="8"/>
        <v>65</v>
      </c>
      <c r="AJ36" s="4">
        <v>63.5</v>
      </c>
    </row>
    <row r="37" spans="1:36" x14ac:dyDescent="0.25">
      <c r="A37" s="163">
        <v>39345</v>
      </c>
      <c r="B37" s="164">
        <v>39447</v>
      </c>
      <c r="C37" s="93">
        <v>519.20000000000005</v>
      </c>
      <c r="D37" s="17">
        <v>18.5</v>
      </c>
      <c r="E37" s="19"/>
      <c r="F37" s="19"/>
      <c r="G37" s="35">
        <f t="shared" si="2"/>
        <v>18.5</v>
      </c>
      <c r="H37" s="93"/>
      <c r="I37" s="93">
        <f t="shared" si="0"/>
        <v>537.70000000000005</v>
      </c>
      <c r="J37" s="93">
        <v>433.6</v>
      </c>
      <c r="K37" s="17">
        <v>15.5</v>
      </c>
      <c r="L37" s="19"/>
      <c r="M37" s="19"/>
      <c r="N37" s="35">
        <v>15.5</v>
      </c>
      <c r="O37" s="93"/>
      <c r="P37" s="93">
        <f t="shared" si="1"/>
        <v>449.1</v>
      </c>
      <c r="Q37" s="17">
        <v>132</v>
      </c>
      <c r="R37" s="35">
        <v>24.6</v>
      </c>
      <c r="S37" s="17">
        <v>116</v>
      </c>
      <c r="T37" s="35">
        <v>12.3</v>
      </c>
      <c r="U37" s="11">
        <v>0.4</v>
      </c>
      <c r="V37" s="62">
        <f t="shared" si="10"/>
        <v>3.5000000000000003E-2</v>
      </c>
      <c r="W37" s="61">
        <f t="shared" si="10"/>
        <v>5.5E-2</v>
      </c>
      <c r="X37" s="17">
        <v>39400</v>
      </c>
      <c r="Y37" s="19">
        <v>65400</v>
      </c>
      <c r="Z37" s="35">
        <f t="shared" si="4"/>
        <v>32700</v>
      </c>
      <c r="AA37" s="17">
        <v>166750</v>
      </c>
      <c r="AB37" s="35">
        <f>AB36</f>
        <v>287750</v>
      </c>
      <c r="AC37" s="17">
        <v>236500</v>
      </c>
      <c r="AD37" s="35">
        <v>357500</v>
      </c>
      <c r="AE37" s="11">
        <f>9.75/(250*26)</f>
        <v>1.5E-3</v>
      </c>
      <c r="AF37" s="93">
        <f t="shared" si="9"/>
        <v>250</v>
      </c>
      <c r="AG37" s="17"/>
      <c r="AH37" s="61"/>
      <c r="AI37" s="2">
        <f t="shared" si="8"/>
        <v>65</v>
      </c>
      <c r="AJ37" s="1">
        <f t="shared" si="8"/>
        <v>63.5</v>
      </c>
    </row>
    <row r="38" spans="1:36" x14ac:dyDescent="0.25">
      <c r="A38" s="163">
        <v>39448</v>
      </c>
      <c r="B38" s="164">
        <v>39526</v>
      </c>
      <c r="C38" s="93">
        <v>519.20000000000005</v>
      </c>
      <c r="D38" s="17">
        <v>18.5</v>
      </c>
      <c r="E38" s="19"/>
      <c r="F38" s="19"/>
      <c r="G38" s="35">
        <f t="shared" si="2"/>
        <v>18.5</v>
      </c>
      <c r="H38" s="93"/>
      <c r="I38" s="93">
        <f t="shared" si="0"/>
        <v>537.70000000000005</v>
      </c>
      <c r="J38" s="93">
        <v>433.6</v>
      </c>
      <c r="K38" s="17">
        <v>15.5</v>
      </c>
      <c r="L38" s="19"/>
      <c r="M38" s="19"/>
      <c r="N38" s="35">
        <v>15.5</v>
      </c>
      <c r="O38" s="93"/>
      <c r="P38" s="93">
        <f t="shared" si="1"/>
        <v>449.1</v>
      </c>
      <c r="Q38" s="17">
        <v>132</v>
      </c>
      <c r="R38" s="35">
        <v>24.6</v>
      </c>
      <c r="S38" s="17">
        <v>116</v>
      </c>
      <c r="T38" s="35">
        <v>12.3</v>
      </c>
      <c r="U38" s="11">
        <v>0.4</v>
      </c>
      <c r="V38" s="62">
        <f t="shared" si="10"/>
        <v>3.5000000000000003E-2</v>
      </c>
      <c r="W38" s="61">
        <f t="shared" si="10"/>
        <v>5.5E-2</v>
      </c>
      <c r="X38" s="17">
        <v>39400</v>
      </c>
      <c r="Y38" s="19">
        <v>65400</v>
      </c>
      <c r="Z38" s="35">
        <f t="shared" si="4"/>
        <v>32700</v>
      </c>
      <c r="AA38" s="17">
        <v>166750</v>
      </c>
      <c r="AB38" s="35">
        <f>AB37</f>
        <v>287750</v>
      </c>
      <c r="AC38" s="17">
        <v>236500</v>
      </c>
      <c r="AD38" s="35">
        <v>357500</v>
      </c>
      <c r="AE38" s="11">
        <f>AE37</f>
        <v>1.5E-3</v>
      </c>
      <c r="AF38" s="93">
        <f t="shared" si="9"/>
        <v>250</v>
      </c>
      <c r="AG38" s="17"/>
      <c r="AH38" s="61"/>
      <c r="AI38" s="2">
        <f t="shared" si="8"/>
        <v>65</v>
      </c>
      <c r="AJ38" s="1">
        <f t="shared" si="8"/>
        <v>63.5</v>
      </c>
    </row>
    <row r="39" spans="1:36" ht="15.75" thickBot="1" x14ac:dyDescent="0.3">
      <c r="A39" s="180">
        <v>39527</v>
      </c>
      <c r="B39" s="181">
        <v>39629</v>
      </c>
      <c r="C39" s="94">
        <v>528</v>
      </c>
      <c r="D39" s="65">
        <v>18.8</v>
      </c>
      <c r="E39" s="68"/>
      <c r="F39" s="68"/>
      <c r="G39" s="69">
        <f t="shared" si="2"/>
        <v>18.8</v>
      </c>
      <c r="H39" s="94"/>
      <c r="I39" s="94">
        <f t="shared" si="0"/>
        <v>546.79999999999995</v>
      </c>
      <c r="J39" s="94">
        <v>441</v>
      </c>
      <c r="K39" s="65">
        <v>15.8</v>
      </c>
      <c r="L39" s="68"/>
      <c r="M39" s="68"/>
      <c r="N39" s="69">
        <v>15.8</v>
      </c>
      <c r="O39" s="94"/>
      <c r="P39" s="94">
        <f t="shared" si="1"/>
        <v>456.8</v>
      </c>
      <c r="Q39" s="65">
        <v>132</v>
      </c>
      <c r="R39" s="69">
        <v>24.6</v>
      </c>
      <c r="S39" s="65">
        <v>116</v>
      </c>
      <c r="T39" s="69">
        <v>12.3</v>
      </c>
      <c r="U39" s="64">
        <v>0.4</v>
      </c>
      <c r="V39" s="67">
        <v>0.04</v>
      </c>
      <c r="W39" s="66">
        <v>0.06</v>
      </c>
      <c r="X39" s="65">
        <v>39400</v>
      </c>
      <c r="Y39" s="68">
        <v>65400</v>
      </c>
      <c r="Z39" s="69">
        <f t="shared" si="4"/>
        <v>32700</v>
      </c>
      <c r="AA39" s="65">
        <v>166750</v>
      </c>
      <c r="AB39" s="69">
        <f>AB38</f>
        <v>287750</v>
      </c>
      <c r="AC39" s="65">
        <v>236500</v>
      </c>
      <c r="AD39" s="69">
        <v>357500</v>
      </c>
      <c r="AE39" s="64">
        <f t="shared" ref="AE39:AJ54" si="11">AE38</f>
        <v>1.5E-3</v>
      </c>
      <c r="AF39" s="94">
        <f t="shared" si="9"/>
        <v>250</v>
      </c>
      <c r="AG39" s="65"/>
      <c r="AH39" s="66"/>
      <c r="AI39" s="85">
        <f t="shared" si="8"/>
        <v>65</v>
      </c>
      <c r="AJ39" s="70">
        <f t="shared" si="8"/>
        <v>63.5</v>
      </c>
    </row>
    <row r="40" spans="1:36" x14ac:dyDescent="0.25">
      <c r="A40" s="161">
        <v>39630</v>
      </c>
      <c r="B40" s="162">
        <v>39710</v>
      </c>
      <c r="C40" s="92">
        <v>528</v>
      </c>
      <c r="D40" s="18">
        <v>18.8</v>
      </c>
      <c r="E40" s="20"/>
      <c r="F40" s="20"/>
      <c r="G40" s="60">
        <f t="shared" si="2"/>
        <v>18.8</v>
      </c>
      <c r="H40" s="92"/>
      <c r="I40" s="92">
        <f t="shared" si="0"/>
        <v>546.79999999999995</v>
      </c>
      <c r="J40" s="92">
        <v>441</v>
      </c>
      <c r="K40" s="18">
        <v>15.8</v>
      </c>
      <c r="L40" s="20"/>
      <c r="M40" s="20"/>
      <c r="N40" s="60">
        <v>15.8</v>
      </c>
      <c r="O40" s="92"/>
      <c r="P40" s="92">
        <f t="shared" si="1"/>
        <v>456.8</v>
      </c>
      <c r="Q40" s="18">
        <v>138</v>
      </c>
      <c r="R40" s="60">
        <v>24.6</v>
      </c>
      <c r="S40" s="18">
        <v>120</v>
      </c>
      <c r="T40" s="60">
        <v>12.3</v>
      </c>
      <c r="U40" s="10">
        <v>0.4</v>
      </c>
      <c r="V40" s="58">
        <f t="shared" si="10"/>
        <v>0.04</v>
      </c>
      <c r="W40" s="57">
        <f t="shared" si="10"/>
        <v>0.06</v>
      </c>
      <c r="X40" s="18">
        <v>41000</v>
      </c>
      <c r="Y40" s="20">
        <v>68200</v>
      </c>
      <c r="Z40" s="60">
        <f t="shared" si="4"/>
        <v>34100</v>
      </c>
      <c r="AA40" s="18">
        <v>171750</v>
      </c>
      <c r="AB40" s="60">
        <f>AA40+(AD40-AC40)</f>
        <v>296250</v>
      </c>
      <c r="AC40" s="18">
        <v>243500</v>
      </c>
      <c r="AD40" s="60">
        <v>368000</v>
      </c>
      <c r="AE40" s="10">
        <f t="shared" si="11"/>
        <v>1.5E-3</v>
      </c>
      <c r="AF40" s="92">
        <f t="shared" si="9"/>
        <v>250</v>
      </c>
      <c r="AG40" s="18"/>
      <c r="AH40" s="57"/>
      <c r="AI40" s="3">
        <f>AI39</f>
        <v>65</v>
      </c>
      <c r="AJ40" s="4">
        <f>AJ39</f>
        <v>63.5</v>
      </c>
    </row>
    <row r="41" spans="1:36" x14ac:dyDescent="0.25">
      <c r="A41" s="163">
        <v>39711</v>
      </c>
      <c r="B41" s="164">
        <v>39813</v>
      </c>
      <c r="C41" s="93">
        <v>542.80000000000007</v>
      </c>
      <c r="D41" s="17">
        <v>19.3</v>
      </c>
      <c r="E41" s="19"/>
      <c r="F41" s="19"/>
      <c r="G41" s="35">
        <f t="shared" si="2"/>
        <v>19.3</v>
      </c>
      <c r="H41" s="93"/>
      <c r="I41" s="93">
        <f t="shared" si="0"/>
        <v>562.1</v>
      </c>
      <c r="J41" s="93">
        <v>453.3</v>
      </c>
      <c r="K41" s="17">
        <v>16.2</v>
      </c>
      <c r="L41" s="19"/>
      <c r="M41" s="19"/>
      <c r="N41" s="35">
        <v>16.2</v>
      </c>
      <c r="O41" s="93"/>
      <c r="P41" s="93">
        <f t="shared" si="1"/>
        <v>469.5</v>
      </c>
      <c r="Q41" s="17">
        <v>138</v>
      </c>
      <c r="R41" s="35">
        <v>24.6</v>
      </c>
      <c r="S41" s="17">
        <v>120</v>
      </c>
      <c r="T41" s="35">
        <v>12.3</v>
      </c>
      <c r="U41" s="11">
        <v>0.4</v>
      </c>
      <c r="V41" s="62">
        <v>0.03</v>
      </c>
      <c r="W41" s="61">
        <v>0.05</v>
      </c>
      <c r="X41" s="17">
        <v>41000</v>
      </c>
      <c r="Y41" s="19">
        <v>68200</v>
      </c>
      <c r="Z41" s="35">
        <f t="shared" si="4"/>
        <v>34100</v>
      </c>
      <c r="AA41" s="17">
        <v>171750</v>
      </c>
      <c r="AB41" s="35">
        <f>AB40</f>
        <v>296250</v>
      </c>
      <c r="AC41" s="17">
        <v>243500</v>
      </c>
      <c r="AD41" s="35">
        <v>368000</v>
      </c>
      <c r="AE41" s="11">
        <f t="shared" si="11"/>
        <v>1.5E-3</v>
      </c>
      <c r="AF41" s="93">
        <f t="shared" si="9"/>
        <v>250</v>
      </c>
      <c r="AG41" s="17"/>
      <c r="AH41" s="61"/>
      <c r="AI41" s="2">
        <f t="shared" ref="AI41:AJ43" si="12">AI40</f>
        <v>65</v>
      </c>
      <c r="AJ41" s="1">
        <f t="shared" si="12"/>
        <v>63.5</v>
      </c>
    </row>
    <row r="42" spans="1:36" x14ac:dyDescent="0.25">
      <c r="A42" s="163">
        <v>39814</v>
      </c>
      <c r="B42" s="164">
        <v>39891</v>
      </c>
      <c r="C42" s="93">
        <v>542.80000000000007</v>
      </c>
      <c r="D42" s="17">
        <v>19.3</v>
      </c>
      <c r="E42" s="19"/>
      <c r="F42" s="19"/>
      <c r="G42" s="35">
        <f t="shared" si="2"/>
        <v>19.3</v>
      </c>
      <c r="H42" s="93"/>
      <c r="I42" s="93">
        <f t="shared" si="0"/>
        <v>562.1</v>
      </c>
      <c r="J42" s="93">
        <v>453.3</v>
      </c>
      <c r="K42" s="17">
        <v>16.2</v>
      </c>
      <c r="L42" s="19"/>
      <c r="M42" s="19"/>
      <c r="N42" s="35">
        <v>16.2</v>
      </c>
      <c r="O42" s="93"/>
      <c r="P42" s="93">
        <f t="shared" si="1"/>
        <v>469.5</v>
      </c>
      <c r="Q42" s="17">
        <v>138</v>
      </c>
      <c r="R42" s="35">
        <v>24.6</v>
      </c>
      <c r="S42" s="17">
        <v>120</v>
      </c>
      <c r="T42" s="35">
        <v>12.3</v>
      </c>
      <c r="U42" s="11">
        <v>0.4</v>
      </c>
      <c r="V42" s="62">
        <f t="shared" si="10"/>
        <v>0.03</v>
      </c>
      <c r="W42" s="61">
        <v>0.04</v>
      </c>
      <c r="X42" s="17">
        <v>41000</v>
      </c>
      <c r="Y42" s="19">
        <v>68200</v>
      </c>
      <c r="Z42" s="35">
        <f t="shared" si="4"/>
        <v>34100</v>
      </c>
      <c r="AA42" s="17">
        <v>171750</v>
      </c>
      <c r="AB42" s="35">
        <f>AB41</f>
        <v>296250</v>
      </c>
      <c r="AC42" s="17">
        <v>243500</v>
      </c>
      <c r="AD42" s="35">
        <v>368000</v>
      </c>
      <c r="AE42" s="11">
        <f t="shared" si="11"/>
        <v>1.5E-3</v>
      </c>
      <c r="AF42" s="93">
        <f t="shared" si="11"/>
        <v>250</v>
      </c>
      <c r="AG42" s="17"/>
      <c r="AH42" s="61"/>
      <c r="AI42" s="2">
        <f t="shared" si="12"/>
        <v>65</v>
      </c>
      <c r="AJ42" s="1">
        <f t="shared" si="12"/>
        <v>63.5</v>
      </c>
    </row>
    <row r="43" spans="1:36" ht="15.75" thickBot="1" x14ac:dyDescent="0.3">
      <c r="A43" s="180">
        <v>39892</v>
      </c>
      <c r="B43" s="181">
        <v>39994</v>
      </c>
      <c r="C43" s="94">
        <v>550.30000000000007</v>
      </c>
      <c r="D43" s="65">
        <v>19.5</v>
      </c>
      <c r="E43" s="68"/>
      <c r="F43" s="68"/>
      <c r="G43" s="69">
        <f t="shared" si="2"/>
        <v>19.5</v>
      </c>
      <c r="H43" s="94"/>
      <c r="I43" s="94">
        <f t="shared" si="0"/>
        <v>569.80000000000007</v>
      </c>
      <c r="J43" s="94">
        <v>459.6</v>
      </c>
      <c r="K43" s="65">
        <v>16.3</v>
      </c>
      <c r="L43" s="68"/>
      <c r="M43" s="68"/>
      <c r="N43" s="69">
        <v>16.3</v>
      </c>
      <c r="O43" s="94"/>
      <c r="P43" s="94">
        <f t="shared" si="1"/>
        <v>475.90000000000003</v>
      </c>
      <c r="Q43" s="65">
        <v>138</v>
      </c>
      <c r="R43" s="69">
        <v>24.6</v>
      </c>
      <c r="S43" s="65">
        <v>120</v>
      </c>
      <c r="T43" s="69">
        <v>12.3</v>
      </c>
      <c r="U43" s="64">
        <v>0.4</v>
      </c>
      <c r="V43" s="67">
        <v>0.02</v>
      </c>
      <c r="W43" s="66">
        <v>0.03</v>
      </c>
      <c r="X43" s="65">
        <v>41000</v>
      </c>
      <c r="Y43" s="68">
        <v>68200</v>
      </c>
      <c r="Z43" s="69">
        <f t="shared" si="4"/>
        <v>34100</v>
      </c>
      <c r="AA43" s="65">
        <v>171750</v>
      </c>
      <c r="AB43" s="69">
        <f>AB42</f>
        <v>296250</v>
      </c>
      <c r="AC43" s="65">
        <v>243500</v>
      </c>
      <c r="AD43" s="69">
        <v>368000</v>
      </c>
      <c r="AE43" s="64">
        <f t="shared" si="11"/>
        <v>1.5E-3</v>
      </c>
      <c r="AF43" s="94">
        <f t="shared" si="11"/>
        <v>250</v>
      </c>
      <c r="AG43" s="65"/>
      <c r="AH43" s="66"/>
      <c r="AI43" s="85">
        <f t="shared" si="12"/>
        <v>65</v>
      </c>
      <c r="AJ43" s="70">
        <f t="shared" si="12"/>
        <v>63.5</v>
      </c>
    </row>
    <row r="44" spans="1:36" x14ac:dyDescent="0.25">
      <c r="A44" s="161">
        <v>39995</v>
      </c>
      <c r="B44" s="162">
        <v>40075</v>
      </c>
      <c r="C44" s="92">
        <v>550.30000000000007</v>
      </c>
      <c r="D44" s="18">
        <v>19.5</v>
      </c>
      <c r="E44" s="20"/>
      <c r="F44" s="20"/>
      <c r="G44" s="60">
        <f t="shared" si="2"/>
        <v>19.5</v>
      </c>
      <c r="H44" s="92"/>
      <c r="I44" s="92">
        <f t="shared" si="0"/>
        <v>569.80000000000007</v>
      </c>
      <c r="J44" s="92">
        <v>459.6</v>
      </c>
      <c r="K44" s="18">
        <v>16.3</v>
      </c>
      <c r="L44" s="20"/>
      <c r="M44" s="20"/>
      <c r="N44" s="60">
        <v>16.3</v>
      </c>
      <c r="O44" s="92"/>
      <c r="P44" s="92">
        <f t="shared" si="1"/>
        <v>475.90000000000003</v>
      </c>
      <c r="Q44" s="18">
        <v>142</v>
      </c>
      <c r="R44" s="60">
        <v>24.6</v>
      </c>
      <c r="S44" s="18">
        <v>124</v>
      </c>
      <c r="T44" s="60">
        <v>12.3</v>
      </c>
      <c r="U44" s="10">
        <v>0.4</v>
      </c>
      <c r="V44" s="58">
        <f t="shared" si="10"/>
        <v>0.02</v>
      </c>
      <c r="W44" s="57">
        <f t="shared" si="10"/>
        <v>0.03</v>
      </c>
      <c r="X44" s="18">
        <v>42000</v>
      </c>
      <c r="Y44" s="20">
        <v>70000</v>
      </c>
      <c r="Z44" s="60">
        <f t="shared" si="4"/>
        <v>35000</v>
      </c>
      <c r="AA44" s="18">
        <v>178000</v>
      </c>
      <c r="AB44" s="60">
        <f>AA44+(AD44-AC44)</f>
        <v>307000</v>
      </c>
      <c r="AC44" s="18">
        <v>252500</v>
      </c>
      <c r="AD44" s="60">
        <v>381500</v>
      </c>
      <c r="AE44" s="10">
        <f t="shared" si="11"/>
        <v>1.5E-3</v>
      </c>
      <c r="AF44" s="92">
        <f t="shared" si="11"/>
        <v>250</v>
      </c>
      <c r="AG44" s="18">
        <v>500</v>
      </c>
      <c r="AH44" s="57">
        <v>0.5</v>
      </c>
      <c r="AI44" s="3">
        <f>AI43</f>
        <v>65</v>
      </c>
      <c r="AJ44" s="4">
        <v>64</v>
      </c>
    </row>
    <row r="45" spans="1:36" x14ac:dyDescent="0.25">
      <c r="A45" s="163">
        <v>40076</v>
      </c>
      <c r="B45" s="164">
        <v>40178</v>
      </c>
      <c r="C45" s="93">
        <v>615.80000000000007</v>
      </c>
      <c r="D45" s="17">
        <v>19.600000000000001</v>
      </c>
      <c r="E45" s="19">
        <f>G45-D45-F45</f>
        <v>6.3000000000000043</v>
      </c>
      <c r="F45" s="19">
        <f>MROUND(0.6633/0.5*26*M45,2.6)/26</f>
        <v>30.200000000000003</v>
      </c>
      <c r="G45" s="35">
        <f>MROUND(0.6633*2*26*N45,2.6)/26</f>
        <v>56.100000000000009</v>
      </c>
      <c r="H45" s="93"/>
      <c r="I45" s="93">
        <f t="shared" si="0"/>
        <v>671.90000000000009</v>
      </c>
      <c r="J45" s="93">
        <v>464.20000000000005</v>
      </c>
      <c r="K45" s="17">
        <v>16.400000000000002</v>
      </c>
      <c r="L45" s="19">
        <f t="shared" ref="L45:L91" si="13">N45-K45-M45</f>
        <v>3.0999999999999908</v>
      </c>
      <c r="M45" s="19">
        <v>22.800000000000004</v>
      </c>
      <c r="N45" s="35">
        <v>42.3</v>
      </c>
      <c r="O45" s="93"/>
      <c r="P45" s="93">
        <f t="shared" si="1"/>
        <v>506.50000000000006</v>
      </c>
      <c r="Q45" s="17">
        <v>142</v>
      </c>
      <c r="R45" s="35">
        <v>0</v>
      </c>
      <c r="S45" s="17">
        <v>124</v>
      </c>
      <c r="T45" s="35">
        <v>0</v>
      </c>
      <c r="U45" s="11">
        <v>0.5</v>
      </c>
      <c r="V45" s="62">
        <f t="shared" ref="V45:W60" si="14">V44</f>
        <v>0.02</v>
      </c>
      <c r="W45" s="61">
        <f t="shared" si="14"/>
        <v>0.03</v>
      </c>
      <c r="X45" s="17">
        <v>42000</v>
      </c>
      <c r="Y45" s="19">
        <v>70000</v>
      </c>
      <c r="Z45" s="35">
        <f t="shared" si="4"/>
        <v>35000</v>
      </c>
      <c r="AA45" s="17">
        <v>178000</v>
      </c>
      <c r="AB45" s="35">
        <f>AB44</f>
        <v>307000</v>
      </c>
      <c r="AC45" s="17">
        <v>252500</v>
      </c>
      <c r="AD45" s="35">
        <v>381500</v>
      </c>
      <c r="AE45" s="11">
        <f t="shared" si="11"/>
        <v>1.5E-3</v>
      </c>
      <c r="AF45" s="93">
        <f t="shared" si="11"/>
        <v>250</v>
      </c>
      <c r="AG45" s="17">
        <v>500</v>
      </c>
      <c r="AH45" s="61">
        <v>0.5</v>
      </c>
      <c r="AI45" s="2">
        <f t="shared" ref="AI45:AJ47" si="15">AI44</f>
        <v>65</v>
      </c>
      <c r="AJ45" s="1">
        <f t="shared" si="15"/>
        <v>64</v>
      </c>
    </row>
    <row r="46" spans="1:36" x14ac:dyDescent="0.25">
      <c r="A46" s="163">
        <v>40179</v>
      </c>
      <c r="B46" s="164">
        <v>40256</v>
      </c>
      <c r="C46" s="93">
        <v>615.79999999999995</v>
      </c>
      <c r="D46" s="17">
        <v>19.600000000000001</v>
      </c>
      <c r="E46" s="19">
        <f t="shared" ref="E46:E91" si="16">G46-D46-F46</f>
        <v>6.3000000000000043</v>
      </c>
      <c r="F46" s="19">
        <f>F45</f>
        <v>30.200000000000003</v>
      </c>
      <c r="G46" s="35">
        <f>G45</f>
        <v>56.100000000000009</v>
      </c>
      <c r="H46" s="93"/>
      <c r="I46" s="93">
        <f t="shared" si="0"/>
        <v>671.9</v>
      </c>
      <c r="J46" s="93">
        <v>464.20000000000005</v>
      </c>
      <c r="K46" s="17">
        <v>16.400000000000002</v>
      </c>
      <c r="L46" s="19">
        <f t="shared" si="13"/>
        <v>3.0999999999999908</v>
      </c>
      <c r="M46" s="19">
        <v>22.800000000000004</v>
      </c>
      <c r="N46" s="35">
        <v>42.3</v>
      </c>
      <c r="O46" s="93"/>
      <c r="P46" s="93">
        <f t="shared" si="1"/>
        <v>506.50000000000006</v>
      </c>
      <c r="Q46" s="17">
        <v>142</v>
      </c>
      <c r="R46" s="35">
        <v>0</v>
      </c>
      <c r="S46" s="17">
        <v>124</v>
      </c>
      <c r="T46" s="35">
        <v>0</v>
      </c>
      <c r="U46" s="11">
        <v>0.5</v>
      </c>
      <c r="V46" s="62">
        <f t="shared" si="14"/>
        <v>0.02</v>
      </c>
      <c r="W46" s="61">
        <f t="shared" si="14"/>
        <v>0.03</v>
      </c>
      <c r="X46" s="17">
        <v>42000</v>
      </c>
      <c r="Y46" s="19">
        <v>70000</v>
      </c>
      <c r="Z46" s="35">
        <f t="shared" si="4"/>
        <v>35000</v>
      </c>
      <c r="AA46" s="17">
        <v>178000</v>
      </c>
      <c r="AB46" s="35">
        <f>AB45</f>
        <v>307000</v>
      </c>
      <c r="AC46" s="17">
        <v>252500</v>
      </c>
      <c r="AD46" s="35">
        <v>381500</v>
      </c>
      <c r="AE46" s="11">
        <f t="shared" si="11"/>
        <v>1.5E-3</v>
      </c>
      <c r="AF46" s="93">
        <f t="shared" si="11"/>
        <v>250</v>
      </c>
      <c r="AG46" s="17">
        <f t="shared" si="11"/>
        <v>500</v>
      </c>
      <c r="AH46" s="61">
        <f t="shared" si="11"/>
        <v>0.5</v>
      </c>
      <c r="AI46" s="2">
        <f t="shared" si="15"/>
        <v>65</v>
      </c>
      <c r="AJ46" s="1">
        <f t="shared" si="15"/>
        <v>64</v>
      </c>
    </row>
    <row r="47" spans="1:36" ht="15.75" thickBot="1" x14ac:dyDescent="0.3">
      <c r="A47" s="180">
        <v>40257</v>
      </c>
      <c r="B47" s="181">
        <v>40359</v>
      </c>
      <c r="C47" s="94">
        <v>644.20000000000005</v>
      </c>
      <c r="D47" s="65">
        <v>19.899999999999999</v>
      </c>
      <c r="E47" s="68">
        <f t="shared" si="16"/>
        <v>6.4000000000000057</v>
      </c>
      <c r="F47" s="68">
        <f>MROUND(0.6633/0.5*26*M47,2.6)/26</f>
        <v>30.6</v>
      </c>
      <c r="G47" s="69">
        <f>MROUND(0.6633*2*26*N47,2.6)/26</f>
        <v>56.900000000000006</v>
      </c>
      <c r="H47" s="94"/>
      <c r="I47" s="94">
        <f t="shared" si="0"/>
        <v>701.1</v>
      </c>
      <c r="J47" s="94">
        <v>485.6</v>
      </c>
      <c r="K47" s="65">
        <v>16.600000000000001</v>
      </c>
      <c r="L47" s="68">
        <f t="shared" si="13"/>
        <v>3.2000000000000028</v>
      </c>
      <c r="M47" s="68">
        <v>23.1</v>
      </c>
      <c r="N47" s="69">
        <v>42.900000000000006</v>
      </c>
      <c r="O47" s="94"/>
      <c r="P47" s="94">
        <f t="shared" si="1"/>
        <v>528.5</v>
      </c>
      <c r="Q47" s="65">
        <v>142</v>
      </c>
      <c r="R47" s="69">
        <v>0</v>
      </c>
      <c r="S47" s="65">
        <v>124</v>
      </c>
      <c r="T47" s="69">
        <v>0</v>
      </c>
      <c r="U47" s="64">
        <v>0.5</v>
      </c>
      <c r="V47" s="67">
        <v>0.03</v>
      </c>
      <c r="W47" s="66">
        <v>4.4999999999999998E-2</v>
      </c>
      <c r="X47" s="65">
        <v>42000</v>
      </c>
      <c r="Y47" s="68">
        <v>70000</v>
      </c>
      <c r="Z47" s="69">
        <f t="shared" si="4"/>
        <v>35000</v>
      </c>
      <c r="AA47" s="65">
        <v>178000</v>
      </c>
      <c r="AB47" s="69">
        <f>AB46</f>
        <v>307000</v>
      </c>
      <c r="AC47" s="65">
        <v>252500</v>
      </c>
      <c r="AD47" s="69">
        <v>381500</v>
      </c>
      <c r="AE47" s="64">
        <f t="shared" si="11"/>
        <v>1.5E-3</v>
      </c>
      <c r="AF47" s="94">
        <f t="shared" si="11"/>
        <v>250</v>
      </c>
      <c r="AG47" s="65">
        <f t="shared" si="11"/>
        <v>500</v>
      </c>
      <c r="AH47" s="66">
        <f t="shared" si="11"/>
        <v>0.5</v>
      </c>
      <c r="AI47" s="85">
        <f t="shared" si="15"/>
        <v>65</v>
      </c>
      <c r="AJ47" s="70">
        <f t="shared" si="15"/>
        <v>64</v>
      </c>
    </row>
    <row r="48" spans="1:36" x14ac:dyDescent="0.25">
      <c r="A48" s="161">
        <v>40360</v>
      </c>
      <c r="B48" s="162">
        <v>40440</v>
      </c>
      <c r="C48" s="92">
        <v>644.20000000000005</v>
      </c>
      <c r="D48" s="18">
        <v>19.899999999999999</v>
      </c>
      <c r="E48" s="20">
        <f t="shared" si="16"/>
        <v>6.4000000000000057</v>
      </c>
      <c r="F48" s="20">
        <f>F47</f>
        <v>30.6</v>
      </c>
      <c r="G48" s="60">
        <f>G47</f>
        <v>56.900000000000006</v>
      </c>
      <c r="H48" s="92"/>
      <c r="I48" s="92">
        <f t="shared" si="0"/>
        <v>701.1</v>
      </c>
      <c r="J48" s="92">
        <v>485.6</v>
      </c>
      <c r="K48" s="18">
        <v>16.600000000000001</v>
      </c>
      <c r="L48" s="20">
        <f t="shared" si="13"/>
        <v>3.2000000000000028</v>
      </c>
      <c r="M48" s="20">
        <v>23.1</v>
      </c>
      <c r="N48" s="60">
        <v>42.900000000000006</v>
      </c>
      <c r="O48" s="92"/>
      <c r="P48" s="92">
        <f t="shared" si="1"/>
        <v>528.5</v>
      </c>
      <c r="Q48" s="18">
        <v>146</v>
      </c>
      <c r="R48" s="60">
        <v>0</v>
      </c>
      <c r="S48" s="18">
        <v>128</v>
      </c>
      <c r="T48" s="60">
        <v>0</v>
      </c>
      <c r="U48" s="10">
        <v>0.5</v>
      </c>
      <c r="V48" s="58">
        <f t="shared" si="14"/>
        <v>0.03</v>
      </c>
      <c r="W48" s="57">
        <f t="shared" si="14"/>
        <v>4.4999999999999998E-2</v>
      </c>
      <c r="X48" s="18">
        <v>43200</v>
      </c>
      <c r="Y48" s="20">
        <v>72000</v>
      </c>
      <c r="Z48" s="60">
        <f t="shared" si="4"/>
        <v>36000</v>
      </c>
      <c r="AA48" s="18">
        <v>181750</v>
      </c>
      <c r="AB48" s="60">
        <f>AA48+(AD48-AC48)</f>
        <v>313250</v>
      </c>
      <c r="AC48" s="18">
        <v>258000</v>
      </c>
      <c r="AD48" s="60">
        <v>389500</v>
      </c>
      <c r="AE48" s="10">
        <f t="shared" si="11"/>
        <v>1.5E-3</v>
      </c>
      <c r="AF48" s="92">
        <f t="shared" si="11"/>
        <v>250</v>
      </c>
      <c r="AG48" s="18">
        <f t="shared" si="11"/>
        <v>500</v>
      </c>
      <c r="AH48" s="57">
        <f t="shared" si="11"/>
        <v>0.5</v>
      </c>
      <c r="AI48" s="3">
        <f>AI47</f>
        <v>65</v>
      </c>
      <c r="AJ48" s="4">
        <f>AJ47</f>
        <v>64</v>
      </c>
    </row>
    <row r="49" spans="1:36" x14ac:dyDescent="0.25">
      <c r="A49" s="163">
        <v>40441</v>
      </c>
      <c r="B49" s="164">
        <v>40543</v>
      </c>
      <c r="C49" s="93">
        <v>658.40000000000009</v>
      </c>
      <c r="D49" s="17">
        <v>20.200000000000003</v>
      </c>
      <c r="E49" s="19">
        <f t="shared" si="16"/>
        <v>6.5</v>
      </c>
      <c r="F49" s="19">
        <f>MROUND(0.6633/0.5*26*M49,2.6)/26</f>
        <v>31</v>
      </c>
      <c r="G49" s="35">
        <f>MROUND(0.6633*2*26*N49,2.6)/26</f>
        <v>57.7</v>
      </c>
      <c r="H49" s="93"/>
      <c r="I49" s="93">
        <f t="shared" si="0"/>
        <v>716.10000000000014</v>
      </c>
      <c r="J49" s="93">
        <v>496.30000000000007</v>
      </c>
      <c r="K49" s="17">
        <v>16.8</v>
      </c>
      <c r="L49" s="19">
        <f t="shared" si="13"/>
        <v>3.3000000000000007</v>
      </c>
      <c r="M49" s="19">
        <v>23.4</v>
      </c>
      <c r="N49" s="35">
        <v>43.5</v>
      </c>
      <c r="O49" s="93"/>
      <c r="P49" s="93">
        <f t="shared" si="1"/>
        <v>539.80000000000007</v>
      </c>
      <c r="Q49" s="17">
        <v>146</v>
      </c>
      <c r="R49" s="35">
        <v>0</v>
      </c>
      <c r="S49" s="17">
        <v>128</v>
      </c>
      <c r="T49" s="35">
        <v>0</v>
      </c>
      <c r="U49" s="11">
        <v>0.5</v>
      </c>
      <c r="V49" s="62">
        <f t="shared" si="14"/>
        <v>0.03</v>
      </c>
      <c r="W49" s="61">
        <f t="shared" si="14"/>
        <v>4.4999999999999998E-2</v>
      </c>
      <c r="X49" s="17">
        <v>43200</v>
      </c>
      <c r="Y49" s="19">
        <v>72000</v>
      </c>
      <c r="Z49" s="35">
        <f t="shared" si="4"/>
        <v>36000</v>
      </c>
      <c r="AA49" s="17">
        <v>181750</v>
      </c>
      <c r="AB49" s="35">
        <f>AB48</f>
        <v>313250</v>
      </c>
      <c r="AC49" s="17">
        <v>258000</v>
      </c>
      <c r="AD49" s="35">
        <v>389500</v>
      </c>
      <c r="AE49" s="11">
        <f t="shared" si="11"/>
        <v>1.5E-3</v>
      </c>
      <c r="AF49" s="93">
        <f t="shared" si="11"/>
        <v>250</v>
      </c>
      <c r="AG49" s="17">
        <f t="shared" si="11"/>
        <v>500</v>
      </c>
      <c r="AH49" s="61">
        <f t="shared" si="11"/>
        <v>0.5</v>
      </c>
      <c r="AI49" s="2">
        <f t="shared" si="11"/>
        <v>65</v>
      </c>
      <c r="AJ49" s="1">
        <f t="shared" si="11"/>
        <v>64</v>
      </c>
    </row>
    <row r="50" spans="1:36" x14ac:dyDescent="0.25">
      <c r="A50" s="163">
        <v>40544</v>
      </c>
      <c r="B50" s="164">
        <v>40621</v>
      </c>
      <c r="C50" s="93">
        <v>658.40000000000009</v>
      </c>
      <c r="D50" s="17">
        <v>20.200000000000003</v>
      </c>
      <c r="E50" s="19">
        <f t="shared" si="16"/>
        <v>6.5</v>
      </c>
      <c r="F50" s="19">
        <f>F49</f>
        <v>31</v>
      </c>
      <c r="G50" s="35">
        <f>G49</f>
        <v>57.7</v>
      </c>
      <c r="H50" s="93"/>
      <c r="I50" s="93">
        <f t="shared" si="0"/>
        <v>716.10000000000014</v>
      </c>
      <c r="J50" s="93">
        <v>496.30000000000007</v>
      </c>
      <c r="K50" s="17">
        <v>16.8</v>
      </c>
      <c r="L50" s="19">
        <f t="shared" si="13"/>
        <v>3.3000000000000007</v>
      </c>
      <c r="M50" s="19">
        <v>23.4</v>
      </c>
      <c r="N50" s="35">
        <v>43.5</v>
      </c>
      <c r="O50" s="93"/>
      <c r="P50" s="93">
        <f t="shared" si="1"/>
        <v>539.80000000000007</v>
      </c>
      <c r="Q50" s="17">
        <v>146</v>
      </c>
      <c r="R50" s="35">
        <v>0</v>
      </c>
      <c r="S50" s="17">
        <v>128</v>
      </c>
      <c r="T50" s="35">
        <v>0</v>
      </c>
      <c r="U50" s="11">
        <v>0.5</v>
      </c>
      <c r="V50" s="62">
        <f t="shared" si="14"/>
        <v>0.03</v>
      </c>
      <c r="W50" s="61">
        <f t="shared" si="14"/>
        <v>4.4999999999999998E-2</v>
      </c>
      <c r="X50" s="17">
        <v>43200</v>
      </c>
      <c r="Y50" s="19">
        <v>72000</v>
      </c>
      <c r="Z50" s="35">
        <f t="shared" si="4"/>
        <v>36000</v>
      </c>
      <c r="AA50" s="17">
        <v>181750</v>
      </c>
      <c r="AB50" s="35">
        <f>AB49</f>
        <v>313250</v>
      </c>
      <c r="AC50" s="17">
        <v>258000</v>
      </c>
      <c r="AD50" s="35">
        <v>389500</v>
      </c>
      <c r="AE50" s="11">
        <f t="shared" si="11"/>
        <v>1.5E-3</v>
      </c>
      <c r="AF50" s="93">
        <f t="shared" si="11"/>
        <v>250</v>
      </c>
      <c r="AG50" s="17">
        <f t="shared" si="11"/>
        <v>500</v>
      </c>
      <c r="AH50" s="61">
        <f t="shared" si="11"/>
        <v>0.5</v>
      </c>
      <c r="AI50" s="2">
        <f t="shared" si="11"/>
        <v>65</v>
      </c>
      <c r="AJ50" s="1">
        <f t="shared" si="11"/>
        <v>64</v>
      </c>
    </row>
    <row r="51" spans="1:36" ht="15.75" thickBot="1" x14ac:dyDescent="0.3">
      <c r="A51" s="180">
        <v>40622</v>
      </c>
      <c r="B51" s="181">
        <v>40724</v>
      </c>
      <c r="C51" s="94">
        <v>670.90000000000009</v>
      </c>
      <c r="D51" s="65">
        <v>20.399999999999999</v>
      </c>
      <c r="E51" s="68">
        <f t="shared" si="16"/>
        <v>6.6000000000000085</v>
      </c>
      <c r="F51" s="68">
        <f>MROUND(0.6633/0.5*26*M51,2.6)/26</f>
        <v>31.4</v>
      </c>
      <c r="G51" s="69">
        <f>MROUND(0.6633*2*26*N51,2.6)/26</f>
        <v>58.400000000000006</v>
      </c>
      <c r="H51" s="94"/>
      <c r="I51" s="94">
        <f t="shared" si="0"/>
        <v>729.30000000000007</v>
      </c>
      <c r="J51" s="94">
        <v>505.70000000000005</v>
      </c>
      <c r="K51" s="65">
        <v>17</v>
      </c>
      <c r="L51" s="68">
        <f t="shared" si="13"/>
        <v>3.2999999999999972</v>
      </c>
      <c r="M51" s="68">
        <v>23.700000000000003</v>
      </c>
      <c r="N51" s="69">
        <v>44</v>
      </c>
      <c r="O51" s="94"/>
      <c r="P51" s="94">
        <f t="shared" si="1"/>
        <v>549.70000000000005</v>
      </c>
      <c r="Q51" s="65">
        <v>146</v>
      </c>
      <c r="R51" s="69">
        <v>0</v>
      </c>
      <c r="S51" s="65">
        <v>128</v>
      </c>
      <c r="T51" s="69">
        <v>0</v>
      </c>
      <c r="U51" s="64">
        <v>0.5</v>
      </c>
      <c r="V51" s="67">
        <f t="shared" si="14"/>
        <v>0.03</v>
      </c>
      <c r="W51" s="66">
        <f t="shared" si="14"/>
        <v>4.4999999999999998E-2</v>
      </c>
      <c r="X51" s="65">
        <v>43200</v>
      </c>
      <c r="Y51" s="68">
        <v>72000</v>
      </c>
      <c r="Z51" s="69">
        <f t="shared" si="4"/>
        <v>36000</v>
      </c>
      <c r="AA51" s="65">
        <v>181750</v>
      </c>
      <c r="AB51" s="69">
        <f>AB50</f>
        <v>313250</v>
      </c>
      <c r="AC51" s="65">
        <v>258000</v>
      </c>
      <c r="AD51" s="69">
        <v>389500</v>
      </c>
      <c r="AE51" s="64">
        <f t="shared" si="11"/>
        <v>1.5E-3</v>
      </c>
      <c r="AF51" s="94">
        <f t="shared" si="11"/>
        <v>250</v>
      </c>
      <c r="AG51" s="65">
        <f t="shared" si="11"/>
        <v>500</v>
      </c>
      <c r="AH51" s="66">
        <f t="shared" si="11"/>
        <v>0.5</v>
      </c>
      <c r="AI51" s="85">
        <f t="shared" si="11"/>
        <v>65</v>
      </c>
      <c r="AJ51" s="70">
        <f t="shared" si="11"/>
        <v>64</v>
      </c>
    </row>
    <row r="52" spans="1:36" x14ac:dyDescent="0.25">
      <c r="A52" s="161">
        <v>40725</v>
      </c>
      <c r="B52" s="162">
        <v>40805</v>
      </c>
      <c r="C52" s="92">
        <v>670.90000000000009</v>
      </c>
      <c r="D52" s="18">
        <v>20.399999999999999</v>
      </c>
      <c r="E52" s="20">
        <f t="shared" si="16"/>
        <v>6.6000000000000085</v>
      </c>
      <c r="F52" s="20">
        <f>F51</f>
        <v>31.4</v>
      </c>
      <c r="G52" s="60">
        <f>G51</f>
        <v>58.400000000000006</v>
      </c>
      <c r="H52" s="92"/>
      <c r="I52" s="92">
        <f t="shared" si="0"/>
        <v>729.30000000000007</v>
      </c>
      <c r="J52" s="92">
        <v>505.70000000000005</v>
      </c>
      <c r="K52" s="18">
        <v>17</v>
      </c>
      <c r="L52" s="20">
        <f t="shared" si="13"/>
        <v>3.2999999999999972</v>
      </c>
      <c r="M52" s="20">
        <v>23.700000000000003</v>
      </c>
      <c r="N52" s="60">
        <v>44</v>
      </c>
      <c r="O52" s="92"/>
      <c r="P52" s="92">
        <f t="shared" si="1"/>
        <v>549.70000000000005</v>
      </c>
      <c r="Q52" s="18">
        <v>150</v>
      </c>
      <c r="R52" s="60">
        <v>0</v>
      </c>
      <c r="S52" s="18">
        <v>132</v>
      </c>
      <c r="T52" s="60">
        <v>0</v>
      </c>
      <c r="U52" s="10">
        <v>0.5</v>
      </c>
      <c r="V52" s="58">
        <f t="shared" si="14"/>
        <v>0.03</v>
      </c>
      <c r="W52" s="57">
        <f t="shared" si="14"/>
        <v>4.4999999999999998E-2</v>
      </c>
      <c r="X52" s="18">
        <v>44600</v>
      </c>
      <c r="Y52" s="20">
        <v>74400</v>
      </c>
      <c r="Z52" s="60">
        <f t="shared" si="4"/>
        <v>37200</v>
      </c>
      <c r="AA52" s="18">
        <v>186750</v>
      </c>
      <c r="AB52" s="60">
        <f>AA52+(AD52-AC52)</f>
        <v>321750</v>
      </c>
      <c r="AC52" s="18">
        <v>265000</v>
      </c>
      <c r="AD52" s="60">
        <v>400000</v>
      </c>
      <c r="AE52" s="10">
        <f t="shared" si="11"/>
        <v>1.5E-3</v>
      </c>
      <c r="AF52" s="92">
        <f t="shared" si="11"/>
        <v>250</v>
      </c>
      <c r="AG52" s="18">
        <v>250</v>
      </c>
      <c r="AH52" s="57">
        <v>1</v>
      </c>
      <c r="AI52" s="3">
        <f>AI51</f>
        <v>65</v>
      </c>
      <c r="AJ52" s="4">
        <v>64.5</v>
      </c>
    </row>
    <row r="53" spans="1:36" x14ac:dyDescent="0.25">
      <c r="A53" s="163">
        <v>40806</v>
      </c>
      <c r="B53" s="164">
        <v>40908</v>
      </c>
      <c r="C53" s="93">
        <v>689</v>
      </c>
      <c r="D53" s="17">
        <v>20.9</v>
      </c>
      <c r="E53" s="19">
        <f t="shared" si="16"/>
        <v>6.6999999999999957</v>
      </c>
      <c r="F53" s="19">
        <f>MROUND(0.6633/0.5*26*M53,2.6)/26</f>
        <v>32.200000000000003</v>
      </c>
      <c r="G53" s="35">
        <f>MROUND(0.6633*2*26*N53,2.6)/26</f>
        <v>59.8</v>
      </c>
      <c r="H53" s="93"/>
      <c r="I53" s="93">
        <f t="shared" si="0"/>
        <v>748.8</v>
      </c>
      <c r="J53" s="93">
        <v>519.4</v>
      </c>
      <c r="K53" s="17">
        <v>17.400000000000002</v>
      </c>
      <c r="L53" s="19">
        <f t="shared" si="13"/>
        <v>3.4000000000000021</v>
      </c>
      <c r="M53" s="19">
        <v>24.300000000000004</v>
      </c>
      <c r="N53" s="35">
        <v>45.100000000000009</v>
      </c>
      <c r="O53" s="93"/>
      <c r="P53" s="93">
        <f t="shared" si="1"/>
        <v>564.5</v>
      </c>
      <c r="Q53" s="17">
        <v>150</v>
      </c>
      <c r="R53" s="35">
        <v>0</v>
      </c>
      <c r="S53" s="17">
        <v>132</v>
      </c>
      <c r="T53" s="35">
        <v>0</v>
      </c>
      <c r="U53" s="11">
        <v>0.5</v>
      </c>
      <c r="V53" s="62">
        <f t="shared" si="14"/>
        <v>0.03</v>
      </c>
      <c r="W53" s="61">
        <f t="shared" si="14"/>
        <v>4.4999999999999998E-2</v>
      </c>
      <c r="X53" s="17">
        <v>44600</v>
      </c>
      <c r="Y53" s="19">
        <v>74400</v>
      </c>
      <c r="Z53" s="35">
        <f t="shared" si="4"/>
        <v>37200</v>
      </c>
      <c r="AA53" s="17">
        <v>186750</v>
      </c>
      <c r="AB53" s="35">
        <f>AB52</f>
        <v>321750</v>
      </c>
      <c r="AC53" s="17">
        <v>265000</v>
      </c>
      <c r="AD53" s="35">
        <v>400000</v>
      </c>
      <c r="AE53" s="11">
        <f t="shared" si="11"/>
        <v>1.5E-3</v>
      </c>
      <c r="AF53" s="93">
        <f t="shared" si="11"/>
        <v>250</v>
      </c>
      <c r="AG53" s="17">
        <f>AG52</f>
        <v>250</v>
      </c>
      <c r="AH53" s="61">
        <f t="shared" si="11"/>
        <v>1</v>
      </c>
      <c r="AI53" s="2">
        <f t="shared" si="11"/>
        <v>65</v>
      </c>
      <c r="AJ53" s="1">
        <f t="shared" si="11"/>
        <v>64.5</v>
      </c>
    </row>
    <row r="54" spans="1:36" x14ac:dyDescent="0.25">
      <c r="A54" s="163">
        <v>40909</v>
      </c>
      <c r="B54" s="164">
        <v>40987</v>
      </c>
      <c r="C54" s="93">
        <v>689</v>
      </c>
      <c r="D54" s="17">
        <v>20.9</v>
      </c>
      <c r="E54" s="19">
        <f t="shared" si="16"/>
        <v>6.6999999999999957</v>
      </c>
      <c r="F54" s="19">
        <f>F53</f>
        <v>32.200000000000003</v>
      </c>
      <c r="G54" s="35">
        <f>G53</f>
        <v>59.8</v>
      </c>
      <c r="H54" s="93"/>
      <c r="I54" s="93">
        <f t="shared" si="0"/>
        <v>748.8</v>
      </c>
      <c r="J54" s="93">
        <v>519.4</v>
      </c>
      <c r="K54" s="17">
        <v>17.400000000000002</v>
      </c>
      <c r="L54" s="19">
        <f t="shared" si="13"/>
        <v>3.4000000000000021</v>
      </c>
      <c r="M54" s="19">
        <v>24.300000000000004</v>
      </c>
      <c r="N54" s="35">
        <v>45.100000000000009</v>
      </c>
      <c r="O54" s="93"/>
      <c r="P54" s="93">
        <f t="shared" si="1"/>
        <v>564.5</v>
      </c>
      <c r="Q54" s="17">
        <v>150</v>
      </c>
      <c r="R54" s="35">
        <v>0</v>
      </c>
      <c r="S54" s="17">
        <v>132</v>
      </c>
      <c r="T54" s="35">
        <v>0</v>
      </c>
      <c r="U54" s="11">
        <v>0.5</v>
      </c>
      <c r="V54" s="62">
        <f t="shared" si="14"/>
        <v>0.03</v>
      </c>
      <c r="W54" s="61">
        <f t="shared" si="14"/>
        <v>4.4999999999999998E-2</v>
      </c>
      <c r="X54" s="17">
        <v>44600</v>
      </c>
      <c r="Y54" s="19">
        <v>74400</v>
      </c>
      <c r="Z54" s="35">
        <f t="shared" si="4"/>
        <v>37200</v>
      </c>
      <c r="AA54" s="17">
        <v>186750</v>
      </c>
      <c r="AB54" s="35">
        <f>AB53</f>
        <v>321750</v>
      </c>
      <c r="AC54" s="17">
        <v>265000</v>
      </c>
      <c r="AD54" s="35">
        <v>400000</v>
      </c>
      <c r="AE54" s="11">
        <f t="shared" si="11"/>
        <v>1.5E-3</v>
      </c>
      <c r="AF54" s="93">
        <f t="shared" si="11"/>
        <v>250</v>
      </c>
      <c r="AG54" s="17">
        <f t="shared" si="11"/>
        <v>250</v>
      </c>
      <c r="AH54" s="61">
        <f t="shared" si="11"/>
        <v>1</v>
      </c>
      <c r="AI54" s="2">
        <f t="shared" si="11"/>
        <v>65</v>
      </c>
      <c r="AJ54" s="1">
        <f t="shared" si="11"/>
        <v>64.5</v>
      </c>
    </row>
    <row r="55" spans="1:36" ht="15.75" thickBot="1" x14ac:dyDescent="0.3">
      <c r="A55" s="180">
        <v>40988</v>
      </c>
      <c r="B55" s="181">
        <v>41090</v>
      </c>
      <c r="C55" s="94">
        <v>695.3</v>
      </c>
      <c r="D55" s="65">
        <v>21</v>
      </c>
      <c r="E55" s="68">
        <f t="shared" si="16"/>
        <v>6.8000000000000043</v>
      </c>
      <c r="F55" s="68">
        <f>MROUND(0.6633/0.5*26*M55,2.6)/26</f>
        <v>32.4</v>
      </c>
      <c r="G55" s="69">
        <f>MROUND(0.6633*2*26*N55,2.6)/26</f>
        <v>60.2</v>
      </c>
      <c r="H55" s="94"/>
      <c r="I55" s="94">
        <f t="shared" si="0"/>
        <v>755.5</v>
      </c>
      <c r="J55" s="94">
        <v>524.1</v>
      </c>
      <c r="K55" s="65">
        <v>17.5</v>
      </c>
      <c r="L55" s="68">
        <f t="shared" si="13"/>
        <v>3.5000000000000071</v>
      </c>
      <c r="M55" s="68">
        <v>24.4</v>
      </c>
      <c r="N55" s="69">
        <v>45.400000000000006</v>
      </c>
      <c r="O55" s="94"/>
      <c r="P55" s="94">
        <f t="shared" si="1"/>
        <v>569.5</v>
      </c>
      <c r="Q55" s="65">
        <v>150</v>
      </c>
      <c r="R55" s="69">
        <v>0</v>
      </c>
      <c r="S55" s="65">
        <v>132</v>
      </c>
      <c r="T55" s="69">
        <v>0</v>
      </c>
      <c r="U55" s="64">
        <v>0.5</v>
      </c>
      <c r="V55" s="67">
        <v>0.03</v>
      </c>
      <c r="W55" s="66">
        <v>4.4999999999999998E-2</v>
      </c>
      <c r="X55" s="65">
        <v>44600</v>
      </c>
      <c r="Y55" s="68">
        <v>74400</v>
      </c>
      <c r="Z55" s="69">
        <f t="shared" si="4"/>
        <v>37200</v>
      </c>
      <c r="AA55" s="65">
        <v>186750</v>
      </c>
      <c r="AB55" s="69">
        <f>AB54</f>
        <v>321750</v>
      </c>
      <c r="AC55" s="65">
        <v>265000</v>
      </c>
      <c r="AD55" s="69">
        <v>400000</v>
      </c>
      <c r="AE55" s="64">
        <f t="shared" ref="AE55:AJ70" si="17">AE54</f>
        <v>1.5E-3</v>
      </c>
      <c r="AF55" s="94">
        <f t="shared" si="17"/>
        <v>250</v>
      </c>
      <c r="AG55" s="65">
        <f t="shared" si="17"/>
        <v>250</v>
      </c>
      <c r="AH55" s="66">
        <f t="shared" si="17"/>
        <v>1</v>
      </c>
      <c r="AI55" s="85">
        <f t="shared" si="17"/>
        <v>65</v>
      </c>
      <c r="AJ55" s="70">
        <f t="shared" si="17"/>
        <v>64.5</v>
      </c>
    </row>
    <row r="56" spans="1:36" x14ac:dyDescent="0.25">
      <c r="A56" s="161">
        <v>41091</v>
      </c>
      <c r="B56" s="162">
        <v>41171</v>
      </c>
      <c r="C56" s="92">
        <v>695.3</v>
      </c>
      <c r="D56" s="18">
        <v>21</v>
      </c>
      <c r="E56" s="20">
        <f t="shared" si="16"/>
        <v>6.8000000000000043</v>
      </c>
      <c r="F56" s="20">
        <f>F55</f>
        <v>32.4</v>
      </c>
      <c r="G56" s="60">
        <f>G55</f>
        <v>60.2</v>
      </c>
      <c r="H56" s="92"/>
      <c r="I56" s="92">
        <f t="shared" si="0"/>
        <v>755.5</v>
      </c>
      <c r="J56" s="92">
        <v>524.1</v>
      </c>
      <c r="K56" s="18">
        <v>17.5</v>
      </c>
      <c r="L56" s="20">
        <f t="shared" si="13"/>
        <v>3.5000000000000071</v>
      </c>
      <c r="M56" s="20">
        <v>24.4</v>
      </c>
      <c r="N56" s="60">
        <v>45.400000000000006</v>
      </c>
      <c r="O56" s="92"/>
      <c r="P56" s="92">
        <f t="shared" si="1"/>
        <v>569.5</v>
      </c>
      <c r="Q56" s="18">
        <v>152</v>
      </c>
      <c r="R56" s="60">
        <v>0</v>
      </c>
      <c r="S56" s="18">
        <v>134</v>
      </c>
      <c r="T56" s="60">
        <v>0</v>
      </c>
      <c r="U56" s="10">
        <v>0.5</v>
      </c>
      <c r="V56" s="58">
        <f t="shared" si="14"/>
        <v>0.03</v>
      </c>
      <c r="W56" s="57">
        <f t="shared" si="14"/>
        <v>4.4999999999999998E-2</v>
      </c>
      <c r="X56" s="18">
        <v>45400</v>
      </c>
      <c r="Y56" s="20">
        <v>75600</v>
      </c>
      <c r="Z56" s="60">
        <f t="shared" si="4"/>
        <v>37800</v>
      </c>
      <c r="AA56" s="18">
        <v>192500</v>
      </c>
      <c r="AB56" s="60">
        <f>AA56+(AD56-AC56)</f>
        <v>332000</v>
      </c>
      <c r="AC56" s="18">
        <v>273000</v>
      </c>
      <c r="AD56" s="60">
        <v>412500</v>
      </c>
      <c r="AE56" s="10">
        <f t="shared" si="17"/>
        <v>1.5E-3</v>
      </c>
      <c r="AF56" s="92">
        <f t="shared" si="17"/>
        <v>250</v>
      </c>
      <c r="AG56" s="18">
        <f t="shared" si="17"/>
        <v>250</v>
      </c>
      <c r="AH56" s="57">
        <f t="shared" si="17"/>
        <v>1</v>
      </c>
      <c r="AI56" s="3">
        <f>AI55</f>
        <v>65</v>
      </c>
      <c r="AJ56" s="4">
        <f>AJ55</f>
        <v>64.5</v>
      </c>
    </row>
    <row r="57" spans="1:36" x14ac:dyDescent="0.25">
      <c r="A57" s="163">
        <v>41172</v>
      </c>
      <c r="B57" s="164">
        <v>41274</v>
      </c>
      <c r="C57" s="93">
        <v>712</v>
      </c>
      <c r="D57" s="17">
        <v>21.1</v>
      </c>
      <c r="E57" s="19">
        <f t="shared" si="16"/>
        <v>7.0000000000000071</v>
      </c>
      <c r="F57" s="19">
        <f>MROUND(0.6633/0.5*26*M57,2.6)/26</f>
        <v>32.5</v>
      </c>
      <c r="G57" s="35">
        <f>MROUND(0.6633*2*26*N57,2.6)/26</f>
        <v>60.600000000000009</v>
      </c>
      <c r="H57" s="93"/>
      <c r="I57" s="93">
        <f t="shared" si="0"/>
        <v>772.6</v>
      </c>
      <c r="J57" s="93">
        <v>536.70000000000005</v>
      </c>
      <c r="K57" s="17">
        <v>17.600000000000001</v>
      </c>
      <c r="L57" s="19">
        <f t="shared" si="13"/>
        <v>3.6000000000000014</v>
      </c>
      <c r="M57" s="19">
        <v>24.5</v>
      </c>
      <c r="N57" s="35">
        <v>45.7</v>
      </c>
      <c r="O57" s="93"/>
      <c r="P57" s="93">
        <f t="shared" si="1"/>
        <v>582.40000000000009</v>
      </c>
      <c r="Q57" s="17">
        <v>152</v>
      </c>
      <c r="R57" s="35">
        <v>0</v>
      </c>
      <c r="S57" s="17">
        <v>134</v>
      </c>
      <c r="T57" s="35">
        <v>0</v>
      </c>
      <c r="U57" s="11">
        <v>0.5</v>
      </c>
      <c r="V57" s="62">
        <f t="shared" si="14"/>
        <v>0.03</v>
      </c>
      <c r="W57" s="61">
        <f t="shared" si="14"/>
        <v>4.4999999999999998E-2</v>
      </c>
      <c r="X57" s="17">
        <v>45400</v>
      </c>
      <c r="Y57" s="19">
        <v>75600</v>
      </c>
      <c r="Z57" s="35">
        <f t="shared" si="4"/>
        <v>37800</v>
      </c>
      <c r="AA57" s="17">
        <v>192500</v>
      </c>
      <c r="AB57" s="35">
        <f>AB56</f>
        <v>332000</v>
      </c>
      <c r="AC57" s="17">
        <v>273000</v>
      </c>
      <c r="AD57" s="35">
        <v>412500</v>
      </c>
      <c r="AE57" s="11">
        <f t="shared" si="17"/>
        <v>1.5E-3</v>
      </c>
      <c r="AF57" s="93">
        <f t="shared" si="17"/>
        <v>250</v>
      </c>
      <c r="AG57" s="17">
        <f t="shared" si="17"/>
        <v>250</v>
      </c>
      <c r="AH57" s="61">
        <f t="shared" si="17"/>
        <v>1</v>
      </c>
      <c r="AI57" s="2">
        <f t="shared" si="17"/>
        <v>65</v>
      </c>
      <c r="AJ57" s="1">
        <f t="shared" si="17"/>
        <v>64.5</v>
      </c>
    </row>
    <row r="58" spans="1:36" s="5" customFormat="1" x14ac:dyDescent="0.25">
      <c r="A58" s="496">
        <v>41275</v>
      </c>
      <c r="B58" s="497">
        <v>41352</v>
      </c>
      <c r="C58" s="373">
        <v>712</v>
      </c>
      <c r="D58" s="375">
        <v>21.1</v>
      </c>
      <c r="E58" s="242">
        <f t="shared" si="16"/>
        <v>7.0000000000000071</v>
      </c>
      <c r="F58" s="242">
        <f>F57</f>
        <v>32.5</v>
      </c>
      <c r="G58" s="374">
        <f>G57</f>
        <v>60.600000000000009</v>
      </c>
      <c r="H58" s="373"/>
      <c r="I58" s="373">
        <f t="shared" si="0"/>
        <v>772.6</v>
      </c>
      <c r="J58" s="373">
        <v>536.70000000000005</v>
      </c>
      <c r="K58" s="375">
        <v>17.600000000000001</v>
      </c>
      <c r="L58" s="242">
        <f t="shared" si="13"/>
        <v>3.6000000000000014</v>
      </c>
      <c r="M58" s="242">
        <v>24.5</v>
      </c>
      <c r="N58" s="374">
        <v>45.7</v>
      </c>
      <c r="O58" s="373"/>
      <c r="P58" s="373">
        <f t="shared" si="1"/>
        <v>582.40000000000009</v>
      </c>
      <c r="Q58" s="375">
        <v>152</v>
      </c>
      <c r="R58" s="374">
        <v>0</v>
      </c>
      <c r="S58" s="375">
        <v>134</v>
      </c>
      <c r="T58" s="374">
        <v>0</v>
      </c>
      <c r="U58" s="406">
        <v>0.5</v>
      </c>
      <c r="V58" s="403">
        <f t="shared" si="14"/>
        <v>0.03</v>
      </c>
      <c r="W58" s="377">
        <f t="shared" si="14"/>
        <v>4.4999999999999998E-2</v>
      </c>
      <c r="X58" s="375">
        <v>45400</v>
      </c>
      <c r="Y58" s="242">
        <v>75600</v>
      </c>
      <c r="Z58" s="374">
        <f t="shared" si="4"/>
        <v>37800</v>
      </c>
      <c r="AA58" s="375">
        <v>192500</v>
      </c>
      <c r="AB58" s="374">
        <f>AB57</f>
        <v>332000</v>
      </c>
      <c r="AC58" s="375">
        <v>273000</v>
      </c>
      <c r="AD58" s="374">
        <v>412500</v>
      </c>
      <c r="AE58" s="406">
        <f t="shared" si="17"/>
        <v>1.5E-3</v>
      </c>
      <c r="AF58" s="373">
        <f t="shared" si="17"/>
        <v>250</v>
      </c>
      <c r="AG58" s="375">
        <f t="shared" si="17"/>
        <v>250</v>
      </c>
      <c r="AH58" s="377">
        <f t="shared" si="17"/>
        <v>1</v>
      </c>
      <c r="AI58" s="396">
        <f t="shared" si="17"/>
        <v>65</v>
      </c>
      <c r="AJ58" s="397">
        <f t="shared" si="17"/>
        <v>64.5</v>
      </c>
    </row>
    <row r="59" spans="1:36" s="5" customFormat="1" ht="15.75" thickBot="1" x14ac:dyDescent="0.3">
      <c r="A59" s="538">
        <v>41353</v>
      </c>
      <c r="B59" s="539">
        <v>41455</v>
      </c>
      <c r="C59" s="542">
        <v>733.7</v>
      </c>
      <c r="D59" s="540">
        <v>21.300000000000004</v>
      </c>
      <c r="E59" s="543">
        <f t="shared" si="16"/>
        <v>7.1000000000000014</v>
      </c>
      <c r="F59" s="543">
        <v>32.799999999999997</v>
      </c>
      <c r="G59" s="541">
        <f>MROUND(0.6633*2*26*N59,2.6)/26</f>
        <v>61.2</v>
      </c>
      <c r="H59" s="542">
        <v>13.5</v>
      </c>
      <c r="I59" s="542">
        <f t="shared" si="0"/>
        <v>808.40000000000009</v>
      </c>
      <c r="J59" s="542">
        <v>553.1</v>
      </c>
      <c r="K59" s="540">
        <v>17.8</v>
      </c>
      <c r="L59" s="543">
        <f t="shared" si="13"/>
        <v>3.6000000000000014</v>
      </c>
      <c r="M59" s="543">
        <f>49.4/2</f>
        <v>24.7</v>
      </c>
      <c r="N59" s="541">
        <v>46.1</v>
      </c>
      <c r="O59" s="542">
        <v>10.199999999999999</v>
      </c>
      <c r="P59" s="542">
        <f t="shared" si="1"/>
        <v>609.40000000000009</v>
      </c>
      <c r="Q59" s="540">
        <v>152</v>
      </c>
      <c r="R59" s="541">
        <v>0</v>
      </c>
      <c r="S59" s="540">
        <v>134</v>
      </c>
      <c r="T59" s="541">
        <v>0</v>
      </c>
      <c r="U59" s="552">
        <v>0.5</v>
      </c>
      <c r="V59" s="544">
        <v>2.5000000000000001E-2</v>
      </c>
      <c r="W59" s="545">
        <v>0.04</v>
      </c>
      <c r="X59" s="540">
        <v>45400</v>
      </c>
      <c r="Y59" s="543">
        <v>75600</v>
      </c>
      <c r="Z59" s="541">
        <f t="shared" si="4"/>
        <v>37800</v>
      </c>
      <c r="AA59" s="540">
        <v>192500</v>
      </c>
      <c r="AB59" s="541">
        <f>AB58</f>
        <v>332000</v>
      </c>
      <c r="AC59" s="540">
        <v>273000</v>
      </c>
      <c r="AD59" s="541">
        <v>412500</v>
      </c>
      <c r="AE59" s="552">
        <f t="shared" si="17"/>
        <v>1.5E-3</v>
      </c>
      <c r="AF59" s="542">
        <f t="shared" si="17"/>
        <v>250</v>
      </c>
      <c r="AG59" s="540">
        <f t="shared" si="17"/>
        <v>250</v>
      </c>
      <c r="AH59" s="545">
        <f t="shared" si="17"/>
        <v>1</v>
      </c>
      <c r="AI59" s="548">
        <f t="shared" si="17"/>
        <v>65</v>
      </c>
      <c r="AJ59" s="549">
        <f t="shared" si="17"/>
        <v>64.5</v>
      </c>
    </row>
    <row r="60" spans="1:36" s="5" customFormat="1" x14ac:dyDescent="0.25">
      <c r="A60" s="531">
        <v>41456</v>
      </c>
      <c r="B60" s="532">
        <v>41536</v>
      </c>
      <c r="C60" s="533">
        <f>C59</f>
        <v>733.7</v>
      </c>
      <c r="D60" s="534">
        <f>D59</f>
        <v>21.300000000000004</v>
      </c>
      <c r="E60" s="536">
        <f t="shared" si="16"/>
        <v>7.1000000000000014</v>
      </c>
      <c r="F60" s="536">
        <f>F59</f>
        <v>32.799999999999997</v>
      </c>
      <c r="G60" s="535">
        <f>G59</f>
        <v>61.2</v>
      </c>
      <c r="H60" s="533">
        <v>13.5</v>
      </c>
      <c r="I60" s="533">
        <f t="shared" si="0"/>
        <v>808.40000000000009</v>
      </c>
      <c r="J60" s="533">
        <f>J59</f>
        <v>553.1</v>
      </c>
      <c r="K60" s="534">
        <f>K59</f>
        <v>17.8</v>
      </c>
      <c r="L60" s="536">
        <f t="shared" si="13"/>
        <v>3.6000000000000014</v>
      </c>
      <c r="M60" s="536">
        <f>M59</f>
        <v>24.7</v>
      </c>
      <c r="N60" s="535">
        <f>N59</f>
        <v>46.1</v>
      </c>
      <c r="O60" s="533">
        <f>O59</f>
        <v>10.199999999999999</v>
      </c>
      <c r="P60" s="533">
        <f t="shared" si="1"/>
        <v>609.40000000000009</v>
      </c>
      <c r="Q60" s="534">
        <v>156</v>
      </c>
      <c r="R60" s="535">
        <v>0</v>
      </c>
      <c r="S60" s="534">
        <f>276/2</f>
        <v>138</v>
      </c>
      <c r="T60" s="535">
        <v>0</v>
      </c>
      <c r="U60" s="556">
        <v>0.5</v>
      </c>
      <c r="V60" s="546">
        <f t="shared" si="14"/>
        <v>2.5000000000000001E-2</v>
      </c>
      <c r="W60" s="547">
        <f t="shared" si="14"/>
        <v>0.04</v>
      </c>
      <c r="X60" s="534">
        <v>46600</v>
      </c>
      <c r="Y60" s="536">
        <f>77400</f>
        <v>77400</v>
      </c>
      <c r="Z60" s="535">
        <f t="shared" si="4"/>
        <v>38700</v>
      </c>
      <c r="AA60" s="534">
        <f>196750</f>
        <v>196750</v>
      </c>
      <c r="AB60" s="535">
        <f>AA60+(AD60-AC60)</f>
        <v>339250</v>
      </c>
      <c r="AC60" s="534">
        <f>279000</f>
        <v>279000</v>
      </c>
      <c r="AD60" s="535">
        <f>421500</f>
        <v>421500</v>
      </c>
      <c r="AE60" s="556">
        <f t="shared" si="17"/>
        <v>1.5E-3</v>
      </c>
      <c r="AF60" s="533">
        <f t="shared" si="17"/>
        <v>250</v>
      </c>
      <c r="AG60" s="534">
        <f t="shared" si="17"/>
        <v>250</v>
      </c>
      <c r="AH60" s="547">
        <f t="shared" si="17"/>
        <v>1</v>
      </c>
      <c r="AI60" s="555">
        <f>AI59</f>
        <v>65</v>
      </c>
      <c r="AJ60" s="537">
        <v>65</v>
      </c>
    </row>
    <row r="61" spans="1:36" s="5" customFormat="1" x14ac:dyDescent="0.25">
      <c r="A61" s="496">
        <v>41537</v>
      </c>
      <c r="B61" s="497">
        <v>41639</v>
      </c>
      <c r="C61" s="373">
        <v>751.7</v>
      </c>
      <c r="D61" s="375">
        <f>21.5</f>
        <v>21.5</v>
      </c>
      <c r="E61" s="242">
        <f>G61-D61-F61</f>
        <v>7.2000000000000028</v>
      </c>
      <c r="F61" s="242">
        <f>33</f>
        <v>33</v>
      </c>
      <c r="G61" s="374">
        <f>MROUND(0.6633*2*26*N61,2.6)/26</f>
        <v>61.7</v>
      </c>
      <c r="H61" s="373">
        <f>13.7</f>
        <v>13.7</v>
      </c>
      <c r="I61" s="373">
        <f t="shared" si="0"/>
        <v>827.10000000000014</v>
      </c>
      <c r="J61" s="373">
        <v>566.6</v>
      </c>
      <c r="K61" s="375">
        <f>35.8/2</f>
        <v>17.899999999999999</v>
      </c>
      <c r="L61" s="242">
        <f t="shared" si="13"/>
        <v>3.7000000000000028</v>
      </c>
      <c r="M61" s="242">
        <f>49.8/2</f>
        <v>24.9</v>
      </c>
      <c r="N61" s="374">
        <f>93/2</f>
        <v>46.5</v>
      </c>
      <c r="O61" s="373">
        <v>10.3</v>
      </c>
      <c r="P61" s="373">
        <f t="shared" si="1"/>
        <v>623.4</v>
      </c>
      <c r="Q61" s="375">
        <f>Q60</f>
        <v>156</v>
      </c>
      <c r="R61" s="374">
        <v>0</v>
      </c>
      <c r="S61" s="375">
        <f>S60</f>
        <v>138</v>
      </c>
      <c r="T61" s="374">
        <v>0</v>
      </c>
      <c r="U61" s="406">
        <v>0.5</v>
      </c>
      <c r="V61" s="403">
        <v>2.2183999999999999E-2</v>
      </c>
      <c r="W61" s="377">
        <v>3.7184000000000002E-2</v>
      </c>
      <c r="X61" s="375">
        <v>46600</v>
      </c>
      <c r="Y61" s="242">
        <v>77400</v>
      </c>
      <c r="Z61" s="374">
        <v>38700</v>
      </c>
      <c r="AA61" s="375">
        <f t="shared" ref="AA61:AD63" si="18">AA60</f>
        <v>196750</v>
      </c>
      <c r="AB61" s="374">
        <f t="shared" si="18"/>
        <v>339250</v>
      </c>
      <c r="AC61" s="375">
        <f t="shared" si="18"/>
        <v>279000</v>
      </c>
      <c r="AD61" s="374">
        <f t="shared" si="18"/>
        <v>421500</v>
      </c>
      <c r="AE61" s="406">
        <f t="shared" si="17"/>
        <v>1.5E-3</v>
      </c>
      <c r="AF61" s="373">
        <f t="shared" si="17"/>
        <v>250</v>
      </c>
      <c r="AG61" s="375">
        <f t="shared" si="17"/>
        <v>250</v>
      </c>
      <c r="AH61" s="377">
        <f t="shared" si="17"/>
        <v>1</v>
      </c>
      <c r="AI61" s="396">
        <f t="shared" si="17"/>
        <v>65</v>
      </c>
      <c r="AJ61" s="397">
        <f t="shared" si="17"/>
        <v>65</v>
      </c>
    </row>
    <row r="62" spans="1:36" x14ac:dyDescent="0.25">
      <c r="A62" s="496">
        <v>41640</v>
      </c>
      <c r="B62" s="497">
        <v>41717</v>
      </c>
      <c r="C62" s="373">
        <f>C61</f>
        <v>751.7</v>
      </c>
      <c r="D62" s="375">
        <f>D61</f>
        <v>21.5</v>
      </c>
      <c r="E62" s="242">
        <f t="shared" si="16"/>
        <v>7.2000000000000028</v>
      </c>
      <c r="F62" s="242">
        <f>F61</f>
        <v>33</v>
      </c>
      <c r="G62" s="374">
        <f>G61</f>
        <v>61.7</v>
      </c>
      <c r="H62" s="373">
        <f>H61</f>
        <v>13.7</v>
      </c>
      <c r="I62" s="373">
        <f t="shared" si="0"/>
        <v>827.10000000000014</v>
      </c>
      <c r="J62" s="373">
        <f>J61</f>
        <v>566.6</v>
      </c>
      <c r="K62" s="375">
        <f>K61</f>
        <v>17.899999999999999</v>
      </c>
      <c r="L62" s="242">
        <f t="shared" si="13"/>
        <v>3.7000000000000028</v>
      </c>
      <c r="M62" s="242">
        <f>M61</f>
        <v>24.9</v>
      </c>
      <c r="N62" s="374">
        <f>N61</f>
        <v>46.5</v>
      </c>
      <c r="O62" s="373">
        <f>O61</f>
        <v>10.3</v>
      </c>
      <c r="P62" s="373">
        <f t="shared" si="1"/>
        <v>623.4</v>
      </c>
      <c r="Q62" s="375">
        <f>Q61</f>
        <v>156</v>
      </c>
      <c r="R62" s="374">
        <v>0</v>
      </c>
      <c r="S62" s="375">
        <f>S61</f>
        <v>138</v>
      </c>
      <c r="T62" s="374">
        <v>0</v>
      </c>
      <c r="U62" s="406">
        <v>0.5</v>
      </c>
      <c r="V62" s="403">
        <v>0.02</v>
      </c>
      <c r="W62" s="377">
        <v>3.5000000000000003E-2</v>
      </c>
      <c r="X62" s="375">
        <v>46600</v>
      </c>
      <c r="Y62" s="242">
        <v>77400</v>
      </c>
      <c r="Z62" s="374">
        <v>38700</v>
      </c>
      <c r="AA62" s="375">
        <f t="shared" si="18"/>
        <v>196750</v>
      </c>
      <c r="AB62" s="374">
        <f t="shared" si="18"/>
        <v>339250</v>
      </c>
      <c r="AC62" s="375">
        <f t="shared" si="18"/>
        <v>279000</v>
      </c>
      <c r="AD62" s="374">
        <f t="shared" si="18"/>
        <v>421500</v>
      </c>
      <c r="AE62" s="406">
        <f t="shared" si="17"/>
        <v>1.5E-3</v>
      </c>
      <c r="AF62" s="373">
        <f t="shared" si="17"/>
        <v>250</v>
      </c>
      <c r="AG62" s="375">
        <f t="shared" si="17"/>
        <v>250</v>
      </c>
      <c r="AH62" s="377">
        <f t="shared" si="17"/>
        <v>1</v>
      </c>
      <c r="AI62" s="396">
        <f t="shared" si="17"/>
        <v>65</v>
      </c>
      <c r="AJ62" s="397">
        <f t="shared" si="17"/>
        <v>65</v>
      </c>
    </row>
    <row r="63" spans="1:36" ht="15.75" thickBot="1" x14ac:dyDescent="0.3">
      <c r="A63" s="538">
        <v>41718</v>
      </c>
      <c r="B63" s="539">
        <v>41820</v>
      </c>
      <c r="C63" s="542">
        <f>MROUND(2*26*J63*0.6633,2.6)/26</f>
        <v>766</v>
      </c>
      <c r="D63" s="540">
        <f>IndexAmt(D62*26,"peCpiFp",A62,2.6,6)/26</f>
        <v>21.9</v>
      </c>
      <c r="E63" s="543">
        <f t="shared" si="16"/>
        <v>7.3000000000000043</v>
      </c>
      <c r="F63" s="543">
        <f>MROUND(0.6633/0.5*26*M63,2.6)/26</f>
        <v>33.700000000000003</v>
      </c>
      <c r="G63" s="541">
        <f>MROUND(0.6633*2*26*N63,2.6)/26</f>
        <v>62.900000000000006</v>
      </c>
      <c r="H63" s="542">
        <f>MROUND(0.6633*2*26*O63,2.6)/26</f>
        <v>13.900000000000002</v>
      </c>
      <c r="I63" s="542">
        <f t="shared" si="0"/>
        <v>842.8</v>
      </c>
      <c r="J63" s="542">
        <f>0.5*MAX(CEILING(0.4176*52*getEcoPar($B61,"peMTAWE"),5.2),IndexAmt(52*J62,"peCpiFp",$B61,5.2,6),IndexAmt(52*J62,"pePBLCI",$B61,5.2,6))/26</f>
        <v>577.4</v>
      </c>
      <c r="K63" s="540">
        <f>IndexAmt(26*K62,"peCpiFp",A62,2.6,6)/26</f>
        <v>18.2</v>
      </c>
      <c r="L63" s="543">
        <f t="shared" si="13"/>
        <v>3.8000000000000078</v>
      </c>
      <c r="M63" s="543">
        <f>0.5*IndexAmt(26*2*M62,"peCpiFp",B61,5.2,6)/26</f>
        <v>25.4</v>
      </c>
      <c r="N63" s="541">
        <f>0.5*IndexAmt(2*26*N62,"peCpiFp",$B61,5.2,6)/26</f>
        <v>47.400000000000006</v>
      </c>
      <c r="O63" s="542">
        <f>0.5*IndexAmt(2*26*O62,"peCpiFp",$B61,5.2,6)/26</f>
        <v>10.5</v>
      </c>
      <c r="P63" s="542">
        <f t="shared" si="1"/>
        <v>635.29999999999995</v>
      </c>
      <c r="Q63" s="540">
        <f>Q62</f>
        <v>156</v>
      </c>
      <c r="R63" s="541">
        <v>0</v>
      </c>
      <c r="S63" s="540">
        <f>S62</f>
        <v>138</v>
      </c>
      <c r="T63" s="541">
        <v>0</v>
      </c>
      <c r="U63" s="552">
        <v>0.5</v>
      </c>
      <c r="V63" s="544">
        <v>0.02</v>
      </c>
      <c r="W63" s="545">
        <v>3.5000000000000003E-2</v>
      </c>
      <c r="X63" s="540">
        <v>46600</v>
      </c>
      <c r="Y63" s="543">
        <v>77400</v>
      </c>
      <c r="Z63" s="541">
        <v>38700</v>
      </c>
      <c r="AA63" s="540">
        <f t="shared" si="18"/>
        <v>196750</v>
      </c>
      <c r="AB63" s="541">
        <f t="shared" si="18"/>
        <v>339250</v>
      </c>
      <c r="AC63" s="540">
        <f t="shared" si="18"/>
        <v>279000</v>
      </c>
      <c r="AD63" s="541">
        <f t="shared" si="18"/>
        <v>421500</v>
      </c>
      <c r="AE63" s="552">
        <f t="shared" si="17"/>
        <v>1.5E-3</v>
      </c>
      <c r="AF63" s="542">
        <f t="shared" si="17"/>
        <v>250</v>
      </c>
      <c r="AG63" s="540">
        <f t="shared" si="17"/>
        <v>250</v>
      </c>
      <c r="AH63" s="545">
        <f t="shared" si="17"/>
        <v>1</v>
      </c>
      <c r="AI63" s="548">
        <f t="shared" si="17"/>
        <v>65</v>
      </c>
      <c r="AJ63" s="549">
        <f t="shared" si="17"/>
        <v>65</v>
      </c>
    </row>
    <row r="64" spans="1:36" x14ac:dyDescent="0.25">
      <c r="A64" s="531">
        <v>41821</v>
      </c>
      <c r="B64" s="532">
        <v>41901</v>
      </c>
      <c r="C64" s="533">
        <f>C63</f>
        <v>766</v>
      </c>
      <c r="D64" s="534">
        <f>D63</f>
        <v>21.9</v>
      </c>
      <c r="E64" s="536">
        <f t="shared" si="16"/>
        <v>7.3000000000000043</v>
      </c>
      <c r="F64" s="536">
        <f>F63</f>
        <v>33.700000000000003</v>
      </c>
      <c r="G64" s="535">
        <f>G63</f>
        <v>62.900000000000006</v>
      </c>
      <c r="H64" s="533">
        <f>H63</f>
        <v>13.900000000000002</v>
      </c>
      <c r="I64" s="533">
        <f t="shared" si="0"/>
        <v>842.8</v>
      </c>
      <c r="J64" s="533">
        <f>J63</f>
        <v>577.4</v>
      </c>
      <c r="K64" s="534">
        <f>K63</f>
        <v>18.2</v>
      </c>
      <c r="L64" s="536">
        <f t="shared" si="13"/>
        <v>3.8000000000000078</v>
      </c>
      <c r="M64" s="536">
        <f>M63</f>
        <v>25.4</v>
      </c>
      <c r="N64" s="535">
        <f>N63</f>
        <v>47.400000000000006</v>
      </c>
      <c r="O64" s="533">
        <f>O63</f>
        <v>10.5</v>
      </c>
      <c r="P64" s="533">
        <f t="shared" si="1"/>
        <v>635.29999999999995</v>
      </c>
      <c r="Q64" s="534">
        <f>IndexAmt(Q63,"peCpiFp",B62,2,12)</f>
        <v>160</v>
      </c>
      <c r="R64" s="535">
        <v>0</v>
      </c>
      <c r="S64" s="534">
        <f>IndexAmt(S63,"peCpiFp",$B62,2,12)</f>
        <v>142</v>
      </c>
      <c r="T64" s="535">
        <v>0</v>
      </c>
      <c r="U64" s="556">
        <f>U63</f>
        <v>0.5</v>
      </c>
      <c r="V64" s="546">
        <v>0.02</v>
      </c>
      <c r="W64" s="547">
        <v>3.5000000000000003E-2</v>
      </c>
      <c r="X64" s="534">
        <v>48000</v>
      </c>
      <c r="Y64" s="536">
        <v>79600</v>
      </c>
      <c r="Z64" s="535">
        <v>39800</v>
      </c>
      <c r="AA64" s="534">
        <v>202000</v>
      </c>
      <c r="AB64" s="535">
        <v>348500</v>
      </c>
      <c r="AC64" s="534">
        <v>286500</v>
      </c>
      <c r="AD64" s="535">
        <v>433000</v>
      </c>
      <c r="AE64" s="556">
        <f t="shared" si="17"/>
        <v>1.5E-3</v>
      </c>
      <c r="AF64" s="533">
        <f t="shared" si="17"/>
        <v>250</v>
      </c>
      <c r="AG64" s="534">
        <f t="shared" si="17"/>
        <v>250</v>
      </c>
      <c r="AH64" s="547">
        <f t="shared" si="17"/>
        <v>1</v>
      </c>
      <c r="AI64" s="555">
        <f>AI63</f>
        <v>65</v>
      </c>
      <c r="AJ64" s="537">
        <f>AJ63</f>
        <v>65</v>
      </c>
    </row>
    <row r="65" spans="1:43" x14ac:dyDescent="0.25">
      <c r="A65" s="496">
        <v>41902</v>
      </c>
      <c r="B65" s="497">
        <v>42004</v>
      </c>
      <c r="C65" s="373">
        <f>MROUND(2*26*J65*0.6633,2.6)/26</f>
        <v>776.7</v>
      </c>
      <c r="D65" s="375">
        <f>IndexAmt(D64*26,"peCpiFp",A64,2.6,6)/26</f>
        <v>22.1</v>
      </c>
      <c r="E65" s="242">
        <f t="shared" si="16"/>
        <v>7.2999999999999972</v>
      </c>
      <c r="F65" s="242">
        <f>MROUND(0.6633/0.5*26*M65,2.6)/26</f>
        <v>34.1</v>
      </c>
      <c r="G65" s="374">
        <f>MROUND(0.6633*2*26*N65,2.6)/26</f>
        <v>63.5</v>
      </c>
      <c r="H65" s="373">
        <v>14.1</v>
      </c>
      <c r="I65" s="373">
        <f t="shared" si="0"/>
        <v>854.30000000000007</v>
      </c>
      <c r="J65" s="373">
        <f>0.5*MAX(CEILING(0.4176*52*getEcoPar($B63,"peMTAWE"),5.2),IndexAmt(52*J64,"peCpiFp",$B63,5.2,6),IndexAmt(52*J64,"pePBLCI",$B63,5.2,6))/26</f>
        <v>585.5</v>
      </c>
      <c r="K65" s="375">
        <f>IndexAmt(26*K64,"peCpiFp",A64,2.6,6)/26</f>
        <v>18.400000000000002</v>
      </c>
      <c r="L65" s="242">
        <f t="shared" si="13"/>
        <v>3.8000000000000007</v>
      </c>
      <c r="M65" s="242">
        <f>0.5*IndexAmt(26*2*M64,"peCpiFp",B63,5.2,6)/26</f>
        <v>25.700000000000003</v>
      </c>
      <c r="N65" s="374">
        <f>0.5*IndexAmt(2*26*N64,"peCpiFp",$B63,5.2,6)/26</f>
        <v>47.900000000000006</v>
      </c>
      <c r="O65" s="373">
        <v>10.6</v>
      </c>
      <c r="P65" s="373">
        <f t="shared" si="1"/>
        <v>644</v>
      </c>
      <c r="Q65" s="375">
        <f>Q64</f>
        <v>160</v>
      </c>
      <c r="R65" s="374">
        <v>0</v>
      </c>
      <c r="S65" s="375">
        <f>S64</f>
        <v>142</v>
      </c>
      <c r="T65" s="374">
        <v>0</v>
      </c>
      <c r="U65" s="406">
        <f t="shared" ref="U65:Y80" si="19">U64</f>
        <v>0.5</v>
      </c>
      <c r="V65" s="403">
        <f t="shared" si="19"/>
        <v>0.02</v>
      </c>
      <c r="W65" s="377">
        <f t="shared" si="19"/>
        <v>3.5000000000000003E-2</v>
      </c>
      <c r="X65" s="375">
        <f t="shared" si="19"/>
        <v>48000</v>
      </c>
      <c r="Y65" s="242">
        <f t="shared" si="19"/>
        <v>79600</v>
      </c>
      <c r="Z65" s="374">
        <f t="shared" si="4"/>
        <v>39800</v>
      </c>
      <c r="AA65" s="375">
        <f t="shared" ref="AA65:AD67" si="20">AA64</f>
        <v>202000</v>
      </c>
      <c r="AB65" s="374">
        <f t="shared" si="20"/>
        <v>348500</v>
      </c>
      <c r="AC65" s="375">
        <f t="shared" si="20"/>
        <v>286500</v>
      </c>
      <c r="AD65" s="374">
        <f t="shared" si="20"/>
        <v>433000</v>
      </c>
      <c r="AE65" s="406">
        <f t="shared" si="17"/>
        <v>1.5E-3</v>
      </c>
      <c r="AF65" s="373">
        <f t="shared" si="17"/>
        <v>250</v>
      </c>
      <c r="AG65" s="375">
        <f t="shared" si="17"/>
        <v>250</v>
      </c>
      <c r="AH65" s="377">
        <f t="shared" si="17"/>
        <v>1</v>
      </c>
      <c r="AI65" s="396">
        <f t="shared" si="17"/>
        <v>65</v>
      </c>
      <c r="AJ65" s="397">
        <f t="shared" si="17"/>
        <v>65</v>
      </c>
    </row>
    <row r="66" spans="1:43" x14ac:dyDescent="0.25">
      <c r="A66" s="496">
        <v>42005</v>
      </c>
      <c r="B66" s="497">
        <v>42082</v>
      </c>
      <c r="C66" s="373">
        <f>C65</f>
        <v>776.7</v>
      </c>
      <c r="D66" s="375">
        <f>D65</f>
        <v>22.1</v>
      </c>
      <c r="E66" s="242">
        <f t="shared" si="16"/>
        <v>7.2999999999999972</v>
      </c>
      <c r="F66" s="242">
        <f>F65</f>
        <v>34.1</v>
      </c>
      <c r="G66" s="374">
        <f>G65</f>
        <v>63.5</v>
      </c>
      <c r="H66" s="373">
        <f>H65</f>
        <v>14.1</v>
      </c>
      <c r="I66" s="373">
        <f t="shared" si="0"/>
        <v>854.30000000000007</v>
      </c>
      <c r="J66" s="373">
        <f>J65</f>
        <v>585.5</v>
      </c>
      <c r="K66" s="375">
        <f>K65</f>
        <v>18.400000000000002</v>
      </c>
      <c r="L66" s="242">
        <f t="shared" si="13"/>
        <v>3.8000000000000007</v>
      </c>
      <c r="M66" s="242">
        <f>M65</f>
        <v>25.700000000000003</v>
      </c>
      <c r="N66" s="374">
        <f>N65</f>
        <v>47.900000000000006</v>
      </c>
      <c r="O66" s="373">
        <f>O65</f>
        <v>10.6</v>
      </c>
      <c r="P66" s="373">
        <f t="shared" si="1"/>
        <v>644</v>
      </c>
      <c r="Q66" s="375">
        <f>Q65</f>
        <v>160</v>
      </c>
      <c r="R66" s="374">
        <v>0</v>
      </c>
      <c r="S66" s="375">
        <f>S65</f>
        <v>142</v>
      </c>
      <c r="T66" s="374">
        <v>0</v>
      </c>
      <c r="U66" s="406">
        <f t="shared" si="19"/>
        <v>0.5</v>
      </c>
      <c r="V66" s="403">
        <f t="shared" si="19"/>
        <v>0.02</v>
      </c>
      <c r="W66" s="377">
        <f t="shared" si="19"/>
        <v>3.5000000000000003E-2</v>
      </c>
      <c r="X66" s="375">
        <f t="shared" si="19"/>
        <v>48000</v>
      </c>
      <c r="Y66" s="242">
        <f t="shared" si="19"/>
        <v>79600</v>
      </c>
      <c r="Z66" s="374">
        <f t="shared" si="4"/>
        <v>39800</v>
      </c>
      <c r="AA66" s="375">
        <f t="shared" si="20"/>
        <v>202000</v>
      </c>
      <c r="AB66" s="374">
        <f t="shared" si="20"/>
        <v>348500</v>
      </c>
      <c r="AC66" s="375">
        <f t="shared" si="20"/>
        <v>286500</v>
      </c>
      <c r="AD66" s="374">
        <f t="shared" si="20"/>
        <v>433000</v>
      </c>
      <c r="AE66" s="406">
        <f t="shared" si="17"/>
        <v>1.5E-3</v>
      </c>
      <c r="AF66" s="373">
        <f t="shared" si="17"/>
        <v>250</v>
      </c>
      <c r="AG66" s="375">
        <f t="shared" si="17"/>
        <v>250</v>
      </c>
      <c r="AH66" s="377">
        <f t="shared" si="17"/>
        <v>1</v>
      </c>
      <c r="AI66" s="396">
        <f t="shared" si="17"/>
        <v>65</v>
      </c>
      <c r="AJ66" s="397">
        <f t="shared" si="17"/>
        <v>65</v>
      </c>
      <c r="AK66" s="697"/>
    </row>
    <row r="67" spans="1:43" ht="15.75" thickBot="1" x14ac:dyDescent="0.3">
      <c r="A67" s="538">
        <v>42083</v>
      </c>
      <c r="B67" s="539">
        <v>42185</v>
      </c>
      <c r="C67" s="542">
        <f>MROUND(2*26*J67*0.6633,2.6)/26</f>
        <v>782.2</v>
      </c>
      <c r="D67" s="540">
        <f>IndexAmt(D66*26,"peCpiFp",A66,2.6,6)/26</f>
        <v>22.300000000000004</v>
      </c>
      <c r="E67" s="543">
        <f t="shared" si="16"/>
        <v>7.2000000000000028</v>
      </c>
      <c r="F67" s="543">
        <f>MROUND(0.6633/0.5*26*M67,2.6)/26</f>
        <v>34.4</v>
      </c>
      <c r="G67" s="541">
        <f>MROUND(0.6633*2*26*N67,2.6)/26</f>
        <v>63.900000000000006</v>
      </c>
      <c r="H67" s="542">
        <f t="shared" ref="H67:H91" si="21">H66</f>
        <v>14.1</v>
      </c>
      <c r="I67" s="542">
        <f t="shared" si="0"/>
        <v>860.2</v>
      </c>
      <c r="J67" s="542">
        <f>0.5*MAX(CEILING(0.4176*52*getEcoPar($B65,"peMTAWE"),5.2),IndexAmt(52*J66,"peCpiFp",$B65,5.2,6),IndexAmt(52*J66,"pePBLCI",$B65,5.2,6))/26</f>
        <v>589.6</v>
      </c>
      <c r="K67" s="540">
        <f>IndexAmt(26*K66,"peCpiFp",A66,2.6,6)/26</f>
        <v>18.5</v>
      </c>
      <c r="L67" s="543">
        <f t="shared" si="13"/>
        <v>3.8000000000000043</v>
      </c>
      <c r="M67" s="543">
        <f>0.5*IndexAmt(26*2*M66,"peCpiFp",B65,5.2,6)/26</f>
        <v>25.9</v>
      </c>
      <c r="N67" s="541">
        <f>0.5*IndexAmt(2*26*N66,"peCpiFp",$B65,5.2,6)/26</f>
        <v>48.2</v>
      </c>
      <c r="O67" s="542">
        <f>O66</f>
        <v>10.6</v>
      </c>
      <c r="P67" s="542">
        <f t="shared" si="1"/>
        <v>648.40000000000009</v>
      </c>
      <c r="Q67" s="540">
        <f>Q66</f>
        <v>160</v>
      </c>
      <c r="R67" s="541">
        <v>0</v>
      </c>
      <c r="S67" s="540">
        <f>S66</f>
        <v>142</v>
      </c>
      <c r="T67" s="541">
        <v>0</v>
      </c>
      <c r="U67" s="552">
        <f t="shared" si="19"/>
        <v>0.5</v>
      </c>
      <c r="V67" s="544">
        <v>1.7500000000000002E-2</v>
      </c>
      <c r="W67" s="545">
        <v>3.2500000000000001E-2</v>
      </c>
      <c r="X67" s="540">
        <f t="shared" si="19"/>
        <v>48000</v>
      </c>
      <c r="Y67" s="543">
        <f t="shared" si="19"/>
        <v>79600</v>
      </c>
      <c r="Z67" s="541">
        <f t="shared" si="4"/>
        <v>39800</v>
      </c>
      <c r="AA67" s="540">
        <f t="shared" si="20"/>
        <v>202000</v>
      </c>
      <c r="AB67" s="541">
        <f t="shared" si="20"/>
        <v>348500</v>
      </c>
      <c r="AC67" s="540">
        <f t="shared" si="20"/>
        <v>286500</v>
      </c>
      <c r="AD67" s="541">
        <f t="shared" si="20"/>
        <v>433000</v>
      </c>
      <c r="AE67" s="552">
        <f t="shared" si="17"/>
        <v>1.5E-3</v>
      </c>
      <c r="AF67" s="542">
        <f t="shared" si="17"/>
        <v>250</v>
      </c>
      <c r="AG67" s="540">
        <f t="shared" si="17"/>
        <v>250</v>
      </c>
      <c r="AH67" s="545">
        <f t="shared" si="17"/>
        <v>1</v>
      </c>
      <c r="AI67" s="548">
        <f t="shared" si="17"/>
        <v>65</v>
      </c>
      <c r="AJ67" s="549">
        <f t="shared" si="17"/>
        <v>65</v>
      </c>
      <c r="AK67" s="697"/>
    </row>
    <row r="68" spans="1:43" x14ac:dyDescent="0.25">
      <c r="A68" s="531">
        <v>42186</v>
      </c>
      <c r="B68" s="532">
        <v>42266</v>
      </c>
      <c r="C68" s="533">
        <f>C67</f>
        <v>782.2</v>
      </c>
      <c r="D68" s="534">
        <f>D67</f>
        <v>22.300000000000004</v>
      </c>
      <c r="E68" s="536">
        <f t="shared" si="16"/>
        <v>7.2000000000000028</v>
      </c>
      <c r="F68" s="536">
        <f>F67</f>
        <v>34.4</v>
      </c>
      <c r="G68" s="535">
        <f>G67</f>
        <v>63.900000000000006</v>
      </c>
      <c r="H68" s="533">
        <f t="shared" si="21"/>
        <v>14.1</v>
      </c>
      <c r="I68" s="533">
        <f t="shared" si="0"/>
        <v>860.2</v>
      </c>
      <c r="J68" s="533">
        <f>J67</f>
        <v>589.6</v>
      </c>
      <c r="K68" s="534">
        <f>K67</f>
        <v>18.5</v>
      </c>
      <c r="L68" s="536">
        <f t="shared" si="13"/>
        <v>3.8000000000000043</v>
      </c>
      <c r="M68" s="536">
        <f>M67</f>
        <v>25.9</v>
      </c>
      <c r="N68" s="535">
        <f>N67</f>
        <v>48.2</v>
      </c>
      <c r="O68" s="533">
        <f>O67</f>
        <v>10.6</v>
      </c>
      <c r="P68" s="533">
        <f t="shared" si="1"/>
        <v>648.40000000000009</v>
      </c>
      <c r="Q68" s="534">
        <f>IndexAmt(Q67,"peCpiFp",B66,2,12)</f>
        <v>162</v>
      </c>
      <c r="R68" s="535">
        <v>0</v>
      </c>
      <c r="S68" s="534">
        <f>IndexAmt(S67,"peCpiFp",$B66,2,12)</f>
        <v>144</v>
      </c>
      <c r="T68" s="535">
        <v>0</v>
      </c>
      <c r="U68" s="556">
        <f t="shared" si="19"/>
        <v>0.5</v>
      </c>
      <c r="V68" s="546">
        <f t="shared" si="19"/>
        <v>1.7500000000000002E-2</v>
      </c>
      <c r="W68" s="547">
        <f t="shared" si="19"/>
        <v>3.2500000000000001E-2</v>
      </c>
      <c r="X68" s="534">
        <v>48600</v>
      </c>
      <c r="Y68" s="536">
        <v>80600</v>
      </c>
      <c r="Z68" s="535">
        <v>40300</v>
      </c>
      <c r="AA68" s="534">
        <v>205500</v>
      </c>
      <c r="AB68" s="535">
        <v>354500</v>
      </c>
      <c r="AC68" s="534">
        <v>291500</v>
      </c>
      <c r="AD68" s="535">
        <v>440500</v>
      </c>
      <c r="AE68" s="556">
        <f t="shared" si="17"/>
        <v>1.5E-3</v>
      </c>
      <c r="AF68" s="533">
        <f t="shared" si="17"/>
        <v>250</v>
      </c>
      <c r="AG68" s="534">
        <f t="shared" si="17"/>
        <v>250</v>
      </c>
      <c r="AH68" s="547">
        <f t="shared" si="17"/>
        <v>1</v>
      </c>
      <c r="AI68" s="555">
        <f>AI67</f>
        <v>65</v>
      </c>
      <c r="AJ68" s="537">
        <f>AJ67</f>
        <v>65</v>
      </c>
      <c r="AK68" s="697"/>
    </row>
    <row r="69" spans="1:43" x14ac:dyDescent="0.25">
      <c r="A69" s="496">
        <v>42267</v>
      </c>
      <c r="B69" s="497">
        <v>42369</v>
      </c>
      <c r="C69" s="373">
        <f>MROUND(2*26*J69*0.6633,2.6)/26</f>
        <v>788.40000000000009</v>
      </c>
      <c r="D69" s="375">
        <f>IndexAmt(D68*26,"peCpiFp",A68,2.6,6)/26</f>
        <v>22.5</v>
      </c>
      <c r="E69" s="242">
        <f t="shared" si="16"/>
        <v>7.3999999999999986</v>
      </c>
      <c r="F69" s="242">
        <f>MROUND(0.6633/0.5*26*M69,2.6)/26</f>
        <v>34.6</v>
      </c>
      <c r="G69" s="374">
        <f>MROUND(0.6633*2*26*N69,2.6)/26</f>
        <v>64.5</v>
      </c>
      <c r="H69" s="373">
        <f t="shared" si="21"/>
        <v>14.1</v>
      </c>
      <c r="I69" s="373">
        <f t="shared" si="0"/>
        <v>867.00000000000011</v>
      </c>
      <c r="J69" s="373">
        <f>0.5*MAX(CEILING(0.4176*52*getEcoPar($B67,"peMTAWE"),5.2),IndexAmt(52*J68,"peCpiFp",$B67,5.2,6),IndexAmt(52*J68,"pePBLCI",$B67,5.2,6))/26</f>
        <v>594.30000000000007</v>
      </c>
      <c r="K69" s="375">
        <f>IndexAmt(26*K68,"peCpiFp",A68,2.6,6)/26</f>
        <v>18.600000000000001</v>
      </c>
      <c r="L69" s="242">
        <f t="shared" si="13"/>
        <v>3.9000000000000057</v>
      </c>
      <c r="M69" s="242">
        <f>0.5*IndexAmt(26*2*M68,"peCpiFp",B67,5.2,6)/26</f>
        <v>26.1</v>
      </c>
      <c r="N69" s="374">
        <f>0.5*IndexAmt(2*26*N68,"peCpiFp",$B67,5.2,6)/26</f>
        <v>48.600000000000009</v>
      </c>
      <c r="O69" s="373">
        <f>O68</f>
        <v>10.6</v>
      </c>
      <c r="P69" s="373">
        <f t="shared" si="1"/>
        <v>653.50000000000011</v>
      </c>
      <c r="Q69" s="375">
        <f>Q68</f>
        <v>162</v>
      </c>
      <c r="R69" s="374">
        <v>0</v>
      </c>
      <c r="S69" s="375">
        <f>S68</f>
        <v>144</v>
      </c>
      <c r="T69" s="374">
        <v>0</v>
      </c>
      <c r="U69" s="406">
        <f t="shared" si="19"/>
        <v>0.5</v>
      </c>
      <c r="V69" s="403">
        <f t="shared" si="19"/>
        <v>1.7500000000000002E-2</v>
      </c>
      <c r="W69" s="377">
        <f t="shared" si="19"/>
        <v>3.2500000000000001E-2</v>
      </c>
      <c r="X69" s="375">
        <f t="shared" si="19"/>
        <v>48600</v>
      </c>
      <c r="Y69" s="242">
        <f t="shared" si="19"/>
        <v>80600</v>
      </c>
      <c r="Z69" s="374">
        <f>Z68</f>
        <v>40300</v>
      </c>
      <c r="AA69" s="375">
        <f t="shared" ref="AA69:AJ84" si="22">AA68</f>
        <v>205500</v>
      </c>
      <c r="AB69" s="374">
        <f t="shared" si="22"/>
        <v>354500</v>
      </c>
      <c r="AC69" s="375">
        <f t="shared" si="22"/>
        <v>291500</v>
      </c>
      <c r="AD69" s="374">
        <f t="shared" si="22"/>
        <v>440500</v>
      </c>
      <c r="AE69" s="406">
        <f t="shared" si="17"/>
        <v>1.5E-3</v>
      </c>
      <c r="AF69" s="373">
        <f t="shared" si="17"/>
        <v>250</v>
      </c>
      <c r="AG69" s="375">
        <f t="shared" si="17"/>
        <v>250</v>
      </c>
      <c r="AH69" s="377">
        <f t="shared" si="17"/>
        <v>1</v>
      </c>
      <c r="AI69" s="944">
        <f t="shared" si="17"/>
        <v>65</v>
      </c>
      <c r="AJ69" s="397">
        <f t="shared" si="17"/>
        <v>65</v>
      </c>
      <c r="AK69" s="697"/>
    </row>
    <row r="70" spans="1:43" x14ac:dyDescent="0.25">
      <c r="A70" s="496">
        <v>42370</v>
      </c>
      <c r="B70" s="497">
        <v>42448</v>
      </c>
      <c r="C70" s="373">
        <f>MROUND(2*26*J70*0.6633,2.6)/26</f>
        <v>788.40000000000009</v>
      </c>
      <c r="D70" s="375">
        <f>D69</f>
        <v>22.5</v>
      </c>
      <c r="E70" s="242">
        <f t="shared" si="16"/>
        <v>7.3999999999999986</v>
      </c>
      <c r="F70" s="242">
        <f>F69</f>
        <v>34.6</v>
      </c>
      <c r="G70" s="374">
        <f>G69</f>
        <v>64.5</v>
      </c>
      <c r="H70" s="373">
        <f t="shared" si="21"/>
        <v>14.1</v>
      </c>
      <c r="I70" s="373">
        <f t="shared" si="0"/>
        <v>867.00000000000011</v>
      </c>
      <c r="J70" s="373">
        <f>J69</f>
        <v>594.30000000000007</v>
      </c>
      <c r="K70" s="375">
        <f>K69</f>
        <v>18.600000000000001</v>
      </c>
      <c r="L70" s="242">
        <f t="shared" si="13"/>
        <v>3.9000000000000057</v>
      </c>
      <c r="M70" s="242">
        <f>M69</f>
        <v>26.1</v>
      </c>
      <c r="N70" s="374">
        <f>N69</f>
        <v>48.600000000000009</v>
      </c>
      <c r="O70" s="373">
        <f>O69</f>
        <v>10.6</v>
      </c>
      <c r="P70" s="373">
        <f t="shared" si="1"/>
        <v>653.50000000000011</v>
      </c>
      <c r="Q70" s="375">
        <f>Q69</f>
        <v>162</v>
      </c>
      <c r="R70" s="374">
        <v>0</v>
      </c>
      <c r="S70" s="375">
        <f>S69</f>
        <v>144</v>
      </c>
      <c r="T70" s="374">
        <v>0</v>
      </c>
      <c r="U70" s="406">
        <f t="shared" si="19"/>
        <v>0.5</v>
      </c>
      <c r="V70" s="403">
        <f t="shared" si="19"/>
        <v>1.7500000000000002E-2</v>
      </c>
      <c r="W70" s="377">
        <f t="shared" si="19"/>
        <v>3.2500000000000001E-2</v>
      </c>
      <c r="X70" s="375">
        <f t="shared" si="19"/>
        <v>48600</v>
      </c>
      <c r="Y70" s="242">
        <f t="shared" si="19"/>
        <v>80600</v>
      </c>
      <c r="Z70" s="374">
        <f t="shared" si="4"/>
        <v>40300</v>
      </c>
      <c r="AA70" s="375">
        <f t="shared" si="22"/>
        <v>205500</v>
      </c>
      <c r="AB70" s="374">
        <f t="shared" si="22"/>
        <v>354500</v>
      </c>
      <c r="AC70" s="375">
        <f t="shared" si="22"/>
        <v>291500</v>
      </c>
      <c r="AD70" s="374">
        <f t="shared" si="22"/>
        <v>440500</v>
      </c>
      <c r="AE70" s="406">
        <f t="shared" si="17"/>
        <v>1.5E-3</v>
      </c>
      <c r="AF70" s="373">
        <f t="shared" si="17"/>
        <v>250</v>
      </c>
      <c r="AG70" s="375">
        <f t="shared" si="17"/>
        <v>250</v>
      </c>
      <c r="AH70" s="377">
        <f t="shared" si="17"/>
        <v>1</v>
      </c>
      <c r="AI70" s="944">
        <f t="shared" si="17"/>
        <v>65</v>
      </c>
      <c r="AJ70" s="397">
        <f t="shared" si="17"/>
        <v>65</v>
      </c>
      <c r="AK70" s="697"/>
    </row>
    <row r="71" spans="1:43" ht="15.75" thickBot="1" x14ac:dyDescent="0.3">
      <c r="A71" s="538">
        <v>42449</v>
      </c>
      <c r="B71" s="539">
        <v>42551</v>
      </c>
      <c r="C71" s="542">
        <v>794.8</v>
      </c>
      <c r="D71" s="540">
        <f>IndexAmt(D70*26,"peCpiFp",A70,2.6,6)/26</f>
        <v>22.700000000000003</v>
      </c>
      <c r="E71" s="543">
        <f>G71-D71-F71</f>
        <v>7.3999999999999986</v>
      </c>
      <c r="F71" s="543">
        <f>MROUND(0.6633/0.5*26*M71,2.6)/26</f>
        <v>34.9</v>
      </c>
      <c r="G71" s="541">
        <v>65</v>
      </c>
      <c r="H71" s="542">
        <v>14.1</v>
      </c>
      <c r="I71" s="542">
        <f>SUM(C71,G71,H71)</f>
        <v>873.9</v>
      </c>
      <c r="J71" s="542">
        <v>599.1</v>
      </c>
      <c r="K71" s="540">
        <f>IndexAmt(26*K70,"peCpiFp",A70,2.6,6)/26</f>
        <v>18.7</v>
      </c>
      <c r="L71" s="543">
        <f t="shared" si="13"/>
        <v>3.9999999999999964</v>
      </c>
      <c r="M71" s="543">
        <f>0.5*IndexAmt(26*2*M70,"peCpiFp",B69,5.2,6)/26</f>
        <v>26.300000000000004</v>
      </c>
      <c r="N71" s="541">
        <v>49</v>
      </c>
      <c r="O71" s="542">
        <v>10.6</v>
      </c>
      <c r="P71" s="542">
        <f t="shared" si="1"/>
        <v>658.7</v>
      </c>
      <c r="Q71" s="540">
        <v>162</v>
      </c>
      <c r="R71" s="541">
        <v>0</v>
      </c>
      <c r="S71" s="540">
        <v>144</v>
      </c>
      <c r="T71" s="541">
        <v>0</v>
      </c>
      <c r="U71" s="552">
        <f t="shared" si="19"/>
        <v>0.5</v>
      </c>
      <c r="V71" s="544">
        <v>1.7500000000000002E-2</v>
      </c>
      <c r="W71" s="545">
        <v>3.2500000000000001E-2</v>
      </c>
      <c r="X71" s="540">
        <f t="shared" si="19"/>
        <v>48600</v>
      </c>
      <c r="Y71" s="543">
        <f t="shared" si="19"/>
        <v>80600</v>
      </c>
      <c r="Z71" s="541">
        <f>Y71/2</f>
        <v>40300</v>
      </c>
      <c r="AA71" s="540">
        <f t="shared" si="22"/>
        <v>205500</v>
      </c>
      <c r="AB71" s="541">
        <f t="shared" si="22"/>
        <v>354500</v>
      </c>
      <c r="AC71" s="540">
        <f t="shared" si="22"/>
        <v>291500</v>
      </c>
      <c r="AD71" s="541">
        <f t="shared" si="22"/>
        <v>440500</v>
      </c>
      <c r="AE71" s="552">
        <f t="shared" si="22"/>
        <v>1.5E-3</v>
      </c>
      <c r="AF71" s="542">
        <f t="shared" si="22"/>
        <v>250</v>
      </c>
      <c r="AG71" s="540">
        <f t="shared" si="22"/>
        <v>250</v>
      </c>
      <c r="AH71" s="545">
        <f t="shared" si="22"/>
        <v>1</v>
      </c>
      <c r="AI71" s="548">
        <f t="shared" si="22"/>
        <v>65</v>
      </c>
      <c r="AJ71" s="549">
        <f t="shared" si="22"/>
        <v>65</v>
      </c>
    </row>
    <row r="72" spans="1:43" s="5" customFormat="1" x14ac:dyDescent="0.25">
      <c r="A72" s="531">
        <v>42552</v>
      </c>
      <c r="B72" s="532">
        <v>42632</v>
      </c>
      <c r="C72" s="533">
        <f t="shared" ref="C72:C91" si="23">MROUND(2*26*J72*0.6633,2.6)/26</f>
        <v>794.8</v>
      </c>
      <c r="D72" s="534">
        <f>D71</f>
        <v>22.700000000000003</v>
      </c>
      <c r="E72" s="536">
        <f t="shared" si="16"/>
        <v>7.3999999999999986</v>
      </c>
      <c r="F72" s="536">
        <f>F71</f>
        <v>34.9</v>
      </c>
      <c r="G72" s="535">
        <f>G71</f>
        <v>65</v>
      </c>
      <c r="H72" s="533">
        <f t="shared" si="21"/>
        <v>14.1</v>
      </c>
      <c r="I72" s="533">
        <f t="shared" ref="I72:I91" si="24">SUM(C72,G72,H72)</f>
        <v>873.9</v>
      </c>
      <c r="J72" s="533">
        <f>J71</f>
        <v>599.1</v>
      </c>
      <c r="K72" s="534">
        <f>K71</f>
        <v>18.7</v>
      </c>
      <c r="L72" s="536">
        <f t="shared" si="13"/>
        <v>3.9999999999999964</v>
      </c>
      <c r="M72" s="536">
        <f>M71</f>
        <v>26.300000000000004</v>
      </c>
      <c r="N72" s="535">
        <f>N71</f>
        <v>49</v>
      </c>
      <c r="O72" s="533">
        <f t="shared" ref="O72:O91" si="25">O71</f>
        <v>10.6</v>
      </c>
      <c r="P72" s="533">
        <f t="shared" ref="P72:P91" si="26">SUM(J72,N72,O72)</f>
        <v>658.7</v>
      </c>
      <c r="Q72" s="534">
        <f>IndexAmt(Q71,"peCpiFp",B70,2,12)</f>
        <v>164</v>
      </c>
      <c r="R72" s="535">
        <v>0</v>
      </c>
      <c r="S72" s="534">
        <f>IndexAmt(S71,"peCpiFp",$B70,2,12)</f>
        <v>146</v>
      </c>
      <c r="T72" s="535">
        <v>0</v>
      </c>
      <c r="U72" s="556">
        <f t="shared" si="19"/>
        <v>0.5</v>
      </c>
      <c r="V72" s="546">
        <f t="shared" si="19"/>
        <v>1.7500000000000002E-2</v>
      </c>
      <c r="W72" s="547">
        <f t="shared" si="19"/>
        <v>3.2500000000000001E-2</v>
      </c>
      <c r="X72" s="534">
        <f>IndexAmt(X71,"peCpiFp",A71,200,12)</f>
        <v>49200</v>
      </c>
      <c r="Y72" s="536">
        <f>IndexAmt(Y71,"peCpiFp",A71,200,12)</f>
        <v>81600</v>
      </c>
      <c r="Z72" s="535">
        <f t="shared" si="4"/>
        <v>40800</v>
      </c>
      <c r="AA72" s="534">
        <f>IndexAmt(AA71,"peCpiFp",$B69,250,12)</f>
        <v>209000</v>
      </c>
      <c r="AB72" s="535">
        <f>AA72+(AD72-AC72)</f>
        <v>360500</v>
      </c>
      <c r="AC72" s="534">
        <f>2*IndexAmt(AC71/2,"peCpiFp",$B69,250,12)</f>
        <v>296500</v>
      </c>
      <c r="AD72" s="535">
        <f>2*IndexAmt(AD71/2,"peCpiFp",$B69,250,12)</f>
        <v>448000</v>
      </c>
      <c r="AE72" s="556">
        <f t="shared" si="22"/>
        <v>1.5E-3</v>
      </c>
      <c r="AF72" s="533">
        <f t="shared" si="22"/>
        <v>250</v>
      </c>
      <c r="AG72" s="534">
        <f t="shared" si="22"/>
        <v>250</v>
      </c>
      <c r="AH72" s="547">
        <f t="shared" si="22"/>
        <v>1</v>
      </c>
      <c r="AI72" s="555">
        <f>AI71</f>
        <v>65</v>
      </c>
      <c r="AJ72" s="537">
        <f>AJ71</f>
        <v>65</v>
      </c>
    </row>
    <row r="73" spans="1:43" s="999" customFormat="1" x14ac:dyDescent="0.25">
      <c r="A73" s="496">
        <v>42633</v>
      </c>
      <c r="B73" s="497">
        <v>42735</v>
      </c>
      <c r="C73" s="373">
        <f t="shared" si="23"/>
        <v>797.90000000000009</v>
      </c>
      <c r="D73" s="375">
        <f>IndexAmt(D72*26,"peCpiFp",A72,2.6,6)/26</f>
        <v>22.700000000000003</v>
      </c>
      <c r="E73" s="242">
        <f t="shared" si="16"/>
        <v>7.4000000000000057</v>
      </c>
      <c r="F73" s="242">
        <f>MROUND(0.6633/0.5*26*M73,2.6)/26</f>
        <v>35</v>
      </c>
      <c r="G73" s="374">
        <f>MROUND(0.6633*2*26*N73,2.6)/26</f>
        <v>65.100000000000009</v>
      </c>
      <c r="H73" s="373">
        <f t="shared" si="21"/>
        <v>14.1</v>
      </c>
      <c r="I73" s="373">
        <f t="shared" si="24"/>
        <v>877.10000000000014</v>
      </c>
      <c r="J73" s="373">
        <f>0.5*MAX(CEILING(0.4176*52*getEcoPar($B71,"peMTAWE"),5.2),IndexAmt(52*J72,"peCpiFp",$B71,5.2,6),IndexAmt(52*J72,"pePBLCI",$B71,5.2,6))/26</f>
        <v>601.5</v>
      </c>
      <c r="K73" s="375">
        <f>IndexAmt(26*K72,"peCpiFp",A72,2.6,6)/26</f>
        <v>18.7</v>
      </c>
      <c r="L73" s="242">
        <f t="shared" si="13"/>
        <v>4.0000000000000107</v>
      </c>
      <c r="M73" s="242">
        <f>0.5*IndexAmt(26*2*M72,"peCpiFp",B71,5.2,6)/26</f>
        <v>26.4</v>
      </c>
      <c r="N73" s="374">
        <f>0.5*IndexAmt(2*26*N72,"peCpiFp",$B71,5.2,6)/26</f>
        <v>49.100000000000009</v>
      </c>
      <c r="O73" s="373">
        <f t="shared" si="25"/>
        <v>10.6</v>
      </c>
      <c r="P73" s="373">
        <f t="shared" si="26"/>
        <v>661.2</v>
      </c>
      <c r="Q73" s="375">
        <f>Q72</f>
        <v>164</v>
      </c>
      <c r="R73" s="374">
        <v>0</v>
      </c>
      <c r="S73" s="375">
        <f>S72</f>
        <v>146</v>
      </c>
      <c r="T73" s="374">
        <v>0</v>
      </c>
      <c r="U73" s="406">
        <f t="shared" si="19"/>
        <v>0.5</v>
      </c>
      <c r="V73" s="403">
        <f t="shared" si="19"/>
        <v>1.7500000000000002E-2</v>
      </c>
      <c r="W73" s="377">
        <f t="shared" si="19"/>
        <v>3.2500000000000001E-2</v>
      </c>
      <c r="X73" s="375">
        <f t="shared" si="19"/>
        <v>49200</v>
      </c>
      <c r="Y73" s="242">
        <f t="shared" si="19"/>
        <v>81600</v>
      </c>
      <c r="Z73" s="374">
        <f t="shared" ref="Z73:Z91" si="27">Y73/2</f>
        <v>40800</v>
      </c>
      <c r="AA73" s="375">
        <f t="shared" ref="AA73:AD75" si="28">AA72</f>
        <v>209000</v>
      </c>
      <c r="AB73" s="374">
        <f t="shared" si="28"/>
        <v>360500</v>
      </c>
      <c r="AC73" s="375">
        <f t="shared" si="28"/>
        <v>296500</v>
      </c>
      <c r="AD73" s="374">
        <f t="shared" si="28"/>
        <v>448000</v>
      </c>
      <c r="AE73" s="406">
        <f t="shared" si="22"/>
        <v>1.5E-3</v>
      </c>
      <c r="AF73" s="373">
        <f t="shared" si="22"/>
        <v>250</v>
      </c>
      <c r="AG73" s="375">
        <f t="shared" si="22"/>
        <v>250</v>
      </c>
      <c r="AH73" s="377">
        <f t="shared" si="22"/>
        <v>1</v>
      </c>
      <c r="AI73" s="944">
        <f t="shared" si="22"/>
        <v>65</v>
      </c>
      <c r="AJ73" s="397">
        <f t="shared" si="22"/>
        <v>65</v>
      </c>
    </row>
    <row r="74" spans="1:43" x14ac:dyDescent="0.25">
      <c r="A74" s="496">
        <v>42736</v>
      </c>
      <c r="B74" s="497">
        <v>42813</v>
      </c>
      <c r="C74" s="373">
        <f t="shared" si="23"/>
        <v>797.90000000000009</v>
      </c>
      <c r="D74" s="375">
        <f>D73</f>
        <v>22.700000000000003</v>
      </c>
      <c r="E74" s="242">
        <f t="shared" si="16"/>
        <v>7.4000000000000057</v>
      </c>
      <c r="F74" s="242">
        <f>F73</f>
        <v>35</v>
      </c>
      <c r="G74" s="374">
        <f>G73</f>
        <v>65.100000000000009</v>
      </c>
      <c r="H74" s="373">
        <f>H73</f>
        <v>14.1</v>
      </c>
      <c r="I74" s="373">
        <f>SUM(C74,G74,H74)</f>
        <v>877.10000000000014</v>
      </c>
      <c r="J74" s="373">
        <f>J73</f>
        <v>601.5</v>
      </c>
      <c r="K74" s="375">
        <f>K73</f>
        <v>18.7</v>
      </c>
      <c r="L74" s="242">
        <f t="shared" si="13"/>
        <v>4.0000000000000107</v>
      </c>
      <c r="M74" s="242">
        <f>M73</f>
        <v>26.4</v>
      </c>
      <c r="N74" s="374">
        <f>N73</f>
        <v>49.100000000000009</v>
      </c>
      <c r="O74" s="373">
        <f t="shared" si="25"/>
        <v>10.6</v>
      </c>
      <c r="P74" s="373">
        <f t="shared" si="26"/>
        <v>661.2</v>
      </c>
      <c r="Q74" s="375">
        <f>Q73</f>
        <v>164</v>
      </c>
      <c r="R74" s="374">
        <v>0</v>
      </c>
      <c r="S74" s="375">
        <f>S73</f>
        <v>146</v>
      </c>
      <c r="T74" s="374">
        <v>0</v>
      </c>
      <c r="U74" s="406">
        <f t="shared" si="19"/>
        <v>0.5</v>
      </c>
      <c r="V74" s="403">
        <f t="shared" si="19"/>
        <v>1.7500000000000002E-2</v>
      </c>
      <c r="W74" s="377">
        <f t="shared" si="19"/>
        <v>3.2500000000000001E-2</v>
      </c>
      <c r="X74" s="375">
        <f t="shared" si="19"/>
        <v>49200</v>
      </c>
      <c r="Y74" s="242">
        <f t="shared" si="19"/>
        <v>81600</v>
      </c>
      <c r="Z74" s="374">
        <f t="shared" si="27"/>
        <v>40800</v>
      </c>
      <c r="AA74" s="375">
        <v>250000</v>
      </c>
      <c r="AB74" s="374">
        <v>450000</v>
      </c>
      <c r="AC74" s="375">
        <v>375000</v>
      </c>
      <c r="AD74" s="374">
        <v>575000</v>
      </c>
      <c r="AE74" s="406">
        <v>3.0000000000000001E-3</v>
      </c>
      <c r="AF74" s="373">
        <f t="shared" si="22"/>
        <v>250</v>
      </c>
      <c r="AG74" s="375">
        <f t="shared" si="22"/>
        <v>250</v>
      </c>
      <c r="AH74" s="377">
        <f t="shared" si="22"/>
        <v>1</v>
      </c>
      <c r="AI74" s="944">
        <f t="shared" si="22"/>
        <v>65</v>
      </c>
      <c r="AJ74" s="397">
        <f t="shared" si="22"/>
        <v>65</v>
      </c>
    </row>
    <row r="75" spans="1:43" ht="15.75" thickBot="1" x14ac:dyDescent="0.3">
      <c r="A75" s="538">
        <v>42814</v>
      </c>
      <c r="B75" s="539">
        <v>42916</v>
      </c>
      <c r="C75" s="542">
        <f t="shared" si="23"/>
        <v>808.3</v>
      </c>
      <c r="D75" s="540">
        <f>IndexAmt(D74*26,"peCpiFp",A74,2.6,6)/26</f>
        <v>23</v>
      </c>
      <c r="E75" s="543">
        <f t="shared" si="16"/>
        <v>7.5000000000000071</v>
      </c>
      <c r="F75" s="543">
        <f>MROUND(0.6633/0.5*26*M75,2.6)/26</f>
        <v>35.4</v>
      </c>
      <c r="G75" s="541">
        <f>MROUND(0.6633*2*26*N75,2.6)/26</f>
        <v>65.900000000000006</v>
      </c>
      <c r="H75" s="542">
        <f t="shared" si="21"/>
        <v>14.1</v>
      </c>
      <c r="I75" s="542">
        <f t="shared" si="24"/>
        <v>888.3</v>
      </c>
      <c r="J75" s="542">
        <f>0.5*MAX(CEILING(0.4176*52*getEcoPar($B73,"peMTAWE"),5.2),IndexAmt(52*J74,"peCpiFp",$B73,5.2,6),IndexAmt(52*J74,"pePBLCI",$B73,5.2,6))/26</f>
        <v>609.30000000000007</v>
      </c>
      <c r="K75" s="540">
        <f>IndexAmt(26*K74,"peCpiFp",A74,2.6,6)/26</f>
        <v>18.900000000000002</v>
      </c>
      <c r="L75" s="543">
        <f t="shared" si="13"/>
        <v>4.0999999999999979</v>
      </c>
      <c r="M75" s="543">
        <f>0.5*IndexAmt(26*2*M74,"peCpiFp",B73,5.2,6)/26</f>
        <v>26.700000000000003</v>
      </c>
      <c r="N75" s="541">
        <f>0.5*IndexAmt(2*26*N74,"peCpiFp",$B73,5.2,6)/26</f>
        <v>49.7</v>
      </c>
      <c r="O75" s="542">
        <f t="shared" si="25"/>
        <v>10.6</v>
      </c>
      <c r="P75" s="542">
        <f t="shared" si="26"/>
        <v>669.60000000000014</v>
      </c>
      <c r="Q75" s="540">
        <f>Q74</f>
        <v>164</v>
      </c>
      <c r="R75" s="541">
        <v>0</v>
      </c>
      <c r="S75" s="540">
        <f>S74</f>
        <v>146</v>
      </c>
      <c r="T75" s="541">
        <v>0</v>
      </c>
      <c r="U75" s="552">
        <f t="shared" si="19"/>
        <v>0.5</v>
      </c>
      <c r="V75" s="544">
        <f t="shared" si="19"/>
        <v>1.7500000000000002E-2</v>
      </c>
      <c r="W75" s="545">
        <f t="shared" si="19"/>
        <v>3.2500000000000001E-2</v>
      </c>
      <c r="X75" s="540">
        <f t="shared" si="19"/>
        <v>49200</v>
      </c>
      <c r="Y75" s="543">
        <f t="shared" si="19"/>
        <v>81600</v>
      </c>
      <c r="Z75" s="541">
        <f t="shared" si="27"/>
        <v>40800</v>
      </c>
      <c r="AA75" s="540">
        <f t="shared" si="28"/>
        <v>250000</v>
      </c>
      <c r="AB75" s="541">
        <f t="shared" si="28"/>
        <v>450000</v>
      </c>
      <c r="AC75" s="540">
        <f t="shared" si="28"/>
        <v>375000</v>
      </c>
      <c r="AD75" s="541">
        <f t="shared" si="28"/>
        <v>575000</v>
      </c>
      <c r="AE75" s="1075">
        <f t="shared" si="22"/>
        <v>3.0000000000000001E-3</v>
      </c>
      <c r="AF75" s="542">
        <f t="shared" si="22"/>
        <v>250</v>
      </c>
      <c r="AG75" s="540">
        <f t="shared" si="22"/>
        <v>250</v>
      </c>
      <c r="AH75" s="545">
        <f t="shared" si="22"/>
        <v>1</v>
      </c>
      <c r="AI75" s="548">
        <f t="shared" si="22"/>
        <v>65</v>
      </c>
      <c r="AJ75" s="549">
        <f t="shared" si="22"/>
        <v>65</v>
      </c>
    </row>
    <row r="76" spans="1:43" x14ac:dyDescent="0.25">
      <c r="A76" s="531">
        <v>42917</v>
      </c>
      <c r="B76" s="532">
        <v>42997</v>
      </c>
      <c r="C76" s="533">
        <f>MROUND(2*26*J76*0.6633,2.6)/26</f>
        <v>808.3</v>
      </c>
      <c r="D76" s="534">
        <f>D75</f>
        <v>23</v>
      </c>
      <c r="E76" s="536">
        <f t="shared" si="16"/>
        <v>7.5000000000000071</v>
      </c>
      <c r="F76" s="536">
        <f>F75</f>
        <v>35.4</v>
      </c>
      <c r="G76" s="535">
        <f>G75</f>
        <v>65.900000000000006</v>
      </c>
      <c r="H76" s="533">
        <f t="shared" si="21"/>
        <v>14.1</v>
      </c>
      <c r="I76" s="533">
        <f t="shared" si="24"/>
        <v>888.3</v>
      </c>
      <c r="J76" s="533">
        <f>J75</f>
        <v>609.30000000000007</v>
      </c>
      <c r="K76" s="534">
        <f>K75</f>
        <v>18.900000000000002</v>
      </c>
      <c r="L76" s="536">
        <f t="shared" si="13"/>
        <v>4.0999999999999979</v>
      </c>
      <c r="M76" s="536">
        <f>M75</f>
        <v>26.700000000000003</v>
      </c>
      <c r="N76" s="535">
        <f>N75</f>
        <v>49.7</v>
      </c>
      <c r="O76" s="533">
        <f t="shared" si="25"/>
        <v>10.6</v>
      </c>
      <c r="P76" s="533">
        <f t="shared" si="26"/>
        <v>669.60000000000014</v>
      </c>
      <c r="Q76" s="534">
        <f>IndexAmt(Q75,"peCpiFp",B74,2,12)</f>
        <v>168</v>
      </c>
      <c r="R76" s="535">
        <v>0</v>
      </c>
      <c r="S76" s="534">
        <f>IndexAmt(S75,"peCpiFp",$B74,2,12)</f>
        <v>150</v>
      </c>
      <c r="T76" s="535">
        <v>0</v>
      </c>
      <c r="U76" s="556">
        <f t="shared" si="19"/>
        <v>0.5</v>
      </c>
      <c r="V76" s="546">
        <f t="shared" si="19"/>
        <v>1.7500000000000002E-2</v>
      </c>
      <c r="W76" s="547">
        <f t="shared" si="19"/>
        <v>3.2500000000000001E-2</v>
      </c>
      <c r="X76" s="534">
        <f>IndexAmt(X75,"peCpiFp",A75,200,12)</f>
        <v>50200</v>
      </c>
      <c r="Y76" s="536">
        <f>IndexAmt(Y75,"peCpiFp",A75,200,12)</f>
        <v>83400</v>
      </c>
      <c r="Z76" s="535">
        <f t="shared" si="27"/>
        <v>41700</v>
      </c>
      <c r="AA76" s="534">
        <f>IndexAmt(AA75,"peCpiFp",$B73,250,12)</f>
        <v>253750</v>
      </c>
      <c r="AB76" s="535">
        <f>AA76+(AD76-AC76)</f>
        <v>456750</v>
      </c>
      <c r="AC76" s="534">
        <f>2*IndexAmt(AC75/2,"peCpiFp",$B73,250,12)</f>
        <v>380500</v>
      </c>
      <c r="AD76" s="535">
        <f>2*IndexAmt(AD75/2,"peCpiFp",$B73,250,12)</f>
        <v>583500</v>
      </c>
      <c r="AE76" s="1100">
        <f t="shared" si="22"/>
        <v>3.0000000000000001E-3</v>
      </c>
      <c r="AF76" s="533">
        <f t="shared" si="22"/>
        <v>250</v>
      </c>
      <c r="AG76" s="534">
        <f t="shared" si="22"/>
        <v>250</v>
      </c>
      <c r="AH76" s="547">
        <f t="shared" si="22"/>
        <v>1</v>
      </c>
      <c r="AI76" s="555">
        <v>65.5</v>
      </c>
      <c r="AJ76" s="537">
        <v>65.5</v>
      </c>
      <c r="AL76" s="834"/>
    </row>
    <row r="77" spans="1:43" x14ac:dyDescent="0.25">
      <c r="A77" s="165">
        <v>42998</v>
      </c>
      <c r="B77" s="166">
        <v>43100</v>
      </c>
      <c r="C77" s="107">
        <f t="shared" si="23"/>
        <v>814</v>
      </c>
      <c r="D77" s="33">
        <f>IndexAmt(D76*26,"peCpiFp",A76,2.6,6)/26</f>
        <v>23.1</v>
      </c>
      <c r="E77" s="34">
        <f t="shared" si="16"/>
        <v>7.4999999999999929</v>
      </c>
      <c r="F77" s="34">
        <f>MROUND(0.6633/0.5*26*M77,2.6)/26</f>
        <v>35.700000000000003</v>
      </c>
      <c r="G77" s="75">
        <f>MROUND(0.6633*2*26*N77,2.6)/26</f>
        <v>66.3</v>
      </c>
      <c r="H77" s="938">
        <f t="shared" si="21"/>
        <v>14.1</v>
      </c>
      <c r="I77" s="107">
        <f t="shared" si="24"/>
        <v>894.4</v>
      </c>
      <c r="J77" s="107">
        <f>0.5*MAX(CEILING(0.4176*52*getEcoPar($B75,"peMTAWE"),5.2),IndexAmt(52*J76,"peCpiFp",$B75,5.2,6),IndexAmt(52*J76,"pePBLCI",$B75,5.2,6))/26</f>
        <v>613.6</v>
      </c>
      <c r="K77" s="33">
        <f>IndexAmt(26*K76,"peCpiFp",A76,2.6,6)/26</f>
        <v>19</v>
      </c>
      <c r="L77" s="34">
        <f t="shared" si="13"/>
        <v>4.1000000000000014</v>
      </c>
      <c r="M77" s="34">
        <f>0.5*IndexAmt(26*2*M76,"peCpiFp",B75,5.2,6)/26</f>
        <v>26.9</v>
      </c>
      <c r="N77" s="75">
        <f>0.5*IndexAmt(2*26*N76,"peCpiFp",$B75,5.2,6)/26</f>
        <v>50</v>
      </c>
      <c r="O77" s="938">
        <f t="shared" si="25"/>
        <v>10.6</v>
      </c>
      <c r="P77" s="107">
        <f t="shared" si="26"/>
        <v>674.2</v>
      </c>
      <c r="Q77" s="33">
        <f>Q76</f>
        <v>168</v>
      </c>
      <c r="R77" s="75">
        <v>0</v>
      </c>
      <c r="S77" s="33">
        <f t="shared" ref="S77:S87" si="29">S76</f>
        <v>150</v>
      </c>
      <c r="T77" s="75">
        <v>0</v>
      </c>
      <c r="U77" s="31">
        <f t="shared" si="19"/>
        <v>0.5</v>
      </c>
      <c r="V77" s="106">
        <f t="shared" si="19"/>
        <v>1.7500000000000002E-2</v>
      </c>
      <c r="W77" s="104">
        <f t="shared" si="19"/>
        <v>3.2500000000000001E-2</v>
      </c>
      <c r="X77" s="33">
        <f t="shared" ref="X77:Y79" si="30">X76</f>
        <v>50200</v>
      </c>
      <c r="Y77" s="34">
        <f t="shared" si="30"/>
        <v>83400</v>
      </c>
      <c r="Z77" s="75">
        <f t="shared" si="27"/>
        <v>41700</v>
      </c>
      <c r="AA77" s="33">
        <f t="shared" ref="AA77:AD79" si="31">AA76</f>
        <v>253750</v>
      </c>
      <c r="AB77" s="75">
        <f t="shared" si="31"/>
        <v>456750</v>
      </c>
      <c r="AC77" s="33">
        <f t="shared" si="31"/>
        <v>380500</v>
      </c>
      <c r="AD77" s="75">
        <f t="shared" si="31"/>
        <v>583500</v>
      </c>
      <c r="AE77" s="983">
        <f t="shared" si="22"/>
        <v>3.0000000000000001E-3</v>
      </c>
      <c r="AF77" s="107">
        <f t="shared" si="22"/>
        <v>250</v>
      </c>
      <c r="AG77" s="33">
        <f t="shared" si="22"/>
        <v>250</v>
      </c>
      <c r="AH77" s="104">
        <f t="shared" si="22"/>
        <v>1</v>
      </c>
      <c r="AI77" s="30">
        <f t="shared" si="22"/>
        <v>65.5</v>
      </c>
      <c r="AJ77" s="15">
        <f t="shared" si="22"/>
        <v>65.5</v>
      </c>
      <c r="AL77" s="697"/>
      <c r="AM77" s="697"/>
      <c r="AN77" s="697"/>
      <c r="AP77" s="697"/>
      <c r="AQ77" s="697"/>
    </row>
    <row r="78" spans="1:43" x14ac:dyDescent="0.25">
      <c r="A78" s="165">
        <v>43101</v>
      </c>
      <c r="B78" s="166">
        <v>43178</v>
      </c>
      <c r="C78" s="107">
        <f t="shared" si="23"/>
        <v>814</v>
      </c>
      <c r="D78" s="33">
        <f>D77</f>
        <v>23.1</v>
      </c>
      <c r="E78" s="34">
        <f t="shared" si="16"/>
        <v>7.4999999999999929</v>
      </c>
      <c r="F78" s="34">
        <f>F77</f>
        <v>35.700000000000003</v>
      </c>
      <c r="G78" s="75">
        <f>G77</f>
        <v>66.3</v>
      </c>
      <c r="H78" s="107">
        <f t="shared" si="21"/>
        <v>14.1</v>
      </c>
      <c r="I78" s="107">
        <f t="shared" si="24"/>
        <v>894.4</v>
      </c>
      <c r="J78" s="107">
        <f>J77</f>
        <v>613.6</v>
      </c>
      <c r="K78" s="33">
        <f>K77</f>
        <v>19</v>
      </c>
      <c r="L78" s="34">
        <f t="shared" si="13"/>
        <v>4.1000000000000014</v>
      </c>
      <c r="M78" s="34">
        <f>M77</f>
        <v>26.9</v>
      </c>
      <c r="N78" s="75">
        <f>N77</f>
        <v>50</v>
      </c>
      <c r="O78" s="107">
        <f t="shared" si="25"/>
        <v>10.6</v>
      </c>
      <c r="P78" s="107">
        <f t="shared" si="26"/>
        <v>674.2</v>
      </c>
      <c r="Q78" s="33">
        <f t="shared" ref="Q78:Q91" si="32">Q77</f>
        <v>168</v>
      </c>
      <c r="R78" s="75">
        <v>0</v>
      </c>
      <c r="S78" s="33">
        <f t="shared" si="29"/>
        <v>150</v>
      </c>
      <c r="T78" s="75">
        <v>0</v>
      </c>
      <c r="U78" s="31">
        <f t="shared" si="19"/>
        <v>0.5</v>
      </c>
      <c r="V78" s="106">
        <f t="shared" si="19"/>
        <v>1.7500000000000002E-2</v>
      </c>
      <c r="W78" s="104">
        <f t="shared" si="19"/>
        <v>3.2500000000000001E-2</v>
      </c>
      <c r="X78" s="33">
        <f t="shared" si="30"/>
        <v>50200</v>
      </c>
      <c r="Y78" s="34">
        <f t="shared" si="30"/>
        <v>83400</v>
      </c>
      <c r="Z78" s="75">
        <f t="shared" si="27"/>
        <v>41700</v>
      </c>
      <c r="AA78" s="33">
        <f t="shared" si="31"/>
        <v>253750</v>
      </c>
      <c r="AB78" s="75">
        <f t="shared" si="31"/>
        <v>456750</v>
      </c>
      <c r="AC78" s="33">
        <f t="shared" si="31"/>
        <v>380500</v>
      </c>
      <c r="AD78" s="75">
        <f t="shared" si="31"/>
        <v>583500</v>
      </c>
      <c r="AE78" s="983">
        <f t="shared" si="22"/>
        <v>3.0000000000000001E-3</v>
      </c>
      <c r="AF78" s="107">
        <f t="shared" si="22"/>
        <v>250</v>
      </c>
      <c r="AG78" s="33">
        <f t="shared" si="22"/>
        <v>250</v>
      </c>
      <c r="AH78" s="104">
        <f t="shared" si="22"/>
        <v>1</v>
      </c>
      <c r="AI78" s="30">
        <f t="shared" si="22"/>
        <v>65.5</v>
      </c>
      <c r="AJ78" s="15">
        <f t="shared" si="22"/>
        <v>65.5</v>
      </c>
      <c r="AL78" s="697"/>
      <c r="AM78" s="697"/>
      <c r="AN78" s="697"/>
      <c r="AO78" s="697"/>
      <c r="AP78" s="697"/>
      <c r="AQ78" s="697"/>
    </row>
    <row r="79" spans="1:43" ht="15.75" thickBot="1" x14ac:dyDescent="0.3">
      <c r="A79" s="167">
        <v>43179</v>
      </c>
      <c r="B79" s="168">
        <v>43281</v>
      </c>
      <c r="C79" s="111">
        <f t="shared" si="23"/>
        <v>822.10000000000014</v>
      </c>
      <c r="D79" s="77">
        <f>IndexAmt(D78*26,"peCpiFp",A78,2.6,6)/26</f>
        <v>23.300000000000004</v>
      </c>
      <c r="E79" s="78">
        <f t="shared" si="16"/>
        <v>7.5999999999999943</v>
      </c>
      <c r="F79" s="78">
        <f>MROUND(0.6633/0.5*26*M79,2.6)/26</f>
        <v>36.1</v>
      </c>
      <c r="G79" s="79">
        <f>MROUND(0.6633*2*26*N79,2.6)/26</f>
        <v>67</v>
      </c>
      <c r="H79" s="111">
        <f t="shared" si="21"/>
        <v>14.1</v>
      </c>
      <c r="I79" s="111">
        <f t="shared" si="24"/>
        <v>903.20000000000016</v>
      </c>
      <c r="J79" s="111">
        <f>0.5*MAX(CEILING(0.4176*52*getEcoPar($B77,"peMTAWE"),5.2),IndexAmt(52*J78,"peCpiFp",$B77,5.2,6),IndexAmt(52*J78,"pePBLCI",$B77,5.2,6))/26</f>
        <v>619.70000000000005</v>
      </c>
      <c r="K79" s="77">
        <f>IndexAmt(26*K78,"peCpiFp",A78,2.6,6)/26</f>
        <v>19.200000000000003</v>
      </c>
      <c r="L79" s="78">
        <f t="shared" si="13"/>
        <v>4.0999999999999943</v>
      </c>
      <c r="M79" s="78">
        <f>0.5*IndexAmt(26*2*M78,"peCpiFp",B77,5.2,6)/26</f>
        <v>27.200000000000003</v>
      </c>
      <c r="N79" s="79">
        <f>0.5*IndexAmt(2*26*N78,"peCpiFp",$B77,5.2,6)/26</f>
        <v>50.5</v>
      </c>
      <c r="O79" s="111">
        <f t="shared" si="25"/>
        <v>10.6</v>
      </c>
      <c r="P79" s="111">
        <f t="shared" si="26"/>
        <v>680.80000000000007</v>
      </c>
      <c r="Q79" s="77">
        <f t="shared" si="32"/>
        <v>168</v>
      </c>
      <c r="R79" s="79">
        <v>0</v>
      </c>
      <c r="S79" s="77">
        <f t="shared" si="29"/>
        <v>150</v>
      </c>
      <c r="T79" s="79">
        <v>0</v>
      </c>
      <c r="U79" s="95">
        <f t="shared" si="19"/>
        <v>0.5</v>
      </c>
      <c r="V79" s="110">
        <f t="shared" si="19"/>
        <v>1.7500000000000002E-2</v>
      </c>
      <c r="W79" s="108">
        <f t="shared" si="19"/>
        <v>3.2500000000000001E-2</v>
      </c>
      <c r="X79" s="77">
        <f t="shared" si="30"/>
        <v>50200</v>
      </c>
      <c r="Y79" s="78">
        <f t="shared" si="30"/>
        <v>83400</v>
      </c>
      <c r="Z79" s="79">
        <f t="shared" si="27"/>
        <v>41700</v>
      </c>
      <c r="AA79" s="77">
        <f t="shared" si="31"/>
        <v>253750</v>
      </c>
      <c r="AB79" s="79">
        <f t="shared" si="31"/>
        <v>456750</v>
      </c>
      <c r="AC79" s="77">
        <f t="shared" si="31"/>
        <v>380500</v>
      </c>
      <c r="AD79" s="79">
        <f t="shared" si="31"/>
        <v>583500</v>
      </c>
      <c r="AE79" s="981">
        <f t="shared" si="22"/>
        <v>3.0000000000000001E-3</v>
      </c>
      <c r="AF79" s="111">
        <f t="shared" si="22"/>
        <v>250</v>
      </c>
      <c r="AG79" s="77">
        <f t="shared" si="22"/>
        <v>250</v>
      </c>
      <c r="AH79" s="108">
        <f t="shared" si="22"/>
        <v>1</v>
      </c>
      <c r="AI79" s="91">
        <f t="shared" si="22"/>
        <v>65.5</v>
      </c>
      <c r="AJ79" s="81">
        <f t="shared" si="22"/>
        <v>65.5</v>
      </c>
      <c r="AL79" s="697"/>
      <c r="AM79" s="697"/>
      <c r="AN79" s="697"/>
      <c r="AO79" s="697"/>
      <c r="AP79" s="697"/>
      <c r="AQ79" s="697"/>
    </row>
    <row r="80" spans="1:43" x14ac:dyDescent="0.25">
      <c r="A80" s="169">
        <v>43282</v>
      </c>
      <c r="B80" s="170">
        <v>43362</v>
      </c>
      <c r="C80" s="189">
        <f t="shared" si="23"/>
        <v>822.10000000000014</v>
      </c>
      <c r="D80" s="188">
        <f>D79</f>
        <v>23.300000000000004</v>
      </c>
      <c r="E80" s="171">
        <f t="shared" si="16"/>
        <v>7.5999999999999943</v>
      </c>
      <c r="F80" s="171">
        <f>F79</f>
        <v>36.1</v>
      </c>
      <c r="G80" s="172">
        <f>G79</f>
        <v>67</v>
      </c>
      <c r="H80" s="189">
        <f t="shared" si="21"/>
        <v>14.1</v>
      </c>
      <c r="I80" s="189">
        <f t="shared" si="24"/>
        <v>903.20000000000016</v>
      </c>
      <c r="J80" s="189">
        <f>J79</f>
        <v>619.70000000000005</v>
      </c>
      <c r="K80" s="188">
        <f>K79</f>
        <v>19.200000000000003</v>
      </c>
      <c r="L80" s="171">
        <f t="shared" si="13"/>
        <v>4.0999999999999943</v>
      </c>
      <c r="M80" s="171">
        <f>M79</f>
        <v>27.200000000000003</v>
      </c>
      <c r="N80" s="172">
        <f>N79</f>
        <v>50.5</v>
      </c>
      <c r="O80" s="189">
        <f t="shared" si="25"/>
        <v>10.6</v>
      </c>
      <c r="P80" s="189">
        <f t="shared" si="26"/>
        <v>680.80000000000007</v>
      </c>
      <c r="Q80" s="188">
        <f>IndexAmt(Q79,"peCpiFp",B78,2,12)</f>
        <v>170</v>
      </c>
      <c r="R80" s="172">
        <v>0</v>
      </c>
      <c r="S80" s="188">
        <f>IndexAmt(S79,"peCpiFp",$B78,2,12)</f>
        <v>152</v>
      </c>
      <c r="T80" s="172">
        <v>0</v>
      </c>
      <c r="U80" s="192">
        <f t="shared" si="19"/>
        <v>0.5</v>
      </c>
      <c r="V80" s="198">
        <f t="shared" si="19"/>
        <v>1.7500000000000002E-2</v>
      </c>
      <c r="W80" s="190">
        <f t="shared" si="19"/>
        <v>3.2500000000000001E-2</v>
      </c>
      <c r="X80" s="188">
        <f>IndexAmt(X79,"peCpiFp",A79,200,12)</f>
        <v>51000</v>
      </c>
      <c r="Y80" s="171">
        <f>IndexAmt(Y79,"peCpiFp",A79,200,12)</f>
        <v>84800</v>
      </c>
      <c r="Z80" s="172">
        <f t="shared" si="27"/>
        <v>42400</v>
      </c>
      <c r="AA80" s="860">
        <f>IndexAmt(AA79,"peCpiFp",$B77,250,12)</f>
        <v>257750</v>
      </c>
      <c r="AB80" s="172">
        <f>AA80+(AD80-AC80)</f>
        <v>464250</v>
      </c>
      <c r="AC80" s="860">
        <f>2*IndexAmt(AC79/2,"peCpiFp",$B77,250,12)</f>
        <v>386500</v>
      </c>
      <c r="AD80" s="172">
        <f>2*IndexAmt(AD79/2,"peCpiFp",$B77,250,12)</f>
        <v>593000</v>
      </c>
      <c r="AE80" s="982">
        <f t="shared" si="22"/>
        <v>3.0000000000000001E-3</v>
      </c>
      <c r="AF80" s="189">
        <f t="shared" si="22"/>
        <v>250</v>
      </c>
      <c r="AG80" s="188">
        <f t="shared" si="22"/>
        <v>250</v>
      </c>
      <c r="AH80" s="190">
        <f t="shared" si="22"/>
        <v>1</v>
      </c>
      <c r="AI80" s="196">
        <f>AI79</f>
        <v>65.5</v>
      </c>
      <c r="AJ80" s="197">
        <f>AJ79</f>
        <v>65.5</v>
      </c>
      <c r="AL80" s="697"/>
      <c r="AM80" s="697"/>
      <c r="AN80" s="697"/>
      <c r="AO80" s="697"/>
      <c r="AP80" s="697"/>
      <c r="AQ80" s="697"/>
    </row>
    <row r="81" spans="1:43" x14ac:dyDescent="0.25">
      <c r="A81" s="165">
        <v>43363</v>
      </c>
      <c r="B81" s="166">
        <v>43465</v>
      </c>
      <c r="C81" s="107">
        <f t="shared" si="23"/>
        <v>830.3</v>
      </c>
      <c r="D81" s="33">
        <f>IndexAmt(D80*26,"peCpiFp",A80,2.6,6)/26</f>
        <v>23.5</v>
      </c>
      <c r="E81" s="34">
        <f t="shared" si="16"/>
        <v>7.7000000000000028</v>
      </c>
      <c r="F81" s="34">
        <f>MROUND(0.6633/0.5*26*M81,2.6)/26</f>
        <v>36.5</v>
      </c>
      <c r="G81" s="75">
        <f>MROUND(0.6633*2*26*N81,2.6)/26</f>
        <v>67.7</v>
      </c>
      <c r="H81" s="107">
        <f t="shared" si="21"/>
        <v>14.1</v>
      </c>
      <c r="I81" s="107">
        <f t="shared" si="24"/>
        <v>912.1</v>
      </c>
      <c r="J81" s="107">
        <f>0.5*MAX(CEILING(0.4176*52*getEcoPar($B79,"peMTAWE"),5.2),IndexAmt(52*J80,"peCpiFp",$B79,5.2,6),IndexAmt(52*J80,"pePBLCI",$B79,5.2,6))/26</f>
        <v>625.90000000000009</v>
      </c>
      <c r="K81" s="33">
        <f>IndexAmt(26*K80,"peCpiFp",A80,2.6,6)/26</f>
        <v>19.400000000000002</v>
      </c>
      <c r="L81" s="34">
        <f t="shared" si="13"/>
        <v>4.0999999999999979</v>
      </c>
      <c r="M81" s="34">
        <f>0.5*IndexAmt(26*2*M80,"peCpiFp",B79,5.2,6)/26</f>
        <v>27.5</v>
      </c>
      <c r="N81" s="75">
        <f>0.5*IndexAmt(2*26*N80,"peCpiFp",$B79,5.2,6)/26</f>
        <v>51</v>
      </c>
      <c r="O81" s="107">
        <f t="shared" si="25"/>
        <v>10.6</v>
      </c>
      <c r="P81" s="107">
        <f t="shared" si="26"/>
        <v>687.50000000000011</v>
      </c>
      <c r="Q81" s="33">
        <f t="shared" si="32"/>
        <v>170</v>
      </c>
      <c r="R81" s="75">
        <v>0</v>
      </c>
      <c r="S81" s="33">
        <f t="shared" si="29"/>
        <v>152</v>
      </c>
      <c r="T81" s="75">
        <v>0</v>
      </c>
      <c r="U81" s="31">
        <f t="shared" ref="U81:Y91" si="33">U80</f>
        <v>0.5</v>
      </c>
      <c r="V81" s="106">
        <f t="shared" si="33"/>
        <v>1.7500000000000002E-2</v>
      </c>
      <c r="W81" s="104">
        <f t="shared" si="33"/>
        <v>3.2500000000000001E-2</v>
      </c>
      <c r="X81" s="33">
        <f t="shared" si="33"/>
        <v>51000</v>
      </c>
      <c r="Y81" s="34">
        <f t="shared" si="33"/>
        <v>84800</v>
      </c>
      <c r="Z81" s="75">
        <f t="shared" si="27"/>
        <v>42400</v>
      </c>
      <c r="AA81" s="33">
        <f t="shared" ref="AA81:AD83" si="34">AA80</f>
        <v>257750</v>
      </c>
      <c r="AB81" s="75">
        <f t="shared" si="34"/>
        <v>464250</v>
      </c>
      <c r="AC81" s="33">
        <f t="shared" si="34"/>
        <v>386500</v>
      </c>
      <c r="AD81" s="75">
        <f t="shared" si="34"/>
        <v>593000</v>
      </c>
      <c r="AE81" s="983">
        <f t="shared" si="22"/>
        <v>3.0000000000000001E-3</v>
      </c>
      <c r="AF81" s="107">
        <f t="shared" si="22"/>
        <v>250</v>
      </c>
      <c r="AG81" s="33">
        <f t="shared" si="22"/>
        <v>250</v>
      </c>
      <c r="AH81" s="104">
        <f t="shared" si="22"/>
        <v>1</v>
      </c>
      <c r="AI81" s="30">
        <f t="shared" si="22"/>
        <v>65.5</v>
      </c>
      <c r="AJ81" s="15">
        <f t="shared" si="22"/>
        <v>65.5</v>
      </c>
      <c r="AL81" s="697"/>
      <c r="AM81" s="697"/>
      <c r="AN81" s="697"/>
      <c r="AO81" s="697"/>
      <c r="AP81" s="697"/>
      <c r="AQ81" s="697"/>
    </row>
    <row r="82" spans="1:43" x14ac:dyDescent="0.25">
      <c r="A82" s="165">
        <v>43466</v>
      </c>
      <c r="B82" s="166">
        <v>43543</v>
      </c>
      <c r="C82" s="107">
        <f t="shared" si="23"/>
        <v>830.3</v>
      </c>
      <c r="D82" s="33">
        <f>D81</f>
        <v>23.5</v>
      </c>
      <c r="E82" s="34">
        <f t="shared" si="16"/>
        <v>7.7000000000000028</v>
      </c>
      <c r="F82" s="34">
        <f>F81</f>
        <v>36.5</v>
      </c>
      <c r="G82" s="75">
        <f>G81</f>
        <v>67.7</v>
      </c>
      <c r="H82" s="107">
        <f t="shared" si="21"/>
        <v>14.1</v>
      </c>
      <c r="I82" s="107">
        <f t="shared" si="24"/>
        <v>912.1</v>
      </c>
      <c r="J82" s="107">
        <f>J81</f>
        <v>625.90000000000009</v>
      </c>
      <c r="K82" s="33">
        <f>K81</f>
        <v>19.400000000000002</v>
      </c>
      <c r="L82" s="34">
        <f t="shared" si="13"/>
        <v>4.0999999999999979</v>
      </c>
      <c r="M82" s="34">
        <f>M81</f>
        <v>27.5</v>
      </c>
      <c r="N82" s="75">
        <f>N81</f>
        <v>51</v>
      </c>
      <c r="O82" s="107">
        <f t="shared" si="25"/>
        <v>10.6</v>
      </c>
      <c r="P82" s="107">
        <f t="shared" si="26"/>
        <v>687.50000000000011</v>
      </c>
      <c r="Q82" s="33">
        <f t="shared" si="32"/>
        <v>170</v>
      </c>
      <c r="R82" s="75">
        <v>0</v>
      </c>
      <c r="S82" s="33">
        <f t="shared" si="29"/>
        <v>152</v>
      </c>
      <c r="T82" s="75">
        <v>0</v>
      </c>
      <c r="U82" s="31">
        <f t="shared" si="33"/>
        <v>0.5</v>
      </c>
      <c r="V82" s="106">
        <f t="shared" si="33"/>
        <v>1.7500000000000002E-2</v>
      </c>
      <c r="W82" s="104">
        <f t="shared" si="33"/>
        <v>3.2500000000000001E-2</v>
      </c>
      <c r="X82" s="33">
        <f t="shared" si="33"/>
        <v>51000</v>
      </c>
      <c r="Y82" s="34">
        <f t="shared" si="33"/>
        <v>84800</v>
      </c>
      <c r="Z82" s="75">
        <f t="shared" si="27"/>
        <v>42400</v>
      </c>
      <c r="AA82" s="33">
        <f t="shared" si="34"/>
        <v>257750</v>
      </c>
      <c r="AB82" s="75">
        <f t="shared" si="34"/>
        <v>464250</v>
      </c>
      <c r="AC82" s="33">
        <f t="shared" si="34"/>
        <v>386500</v>
      </c>
      <c r="AD82" s="75">
        <f t="shared" si="34"/>
        <v>593000</v>
      </c>
      <c r="AE82" s="983">
        <f t="shared" si="22"/>
        <v>3.0000000000000001E-3</v>
      </c>
      <c r="AF82" s="107">
        <f t="shared" si="22"/>
        <v>250</v>
      </c>
      <c r="AG82" s="33">
        <f t="shared" si="22"/>
        <v>250</v>
      </c>
      <c r="AH82" s="104">
        <f t="shared" si="22"/>
        <v>1</v>
      </c>
      <c r="AI82" s="30">
        <f t="shared" si="22"/>
        <v>65.5</v>
      </c>
      <c r="AJ82" s="15">
        <f t="shared" si="22"/>
        <v>65.5</v>
      </c>
      <c r="AL82" s="697"/>
      <c r="AM82" s="697"/>
      <c r="AN82" s="697"/>
      <c r="AO82" s="697"/>
      <c r="AP82" s="697"/>
      <c r="AQ82" s="697"/>
    </row>
    <row r="83" spans="1:43" ht="15.75" thickBot="1" x14ac:dyDescent="0.3">
      <c r="A83" s="167">
        <v>43544</v>
      </c>
      <c r="B83" s="168">
        <v>43646</v>
      </c>
      <c r="C83" s="111">
        <f t="shared" si="23"/>
        <v>839.5</v>
      </c>
      <c r="D83" s="77">
        <f>IndexAmt(D82*26,"peCpiFp",A82,2.6,6)/26</f>
        <v>23.800000000000004</v>
      </c>
      <c r="E83" s="78">
        <f t="shared" si="16"/>
        <v>7.7999999999999972</v>
      </c>
      <c r="F83" s="78">
        <f>MROUND(0.6633/0.5*26*M83,2.6)/26</f>
        <v>36.9</v>
      </c>
      <c r="G83" s="79">
        <f>MROUND(0.6633*2*26*N83,2.6)/26</f>
        <v>68.5</v>
      </c>
      <c r="H83" s="111">
        <f t="shared" si="21"/>
        <v>14.1</v>
      </c>
      <c r="I83" s="111">
        <f t="shared" si="24"/>
        <v>922.1</v>
      </c>
      <c r="J83" s="111">
        <f>0.5*MAX(CEILING(0.4176*52*getEcoPar($B81,"peMTAWE"),5.2),IndexAmt(52*J82,"peCpiFp",$B81,5.2,6),IndexAmt(52*J82,"pePBLCI",$B81,5.2,6))/26</f>
        <v>632.79999999999995</v>
      </c>
      <c r="K83" s="77">
        <f>IndexAmt(26*K82,"peCpiFp",A82,2.6,6)/26</f>
        <v>19.600000000000001</v>
      </c>
      <c r="L83" s="78">
        <f t="shared" si="13"/>
        <v>4.2000000000000028</v>
      </c>
      <c r="M83" s="78">
        <f>0.5*IndexAmt(26*2*M82,"peCpiFp",B81,5.2,6)/26</f>
        <v>27.800000000000004</v>
      </c>
      <c r="N83" s="79">
        <f>0.5*IndexAmt(2*26*N82,"peCpiFp",$B81,5.2,6)/26</f>
        <v>51.600000000000009</v>
      </c>
      <c r="O83" s="111">
        <f t="shared" si="25"/>
        <v>10.6</v>
      </c>
      <c r="P83" s="111">
        <f t="shared" si="26"/>
        <v>695</v>
      </c>
      <c r="Q83" s="77">
        <f t="shared" si="32"/>
        <v>170</v>
      </c>
      <c r="R83" s="79">
        <v>0</v>
      </c>
      <c r="S83" s="77">
        <f t="shared" si="29"/>
        <v>152</v>
      </c>
      <c r="T83" s="79">
        <v>0</v>
      </c>
      <c r="U83" s="95">
        <f t="shared" si="33"/>
        <v>0.5</v>
      </c>
      <c r="V83" s="110">
        <f t="shared" si="33"/>
        <v>1.7500000000000002E-2</v>
      </c>
      <c r="W83" s="108">
        <f t="shared" si="33"/>
        <v>3.2500000000000001E-2</v>
      </c>
      <c r="X83" s="77">
        <f t="shared" si="33"/>
        <v>51000</v>
      </c>
      <c r="Y83" s="78">
        <f t="shared" si="33"/>
        <v>84800</v>
      </c>
      <c r="Z83" s="79">
        <f t="shared" si="27"/>
        <v>42400</v>
      </c>
      <c r="AA83" s="77">
        <f t="shared" si="34"/>
        <v>257750</v>
      </c>
      <c r="AB83" s="79">
        <f t="shared" si="34"/>
        <v>464250</v>
      </c>
      <c r="AC83" s="77">
        <f t="shared" si="34"/>
        <v>386500</v>
      </c>
      <c r="AD83" s="79">
        <f t="shared" si="34"/>
        <v>593000</v>
      </c>
      <c r="AE83" s="981">
        <f t="shared" si="22"/>
        <v>3.0000000000000001E-3</v>
      </c>
      <c r="AF83" s="111">
        <f t="shared" si="22"/>
        <v>250</v>
      </c>
      <c r="AG83" s="77">
        <f t="shared" si="22"/>
        <v>250</v>
      </c>
      <c r="AH83" s="108">
        <f t="shared" si="22"/>
        <v>1</v>
      </c>
      <c r="AI83" s="91">
        <f t="shared" si="22"/>
        <v>65.5</v>
      </c>
      <c r="AJ83" s="81">
        <f t="shared" si="22"/>
        <v>65.5</v>
      </c>
      <c r="AL83" s="697"/>
      <c r="AM83" s="697"/>
      <c r="AN83" s="697"/>
      <c r="AO83" s="697"/>
      <c r="AP83" s="697"/>
      <c r="AQ83" s="697"/>
    </row>
    <row r="84" spans="1:43" x14ac:dyDescent="0.25">
      <c r="A84" s="169">
        <v>43647</v>
      </c>
      <c r="B84" s="170">
        <v>43727</v>
      </c>
      <c r="C84" s="189">
        <f t="shared" si="23"/>
        <v>839.5</v>
      </c>
      <c r="D84" s="188">
        <f>D83</f>
        <v>23.800000000000004</v>
      </c>
      <c r="E84" s="171">
        <f t="shared" si="16"/>
        <v>7.7999999999999972</v>
      </c>
      <c r="F84" s="171">
        <f>F83</f>
        <v>36.9</v>
      </c>
      <c r="G84" s="172">
        <f>G83</f>
        <v>68.5</v>
      </c>
      <c r="H84" s="189">
        <f t="shared" si="21"/>
        <v>14.1</v>
      </c>
      <c r="I84" s="189">
        <f t="shared" si="24"/>
        <v>922.1</v>
      </c>
      <c r="J84" s="189">
        <f>J83</f>
        <v>632.79999999999995</v>
      </c>
      <c r="K84" s="188">
        <f>K83</f>
        <v>19.600000000000001</v>
      </c>
      <c r="L84" s="171">
        <f t="shared" si="13"/>
        <v>4.2000000000000028</v>
      </c>
      <c r="M84" s="171">
        <f>M83</f>
        <v>27.800000000000004</v>
      </c>
      <c r="N84" s="172">
        <f>N83</f>
        <v>51.600000000000009</v>
      </c>
      <c r="O84" s="189">
        <f t="shared" si="25"/>
        <v>10.6</v>
      </c>
      <c r="P84" s="189">
        <f t="shared" si="26"/>
        <v>695</v>
      </c>
      <c r="Q84" s="188">
        <f>IndexAmt(Q83,"peCpiFp",B78,2,12)</f>
        <v>172</v>
      </c>
      <c r="R84" s="172">
        <v>0</v>
      </c>
      <c r="S84" s="188">
        <f>IndexAmt(S83,"peCpiFp",$B82,2,12)</f>
        <v>156</v>
      </c>
      <c r="T84" s="172">
        <v>0</v>
      </c>
      <c r="U84" s="192">
        <f t="shared" si="33"/>
        <v>0.5</v>
      </c>
      <c r="V84" s="198">
        <f t="shared" si="33"/>
        <v>1.7500000000000002E-2</v>
      </c>
      <c r="W84" s="190">
        <f t="shared" si="33"/>
        <v>3.2500000000000001E-2</v>
      </c>
      <c r="X84" s="188">
        <f>IndexAmt(X83,"peCpiFp",A83,200,12)</f>
        <v>52000</v>
      </c>
      <c r="Y84" s="171">
        <f>IndexAmt(Y83,"peCpiFp",A83,200,12)</f>
        <v>86600</v>
      </c>
      <c r="Z84" s="172">
        <f t="shared" si="27"/>
        <v>43300</v>
      </c>
      <c r="AA84" s="860">
        <f>IndexAmt(AA83,"peCpiFp",$B81,250,12)</f>
        <v>263250</v>
      </c>
      <c r="AB84" s="172">
        <f>AA84+(AD84-AC84)</f>
        <v>474250</v>
      </c>
      <c r="AC84" s="860">
        <f>2*IndexAmt(AC83/2,"peCpiFp",$B81,250,12)</f>
        <v>394500</v>
      </c>
      <c r="AD84" s="172">
        <f>2*IndexAmt(AD83/2,"peCpiFp",$B81,250,12)</f>
        <v>605500</v>
      </c>
      <c r="AE84" s="982">
        <f t="shared" si="22"/>
        <v>3.0000000000000001E-3</v>
      </c>
      <c r="AF84" s="189">
        <f t="shared" si="22"/>
        <v>250</v>
      </c>
      <c r="AG84" s="188">
        <f t="shared" si="22"/>
        <v>250</v>
      </c>
      <c r="AH84" s="190">
        <f t="shared" si="22"/>
        <v>1</v>
      </c>
      <c r="AI84" s="196">
        <v>66</v>
      </c>
      <c r="AJ84" s="197">
        <v>66</v>
      </c>
      <c r="AL84" s="697"/>
      <c r="AM84" s="697"/>
      <c r="AN84" s="697"/>
      <c r="AO84" s="697"/>
      <c r="AP84" s="697"/>
      <c r="AQ84" s="697"/>
    </row>
    <row r="85" spans="1:43" x14ac:dyDescent="0.25">
      <c r="A85" s="165">
        <v>43728</v>
      </c>
      <c r="B85" s="166">
        <v>43830</v>
      </c>
      <c r="C85" s="107">
        <f t="shared" si="23"/>
        <v>848.8</v>
      </c>
      <c r="D85" s="33">
        <f>IndexAmt(D84*26,"peCpiFp",A84,2.6,6)/26</f>
        <v>24.1</v>
      </c>
      <c r="E85" s="34">
        <f t="shared" si="16"/>
        <v>7.7999999999999972</v>
      </c>
      <c r="F85" s="34">
        <f>MROUND(0.6633/0.5*26*M85,2.6)/26</f>
        <v>37.300000000000004</v>
      </c>
      <c r="G85" s="75">
        <f>MROUND(0.6633*2*26*N85,2.6)/26</f>
        <v>69.2</v>
      </c>
      <c r="H85" s="107">
        <f t="shared" si="21"/>
        <v>14.1</v>
      </c>
      <c r="I85" s="107">
        <f t="shared" si="24"/>
        <v>932.1</v>
      </c>
      <c r="J85" s="107">
        <f>0.5*MAX(CEILING(0.4176*52*getEcoPar($B83,"peMTAWE"),5.2),IndexAmt(52*J84,"peCpiFp",$B83,5.2,6),IndexAmt(52*J84,"pePBLCI",$B83,5.2,6))/26</f>
        <v>639.79999999999995</v>
      </c>
      <c r="K85" s="33">
        <f>IndexAmt(26*K84,"peCpiFp",A84,2.6,6)/26</f>
        <v>19.800000000000004</v>
      </c>
      <c r="L85" s="34">
        <f t="shared" si="13"/>
        <v>4.2999999999999972</v>
      </c>
      <c r="M85" s="34">
        <f>0.5*IndexAmt(26*2*M84,"peCpiFp",B83,5.2,6)/26</f>
        <v>28.1</v>
      </c>
      <c r="N85" s="75">
        <f>0.5*IndexAmt(2*26*N84,"peCpiFp",$B83,5.2,6)/26</f>
        <v>52.2</v>
      </c>
      <c r="O85" s="107">
        <f t="shared" si="25"/>
        <v>10.6</v>
      </c>
      <c r="P85" s="107">
        <f t="shared" si="26"/>
        <v>702.6</v>
      </c>
      <c r="Q85" s="33">
        <f t="shared" si="32"/>
        <v>172</v>
      </c>
      <c r="R85" s="75">
        <v>0</v>
      </c>
      <c r="S85" s="33">
        <f t="shared" si="29"/>
        <v>156</v>
      </c>
      <c r="T85" s="75">
        <v>0</v>
      </c>
      <c r="U85" s="31">
        <f t="shared" si="33"/>
        <v>0.5</v>
      </c>
      <c r="V85" s="106">
        <f t="shared" si="33"/>
        <v>1.7500000000000002E-2</v>
      </c>
      <c r="W85" s="104">
        <f t="shared" si="33"/>
        <v>3.2500000000000001E-2</v>
      </c>
      <c r="X85" s="33">
        <f t="shared" si="33"/>
        <v>52000</v>
      </c>
      <c r="Y85" s="34">
        <f t="shared" si="33"/>
        <v>86600</v>
      </c>
      <c r="Z85" s="75">
        <f t="shared" si="27"/>
        <v>43300</v>
      </c>
      <c r="AA85" s="33">
        <f t="shared" ref="AA85:AD87" si="35">AA84</f>
        <v>263250</v>
      </c>
      <c r="AB85" s="75">
        <f t="shared" si="35"/>
        <v>474250</v>
      </c>
      <c r="AC85" s="33">
        <f t="shared" si="35"/>
        <v>394500</v>
      </c>
      <c r="AD85" s="75">
        <f t="shared" si="35"/>
        <v>605500</v>
      </c>
      <c r="AE85" s="983">
        <f t="shared" ref="AE85:AJ91" si="36">AE84</f>
        <v>3.0000000000000001E-3</v>
      </c>
      <c r="AF85" s="107">
        <f t="shared" si="36"/>
        <v>250</v>
      </c>
      <c r="AG85" s="33">
        <f t="shared" si="36"/>
        <v>250</v>
      </c>
      <c r="AH85" s="104">
        <f t="shared" si="36"/>
        <v>1</v>
      </c>
      <c r="AI85" s="30">
        <f t="shared" si="36"/>
        <v>66</v>
      </c>
      <c r="AJ85" s="15">
        <f t="shared" si="36"/>
        <v>66</v>
      </c>
      <c r="AL85" s="697"/>
      <c r="AM85" s="697"/>
      <c r="AN85" s="697"/>
      <c r="AO85" s="697"/>
      <c r="AP85" s="697"/>
      <c r="AQ85" s="697"/>
    </row>
    <row r="86" spans="1:43" x14ac:dyDescent="0.25">
      <c r="A86" s="165">
        <v>43831</v>
      </c>
      <c r="B86" s="166">
        <v>43909</v>
      </c>
      <c r="C86" s="107">
        <f t="shared" si="23"/>
        <v>848.8</v>
      </c>
      <c r="D86" s="33">
        <f>D85</f>
        <v>24.1</v>
      </c>
      <c r="E86" s="34">
        <f t="shared" si="16"/>
        <v>7.7999999999999972</v>
      </c>
      <c r="F86" s="34">
        <f>F85</f>
        <v>37.300000000000004</v>
      </c>
      <c r="G86" s="75">
        <f>G85</f>
        <v>69.2</v>
      </c>
      <c r="H86" s="107">
        <f t="shared" si="21"/>
        <v>14.1</v>
      </c>
      <c r="I86" s="107">
        <f t="shared" si="24"/>
        <v>932.1</v>
      </c>
      <c r="J86" s="107">
        <f>J85</f>
        <v>639.79999999999995</v>
      </c>
      <c r="K86" s="33">
        <f>K85</f>
        <v>19.800000000000004</v>
      </c>
      <c r="L86" s="34">
        <f t="shared" si="13"/>
        <v>4.2999999999999972</v>
      </c>
      <c r="M86" s="34">
        <f>M85</f>
        <v>28.1</v>
      </c>
      <c r="N86" s="75">
        <f>N85</f>
        <v>52.2</v>
      </c>
      <c r="O86" s="107">
        <f t="shared" si="25"/>
        <v>10.6</v>
      </c>
      <c r="P86" s="107">
        <f t="shared" si="26"/>
        <v>702.6</v>
      </c>
      <c r="Q86" s="33">
        <f t="shared" si="32"/>
        <v>172</v>
      </c>
      <c r="R86" s="75">
        <v>0</v>
      </c>
      <c r="S86" s="33">
        <f t="shared" si="29"/>
        <v>156</v>
      </c>
      <c r="T86" s="75">
        <v>0</v>
      </c>
      <c r="U86" s="31">
        <f t="shared" si="33"/>
        <v>0.5</v>
      </c>
      <c r="V86" s="106">
        <f t="shared" si="33"/>
        <v>1.7500000000000002E-2</v>
      </c>
      <c r="W86" s="104">
        <f t="shared" si="33"/>
        <v>3.2500000000000001E-2</v>
      </c>
      <c r="X86" s="33">
        <f t="shared" si="33"/>
        <v>52000</v>
      </c>
      <c r="Y86" s="34">
        <f t="shared" si="33"/>
        <v>86600</v>
      </c>
      <c r="Z86" s="75">
        <f t="shared" si="27"/>
        <v>43300</v>
      </c>
      <c r="AA86" s="33">
        <f t="shared" si="35"/>
        <v>263250</v>
      </c>
      <c r="AB86" s="75">
        <f t="shared" si="35"/>
        <v>474250</v>
      </c>
      <c r="AC86" s="33">
        <f t="shared" si="35"/>
        <v>394500</v>
      </c>
      <c r="AD86" s="75">
        <f t="shared" si="35"/>
        <v>605500</v>
      </c>
      <c r="AE86" s="983">
        <f t="shared" si="36"/>
        <v>3.0000000000000001E-3</v>
      </c>
      <c r="AF86" s="107">
        <f t="shared" si="36"/>
        <v>250</v>
      </c>
      <c r="AG86" s="33">
        <f t="shared" si="36"/>
        <v>250</v>
      </c>
      <c r="AH86" s="104">
        <f t="shared" si="36"/>
        <v>1</v>
      </c>
      <c r="AI86" s="30">
        <f t="shared" si="36"/>
        <v>66</v>
      </c>
      <c r="AJ86" s="15">
        <f t="shared" si="36"/>
        <v>66</v>
      </c>
      <c r="AL86" s="697"/>
      <c r="AM86" s="697"/>
      <c r="AN86" s="697"/>
      <c r="AO86" s="697"/>
      <c r="AP86" s="697"/>
      <c r="AQ86" s="697"/>
    </row>
    <row r="87" spans="1:43" ht="15.75" thickBot="1" x14ac:dyDescent="0.3">
      <c r="A87" s="167">
        <v>43910</v>
      </c>
      <c r="B87" s="168">
        <v>44012</v>
      </c>
      <c r="C87" s="111">
        <f t="shared" si="23"/>
        <v>859</v>
      </c>
      <c r="D87" s="77">
        <f>IndexAmt(D86*26,"peCpiFp",A86,2.6,6)/26</f>
        <v>24.4</v>
      </c>
      <c r="E87" s="78">
        <f t="shared" si="16"/>
        <v>7.8999999999999986</v>
      </c>
      <c r="F87" s="78">
        <f>MROUND(0.6633/0.5*26*M87,2.6)/26</f>
        <v>37.700000000000003</v>
      </c>
      <c r="G87" s="79">
        <f>MROUND(0.6633*2*26*N87,2.6)/26</f>
        <v>70</v>
      </c>
      <c r="H87" s="111">
        <f t="shared" si="21"/>
        <v>14.1</v>
      </c>
      <c r="I87" s="111">
        <f t="shared" si="24"/>
        <v>943.1</v>
      </c>
      <c r="J87" s="111">
        <f>0.5*MAX(CEILING(0.4176*52*getEcoPar($B85,"peMTAWE"),5.2),IndexAmt(52*J86,"peCpiFp",$B85,5.2,6),IndexAmt(52*J86,"pePBLCI",$B85,5.2,6))/26</f>
        <v>647.5</v>
      </c>
      <c r="K87" s="77">
        <f>IndexAmt(26*K86,"peCpiFp",A86,2.6,6)/26</f>
        <v>20</v>
      </c>
      <c r="L87" s="78">
        <f t="shared" si="13"/>
        <v>4.3999999999999986</v>
      </c>
      <c r="M87" s="78">
        <f>0.5*IndexAmt(26*2*M86,"peCpiFp",B85,5.2,6)/26</f>
        <v>28.4</v>
      </c>
      <c r="N87" s="79">
        <f>0.5*IndexAmt(2*26*N86,"peCpiFp",$B85,5.2,6)/26</f>
        <v>52.8</v>
      </c>
      <c r="O87" s="111">
        <f t="shared" si="25"/>
        <v>10.6</v>
      </c>
      <c r="P87" s="111">
        <f t="shared" si="26"/>
        <v>710.9</v>
      </c>
      <c r="Q87" s="77">
        <f t="shared" si="32"/>
        <v>172</v>
      </c>
      <c r="R87" s="79">
        <v>0</v>
      </c>
      <c r="S87" s="77">
        <f t="shared" si="29"/>
        <v>156</v>
      </c>
      <c r="T87" s="79">
        <v>0</v>
      </c>
      <c r="U87" s="95">
        <f t="shared" si="33"/>
        <v>0.5</v>
      </c>
      <c r="V87" s="110">
        <f t="shared" si="33"/>
        <v>1.7500000000000002E-2</v>
      </c>
      <c r="W87" s="108">
        <f t="shared" si="33"/>
        <v>3.2500000000000001E-2</v>
      </c>
      <c r="X87" s="77">
        <f t="shared" si="33"/>
        <v>52000</v>
      </c>
      <c r="Y87" s="78">
        <f t="shared" si="33"/>
        <v>86600</v>
      </c>
      <c r="Z87" s="79">
        <f t="shared" si="27"/>
        <v>43300</v>
      </c>
      <c r="AA87" s="77">
        <f t="shared" si="35"/>
        <v>263250</v>
      </c>
      <c r="AB87" s="79">
        <f t="shared" si="35"/>
        <v>474250</v>
      </c>
      <c r="AC87" s="77">
        <f t="shared" si="35"/>
        <v>394500</v>
      </c>
      <c r="AD87" s="79">
        <f t="shared" si="35"/>
        <v>605500</v>
      </c>
      <c r="AE87" s="981">
        <f t="shared" si="36"/>
        <v>3.0000000000000001E-3</v>
      </c>
      <c r="AF87" s="111">
        <f t="shared" si="36"/>
        <v>250</v>
      </c>
      <c r="AG87" s="77">
        <f t="shared" si="36"/>
        <v>250</v>
      </c>
      <c r="AH87" s="108">
        <f t="shared" si="36"/>
        <v>1</v>
      </c>
      <c r="AI87" s="91">
        <f t="shared" si="36"/>
        <v>66</v>
      </c>
      <c r="AJ87" s="81">
        <f t="shared" si="36"/>
        <v>66</v>
      </c>
      <c r="AL87" s="697"/>
      <c r="AM87" s="697"/>
      <c r="AN87" s="697"/>
      <c r="AO87" s="697"/>
      <c r="AP87" s="697"/>
      <c r="AQ87" s="697"/>
    </row>
    <row r="88" spans="1:43" x14ac:dyDescent="0.25">
      <c r="A88" s="169">
        <v>44013</v>
      </c>
      <c r="B88" s="170">
        <v>44093</v>
      </c>
      <c r="C88" s="189">
        <f t="shared" si="23"/>
        <v>859</v>
      </c>
      <c r="D88" s="188">
        <f>D87</f>
        <v>24.4</v>
      </c>
      <c r="E88" s="171">
        <f t="shared" si="16"/>
        <v>7.8999999999999986</v>
      </c>
      <c r="F88" s="171">
        <f>F87</f>
        <v>37.700000000000003</v>
      </c>
      <c r="G88" s="172">
        <f>G87</f>
        <v>70</v>
      </c>
      <c r="H88" s="189">
        <f t="shared" si="21"/>
        <v>14.1</v>
      </c>
      <c r="I88" s="189">
        <f t="shared" si="24"/>
        <v>943.1</v>
      </c>
      <c r="J88" s="189">
        <f>J87</f>
        <v>647.5</v>
      </c>
      <c r="K88" s="188">
        <f>K87</f>
        <v>20</v>
      </c>
      <c r="L88" s="171">
        <f t="shared" si="13"/>
        <v>4.3999999999999986</v>
      </c>
      <c r="M88" s="171">
        <f>M87</f>
        <v>28.4</v>
      </c>
      <c r="N88" s="172">
        <f>N87</f>
        <v>52.8</v>
      </c>
      <c r="O88" s="189">
        <f t="shared" si="25"/>
        <v>10.6</v>
      </c>
      <c r="P88" s="189">
        <f t="shared" si="26"/>
        <v>710.9</v>
      </c>
      <c r="Q88" s="188">
        <f>IndexAmt(Q87,"peCpiFp",B86,2,12)</f>
        <v>176</v>
      </c>
      <c r="R88" s="172">
        <v>0</v>
      </c>
      <c r="S88" s="188">
        <f>IndexAmt(S87,"peCpiFp",$B86,2,12)</f>
        <v>160</v>
      </c>
      <c r="T88" s="172">
        <v>0</v>
      </c>
      <c r="U88" s="192">
        <f t="shared" si="33"/>
        <v>0.5</v>
      </c>
      <c r="V88" s="198">
        <f t="shared" si="33"/>
        <v>1.7500000000000002E-2</v>
      </c>
      <c r="W88" s="190">
        <f t="shared" si="33"/>
        <v>3.2500000000000001E-2</v>
      </c>
      <c r="X88" s="188">
        <f>IndexAmt(X87,"peCpiFp",A87,200,12)</f>
        <v>53200</v>
      </c>
      <c r="Y88" s="171">
        <f>IndexAmt(Y87,"peCpiFp",A87,200,12)</f>
        <v>88600</v>
      </c>
      <c r="Z88" s="172">
        <f t="shared" si="27"/>
        <v>44300</v>
      </c>
      <c r="AA88" s="188">
        <f>IndexAmt(AA87,"peCpiFp",$B85,250,12)</f>
        <v>269500</v>
      </c>
      <c r="AB88" s="172">
        <f>AA88+(AD88-AC88)</f>
        <v>485500</v>
      </c>
      <c r="AC88" s="188">
        <f>2*IndexAmt(AC87/2,"peCpiFp",$B85,250,12)</f>
        <v>404000</v>
      </c>
      <c r="AD88" s="172">
        <f>2*IndexAmt(AD87/2,"peCpiFp",$B85,250,12)</f>
        <v>620000</v>
      </c>
      <c r="AE88" s="982">
        <f t="shared" si="36"/>
        <v>3.0000000000000001E-3</v>
      </c>
      <c r="AF88" s="189">
        <f t="shared" si="36"/>
        <v>250</v>
      </c>
      <c r="AG88" s="188">
        <f t="shared" si="36"/>
        <v>250</v>
      </c>
      <c r="AH88" s="190">
        <f t="shared" si="36"/>
        <v>1</v>
      </c>
      <c r="AI88" s="196">
        <f>AI87</f>
        <v>66</v>
      </c>
      <c r="AJ88" s="197">
        <f>AJ87</f>
        <v>66</v>
      </c>
      <c r="AL88" s="697"/>
      <c r="AM88" s="697"/>
      <c r="AN88" s="697"/>
      <c r="AO88" s="697"/>
      <c r="AP88" s="697"/>
      <c r="AQ88" s="697"/>
    </row>
    <row r="89" spans="1:43" x14ac:dyDescent="0.25">
      <c r="A89" s="165">
        <v>44094</v>
      </c>
      <c r="B89" s="166">
        <v>44196</v>
      </c>
      <c r="C89" s="107">
        <f t="shared" si="23"/>
        <v>870.10000000000014</v>
      </c>
      <c r="D89" s="33">
        <f>IndexAmt(D88*26,"peCpiFp",A88,2.6,6)/26</f>
        <v>24.700000000000003</v>
      </c>
      <c r="E89" s="34">
        <f t="shared" si="16"/>
        <v>8.0999999999999943</v>
      </c>
      <c r="F89" s="34">
        <f>MROUND(0.6633/0.5*26*M89,2.6)/26</f>
        <v>38.200000000000003</v>
      </c>
      <c r="G89" s="75">
        <f>MROUND(0.6633*2*26*N89,2.6)/26</f>
        <v>71</v>
      </c>
      <c r="H89" s="107">
        <f t="shared" si="21"/>
        <v>14.1</v>
      </c>
      <c r="I89" s="107">
        <f t="shared" si="24"/>
        <v>955.20000000000016</v>
      </c>
      <c r="J89" s="107">
        <f>0.5*MAX(CEILING(0.4176*52*getEcoPar($B87,"peMTAWE"),5.2),IndexAmt(52*J88,"peCpiFp",$B87,5.2,6),IndexAmt(52*J88,"pePBLCI",$B87,5.2,6))/26</f>
        <v>655.90000000000009</v>
      </c>
      <c r="K89" s="33">
        <f>IndexAmt(26*K88,"peCpiFp",A88,2.6,6)/26</f>
        <v>20.300000000000004</v>
      </c>
      <c r="L89" s="34">
        <f t="shared" si="13"/>
        <v>4.3999999999999915</v>
      </c>
      <c r="M89" s="34">
        <f>0.5*IndexAmt(26*2*M88,"peCpiFp",B87,5.2,6)/26</f>
        <v>28.800000000000004</v>
      </c>
      <c r="N89" s="75">
        <f>0.5*IndexAmt(2*26*N88,"peCpiFp",$B87,5.2,6)/26</f>
        <v>53.5</v>
      </c>
      <c r="O89" s="107">
        <f t="shared" si="25"/>
        <v>10.6</v>
      </c>
      <c r="P89" s="107">
        <f t="shared" si="26"/>
        <v>720.00000000000011</v>
      </c>
      <c r="Q89" s="33">
        <f t="shared" si="32"/>
        <v>176</v>
      </c>
      <c r="R89" s="75">
        <v>0</v>
      </c>
      <c r="S89" s="33">
        <f>S88</f>
        <v>160</v>
      </c>
      <c r="T89" s="75">
        <v>0</v>
      </c>
      <c r="U89" s="31">
        <f t="shared" si="33"/>
        <v>0.5</v>
      </c>
      <c r="V89" s="106">
        <f t="shared" si="33"/>
        <v>1.7500000000000002E-2</v>
      </c>
      <c r="W89" s="104">
        <f t="shared" si="33"/>
        <v>3.2500000000000001E-2</v>
      </c>
      <c r="X89" s="33">
        <f t="shared" si="33"/>
        <v>53200</v>
      </c>
      <c r="Y89" s="34">
        <f t="shared" si="33"/>
        <v>88600</v>
      </c>
      <c r="Z89" s="75">
        <f t="shared" si="27"/>
        <v>44300</v>
      </c>
      <c r="AA89" s="33">
        <f t="shared" ref="AA89:AD91" si="37">AA88</f>
        <v>269500</v>
      </c>
      <c r="AB89" s="75">
        <f t="shared" si="37"/>
        <v>485500</v>
      </c>
      <c r="AC89" s="33">
        <f t="shared" si="37"/>
        <v>404000</v>
      </c>
      <c r="AD89" s="75">
        <f t="shared" si="37"/>
        <v>620000</v>
      </c>
      <c r="AE89" s="983">
        <f t="shared" si="36"/>
        <v>3.0000000000000001E-3</v>
      </c>
      <c r="AF89" s="107">
        <f t="shared" si="36"/>
        <v>250</v>
      </c>
      <c r="AG89" s="33">
        <f t="shared" si="36"/>
        <v>250</v>
      </c>
      <c r="AH89" s="104">
        <f t="shared" si="36"/>
        <v>1</v>
      </c>
      <c r="AI89" s="30">
        <f t="shared" si="36"/>
        <v>66</v>
      </c>
      <c r="AJ89" s="15">
        <f t="shared" si="36"/>
        <v>66</v>
      </c>
      <c r="AL89" s="697"/>
      <c r="AM89" s="697"/>
      <c r="AN89" s="697"/>
      <c r="AO89" s="697"/>
      <c r="AP89" s="697"/>
      <c r="AQ89" s="697"/>
    </row>
    <row r="90" spans="1:43" x14ac:dyDescent="0.25">
      <c r="A90" s="165">
        <v>44197</v>
      </c>
      <c r="B90" s="166">
        <v>44274</v>
      </c>
      <c r="C90" s="107">
        <f t="shared" si="23"/>
        <v>870.10000000000014</v>
      </c>
      <c r="D90" s="33">
        <f>D89</f>
        <v>24.700000000000003</v>
      </c>
      <c r="E90" s="34">
        <f t="shared" si="16"/>
        <v>8.0999999999999943</v>
      </c>
      <c r="F90" s="34">
        <f>F89</f>
        <v>38.200000000000003</v>
      </c>
      <c r="G90" s="75">
        <f>G89</f>
        <v>71</v>
      </c>
      <c r="H90" s="107">
        <f t="shared" si="21"/>
        <v>14.1</v>
      </c>
      <c r="I90" s="107">
        <f t="shared" si="24"/>
        <v>955.20000000000016</v>
      </c>
      <c r="J90" s="107">
        <f>J89</f>
        <v>655.90000000000009</v>
      </c>
      <c r="K90" s="33">
        <f>K89</f>
        <v>20.300000000000004</v>
      </c>
      <c r="L90" s="34">
        <f t="shared" si="13"/>
        <v>4.3999999999999915</v>
      </c>
      <c r="M90" s="34">
        <f>M89</f>
        <v>28.800000000000004</v>
      </c>
      <c r="N90" s="75">
        <f>N89</f>
        <v>53.5</v>
      </c>
      <c r="O90" s="107">
        <f t="shared" si="25"/>
        <v>10.6</v>
      </c>
      <c r="P90" s="107">
        <f t="shared" si="26"/>
        <v>720.00000000000011</v>
      </c>
      <c r="Q90" s="33">
        <f t="shared" si="32"/>
        <v>176</v>
      </c>
      <c r="R90" s="75">
        <v>0</v>
      </c>
      <c r="S90" s="33">
        <f>S89</f>
        <v>160</v>
      </c>
      <c r="T90" s="75">
        <v>0</v>
      </c>
      <c r="U90" s="31">
        <f t="shared" si="33"/>
        <v>0.5</v>
      </c>
      <c r="V90" s="106">
        <f t="shared" si="33"/>
        <v>1.7500000000000002E-2</v>
      </c>
      <c r="W90" s="104">
        <f t="shared" si="33"/>
        <v>3.2500000000000001E-2</v>
      </c>
      <c r="X90" s="33">
        <f t="shared" si="33"/>
        <v>53200</v>
      </c>
      <c r="Y90" s="34">
        <f t="shared" si="33"/>
        <v>88600</v>
      </c>
      <c r="Z90" s="75">
        <f t="shared" si="27"/>
        <v>44300</v>
      </c>
      <c r="AA90" s="33">
        <f t="shared" si="37"/>
        <v>269500</v>
      </c>
      <c r="AB90" s="75">
        <f t="shared" si="37"/>
        <v>485500</v>
      </c>
      <c r="AC90" s="33">
        <f t="shared" si="37"/>
        <v>404000</v>
      </c>
      <c r="AD90" s="75">
        <f t="shared" si="37"/>
        <v>620000</v>
      </c>
      <c r="AE90" s="983">
        <f t="shared" si="36"/>
        <v>3.0000000000000001E-3</v>
      </c>
      <c r="AF90" s="107">
        <f t="shared" si="36"/>
        <v>250</v>
      </c>
      <c r="AG90" s="33">
        <f t="shared" si="36"/>
        <v>250</v>
      </c>
      <c r="AH90" s="104">
        <f t="shared" si="36"/>
        <v>1</v>
      </c>
      <c r="AI90" s="30">
        <f t="shared" si="36"/>
        <v>66</v>
      </c>
      <c r="AJ90" s="15">
        <f t="shared" si="36"/>
        <v>66</v>
      </c>
      <c r="AL90" s="697"/>
      <c r="AM90" s="697"/>
      <c r="AN90" s="697"/>
      <c r="AO90" s="697"/>
      <c r="AP90" s="697"/>
      <c r="AQ90" s="697"/>
    </row>
    <row r="91" spans="1:43" ht="15.75" thickBot="1" x14ac:dyDescent="0.3">
      <c r="A91" s="167">
        <v>44275</v>
      </c>
      <c r="B91" s="168">
        <v>44377</v>
      </c>
      <c r="C91" s="111">
        <f t="shared" si="23"/>
        <v>881.40000000000009</v>
      </c>
      <c r="D91" s="77">
        <f>IndexAmt(D90*26,"peCpiFp",A90,2.6,6)/26</f>
        <v>25</v>
      </c>
      <c r="E91" s="78">
        <f t="shared" si="16"/>
        <v>8.2000000000000028</v>
      </c>
      <c r="F91" s="78">
        <f>MROUND(0.6633/0.5*26*M91,2.6)/26</f>
        <v>38.700000000000003</v>
      </c>
      <c r="G91" s="79">
        <f>MROUND(0.6633*2*26*N91,2.6)/26</f>
        <v>71.900000000000006</v>
      </c>
      <c r="H91" s="111">
        <f t="shared" si="21"/>
        <v>14.1</v>
      </c>
      <c r="I91" s="111">
        <f t="shared" si="24"/>
        <v>967.40000000000009</v>
      </c>
      <c r="J91" s="111">
        <f>0.5*MAX(CEILING(0.4176*52*getEcoPar($B89,"peMTAWE"),5.2),IndexAmt(52*J90,"peCpiFp",$B89,5.2,6),IndexAmt(52*J90,"pePBLCI",$B89,5.2,6))/26</f>
        <v>664.40000000000009</v>
      </c>
      <c r="K91" s="77">
        <f>IndexAmt(26*K90,"peCpiFp",A90,2.6,6)/26</f>
        <v>20.6</v>
      </c>
      <c r="L91" s="78">
        <f t="shared" si="13"/>
        <v>4.3999999999999986</v>
      </c>
      <c r="M91" s="78">
        <f>0.5*IndexAmt(26*2*M90,"peCpiFp",B89,5.2,6)/26</f>
        <v>29.200000000000003</v>
      </c>
      <c r="N91" s="79">
        <f>0.5*IndexAmt(2*26*N90,"peCpiFp",$B89,5.2,6)/26</f>
        <v>54.2</v>
      </c>
      <c r="O91" s="111">
        <f t="shared" si="25"/>
        <v>10.6</v>
      </c>
      <c r="P91" s="111">
        <f t="shared" si="26"/>
        <v>729.20000000000016</v>
      </c>
      <c r="Q91" s="77">
        <f t="shared" si="32"/>
        <v>176</v>
      </c>
      <c r="R91" s="79">
        <v>0</v>
      </c>
      <c r="S91" s="77">
        <f>S90</f>
        <v>160</v>
      </c>
      <c r="T91" s="79">
        <v>0</v>
      </c>
      <c r="U91" s="95">
        <f t="shared" si="33"/>
        <v>0.5</v>
      </c>
      <c r="V91" s="110">
        <f t="shared" si="33"/>
        <v>1.7500000000000002E-2</v>
      </c>
      <c r="W91" s="108">
        <f t="shared" si="33"/>
        <v>3.2500000000000001E-2</v>
      </c>
      <c r="X91" s="77">
        <f t="shared" si="33"/>
        <v>53200</v>
      </c>
      <c r="Y91" s="78">
        <f t="shared" si="33"/>
        <v>88600</v>
      </c>
      <c r="Z91" s="79">
        <f t="shared" si="27"/>
        <v>44300</v>
      </c>
      <c r="AA91" s="77">
        <f t="shared" si="37"/>
        <v>269500</v>
      </c>
      <c r="AB91" s="79">
        <f t="shared" si="37"/>
        <v>485500</v>
      </c>
      <c r="AC91" s="77">
        <f t="shared" si="37"/>
        <v>404000</v>
      </c>
      <c r="AD91" s="79">
        <f t="shared" si="37"/>
        <v>620000</v>
      </c>
      <c r="AE91" s="981">
        <f t="shared" si="36"/>
        <v>3.0000000000000001E-3</v>
      </c>
      <c r="AF91" s="111">
        <f t="shared" si="36"/>
        <v>250</v>
      </c>
      <c r="AG91" s="77">
        <f t="shared" si="36"/>
        <v>250</v>
      </c>
      <c r="AH91" s="108">
        <f t="shared" si="36"/>
        <v>1</v>
      </c>
      <c r="AI91" s="91">
        <f t="shared" si="36"/>
        <v>66</v>
      </c>
      <c r="AJ91" s="81">
        <f t="shared" si="36"/>
        <v>66</v>
      </c>
      <c r="AL91" s="697"/>
      <c r="AM91" s="697"/>
      <c r="AN91" s="697"/>
      <c r="AO91" s="697"/>
      <c r="AP91" s="697"/>
      <c r="AQ91" s="697"/>
    </row>
  </sheetData>
  <customSheetViews>
    <customSheetView guid="{E49C2F27-B0B9-497E-BEC0-5B59561292FE}" scale="70">
      <pane xSplit="2" ySplit="7" topLeftCell="C373" activePane="bottomRight" state="frozen"/>
      <selection pane="bottomRight" activeCell="C415" sqref="C415"/>
      <pageMargins left="0.7" right="0.7" top="0.75" bottom="0.75" header="0.3" footer="0.3"/>
      <pageSetup paperSize="9" orientation="portrait" r:id="rId1"/>
    </customSheetView>
    <customSheetView guid="{A5953138-1481-4137-BEAD-32FA4FDF03E6}" scale="70">
      <pane xSplit="2" ySplit="7" topLeftCell="C373" activePane="bottomRight" state="frozen"/>
      <selection pane="bottomRight" activeCell="C415" sqref="C415"/>
      <pageMargins left="0.7" right="0.7" top="0.75" bottom="0.75" header="0.3" footer="0.3"/>
      <pageSetup paperSize="9" orientation="portrait" r:id="rId2"/>
    </customSheetView>
    <customSheetView guid="{2A1F94CA-1A34-4418-88FD-EABF7586C2B2}" scale="70">
      <pane xSplit="2" ySplit="7" topLeftCell="C373" activePane="bottomRight" state="frozen"/>
      <selection pane="bottomRight" activeCell="C415" sqref="C415"/>
      <pageMargins left="0.7" right="0.7" top="0.75" bottom="0.75" header="0.3" footer="0.3"/>
      <pageSetup paperSize="9" orientation="portrait" r:id="rId3"/>
    </customSheetView>
  </customSheetViews>
  <mergeCells count="48">
    <mergeCell ref="AI1:AJ5"/>
    <mergeCell ref="AA4:AB4"/>
    <mergeCell ref="AC4:AD4"/>
    <mergeCell ref="Q4:Q6"/>
    <mergeCell ref="C3:C6"/>
    <mergeCell ref="D4:D6"/>
    <mergeCell ref="E4:E6"/>
    <mergeCell ref="F4:F6"/>
    <mergeCell ref="D3:G3"/>
    <mergeCell ref="G4:G6"/>
    <mergeCell ref="H3:H6"/>
    <mergeCell ref="O3:O6"/>
    <mergeCell ref="K3:N3"/>
    <mergeCell ref="K4:K6"/>
    <mergeCell ref="Q3:R3"/>
    <mergeCell ref="X5:Z5"/>
    <mergeCell ref="A2:B3"/>
    <mergeCell ref="A4:A6"/>
    <mergeCell ref="B4:B6"/>
    <mergeCell ref="T4:T6"/>
    <mergeCell ref="V5:W5"/>
    <mergeCell ref="U3:U6"/>
    <mergeCell ref="L4:L6"/>
    <mergeCell ref="M4:M6"/>
    <mergeCell ref="N4:N6"/>
    <mergeCell ref="S4:S6"/>
    <mergeCell ref="R4:R6"/>
    <mergeCell ref="AG4:AG6"/>
    <mergeCell ref="AH4:AH6"/>
    <mergeCell ref="I3:I6"/>
    <mergeCell ref="C2:I2"/>
    <mergeCell ref="J2:P2"/>
    <mergeCell ref="J3:J6"/>
    <mergeCell ref="P3:P6"/>
    <mergeCell ref="AA2:AF2"/>
    <mergeCell ref="AA5:AA6"/>
    <mergeCell ref="AB5:AB6"/>
    <mergeCell ref="AC5:AC6"/>
    <mergeCell ref="AD5:AD6"/>
    <mergeCell ref="S3:T3"/>
    <mergeCell ref="AE3:AE6"/>
    <mergeCell ref="AF3:AF6"/>
    <mergeCell ref="V3:Z4"/>
    <mergeCell ref="AA3:AD3"/>
    <mergeCell ref="Q2:Z2"/>
    <mergeCell ref="C1:P1"/>
    <mergeCell ref="Q1:AF1"/>
    <mergeCell ref="AG1:AH3"/>
  </mergeCells>
  <pageMargins left="0.7" right="0.7" top="0.75" bottom="0.75" header="0.3" footer="0.3"/>
  <pageSetup paperSize="9" orientation="portrait" r:id="rId4"/>
  <legacyDrawing r:id="rId5"/>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codeName="Sheet20">
    <tabColor rgb="FF00B0F0"/>
  </sheetPr>
  <dimension ref="A1:AJ28"/>
  <sheetViews>
    <sheetView zoomScale="70" workbookViewId="0">
      <selection activeCell="X49" sqref="X49"/>
    </sheetView>
  </sheetViews>
  <sheetFormatPr defaultRowHeight="15" x14ac:dyDescent="0.25"/>
  <cols>
    <col min="1" max="2" width="14.28515625" style="28" customWidth="1"/>
    <col min="3" max="11" width="15.7109375" style="225" customWidth="1"/>
    <col min="12" max="12" width="15.7109375" style="226" customWidth="1"/>
    <col min="13" max="20" width="15.7109375" style="225" customWidth="1"/>
    <col min="21" max="36" width="15.7109375" style="28" customWidth="1"/>
    <col min="37" max="16384" width="9.140625" style="28"/>
  </cols>
  <sheetData>
    <row r="1" spans="1:36" ht="15.75" customHeight="1" thickBot="1" x14ac:dyDescent="0.3">
      <c r="A1" s="87"/>
      <c r="B1" s="87"/>
      <c r="C1" s="1160" t="s">
        <v>23</v>
      </c>
      <c r="D1" s="1161"/>
      <c r="E1" s="1161"/>
      <c r="F1" s="1161"/>
      <c r="G1" s="1161"/>
      <c r="H1" s="1161"/>
      <c r="I1" s="1161"/>
      <c r="J1" s="1161"/>
      <c r="K1" s="1161"/>
      <c r="L1" s="1161"/>
      <c r="M1" s="1161"/>
      <c r="N1" s="1161"/>
      <c r="O1" s="1161"/>
      <c r="P1" s="1162"/>
      <c r="Q1" s="1160" t="s">
        <v>168</v>
      </c>
      <c r="R1" s="1161"/>
      <c r="S1" s="1161"/>
      <c r="T1" s="1161"/>
      <c r="U1" s="1161"/>
      <c r="V1" s="1161"/>
      <c r="W1" s="1161"/>
      <c r="X1" s="1161"/>
      <c r="Y1" s="1161"/>
      <c r="Z1" s="1161"/>
      <c r="AA1" s="1161"/>
      <c r="AB1" s="1161"/>
      <c r="AC1" s="1161"/>
      <c r="AD1" s="1161"/>
      <c r="AE1" s="1161"/>
      <c r="AF1" s="1161"/>
      <c r="AG1" s="1164" t="s">
        <v>197</v>
      </c>
      <c r="AH1" s="1214"/>
      <c r="AI1" s="1164" t="s">
        <v>200</v>
      </c>
      <c r="AJ1" s="1165"/>
    </row>
    <row r="2" spans="1:36" ht="15.75" customHeight="1" thickBot="1" x14ac:dyDescent="0.3">
      <c r="A2" s="1164" t="s">
        <v>13</v>
      </c>
      <c r="B2" s="1165"/>
      <c r="C2" s="1198" t="s">
        <v>12</v>
      </c>
      <c r="D2" s="1198"/>
      <c r="E2" s="1198"/>
      <c r="F2" s="1198"/>
      <c r="G2" s="1198"/>
      <c r="H2" s="1198"/>
      <c r="I2" s="1198"/>
      <c r="J2" s="1198" t="s">
        <v>180</v>
      </c>
      <c r="K2" s="1198"/>
      <c r="L2" s="1198"/>
      <c r="M2" s="1198"/>
      <c r="N2" s="1198"/>
      <c r="O2" s="1198"/>
      <c r="P2" s="1198"/>
      <c r="Q2" s="1211" t="s">
        <v>26</v>
      </c>
      <c r="R2" s="1212"/>
      <c r="S2" s="1212"/>
      <c r="T2" s="1212"/>
      <c r="U2" s="1212"/>
      <c r="V2" s="1212"/>
      <c r="W2" s="1212"/>
      <c r="X2" s="1212"/>
      <c r="Y2" s="1212"/>
      <c r="Z2" s="1213"/>
      <c r="AA2" s="1211" t="s">
        <v>175</v>
      </c>
      <c r="AB2" s="1212"/>
      <c r="AC2" s="1212"/>
      <c r="AD2" s="1212"/>
      <c r="AE2" s="1212"/>
      <c r="AF2" s="1213"/>
      <c r="AG2" s="1215"/>
      <c r="AH2" s="1216"/>
      <c r="AI2" s="1215"/>
      <c r="AJ2" s="1236"/>
    </row>
    <row r="3" spans="1:36" ht="15.75" customHeight="1" thickBot="1" x14ac:dyDescent="0.3">
      <c r="A3" s="1215"/>
      <c r="B3" s="1236"/>
      <c r="C3" s="1224" t="s">
        <v>181</v>
      </c>
      <c r="D3" s="1248" t="s">
        <v>179</v>
      </c>
      <c r="E3" s="1238"/>
      <c r="F3" s="1238"/>
      <c r="G3" s="1239"/>
      <c r="H3" s="1224" t="s">
        <v>605</v>
      </c>
      <c r="I3" s="1224" t="s">
        <v>182</v>
      </c>
      <c r="J3" s="1224" t="s">
        <v>181</v>
      </c>
      <c r="K3" s="1229" t="s">
        <v>179</v>
      </c>
      <c r="L3" s="1249"/>
      <c r="M3" s="1249"/>
      <c r="N3" s="1247"/>
      <c r="O3" s="1224" t="s">
        <v>605</v>
      </c>
      <c r="P3" s="1224" t="s">
        <v>183</v>
      </c>
      <c r="Q3" s="1229" t="s">
        <v>172</v>
      </c>
      <c r="R3" s="1247"/>
      <c r="S3" s="1229" t="s">
        <v>173</v>
      </c>
      <c r="T3" s="1230"/>
      <c r="U3" s="1157" t="s">
        <v>174</v>
      </c>
      <c r="V3" s="1235" t="s">
        <v>167</v>
      </c>
      <c r="W3" s="1235"/>
      <c r="X3" s="1235"/>
      <c r="Y3" s="1235"/>
      <c r="Z3" s="1235"/>
      <c r="AA3" s="1208" t="s">
        <v>169</v>
      </c>
      <c r="AB3" s="1209"/>
      <c r="AC3" s="1209"/>
      <c r="AD3" s="1210"/>
      <c r="AE3" s="1231" t="s">
        <v>176</v>
      </c>
      <c r="AF3" s="1233" t="s">
        <v>177</v>
      </c>
      <c r="AG3" s="1166"/>
      <c r="AH3" s="1217"/>
      <c r="AI3" s="1215"/>
      <c r="AJ3" s="1236"/>
    </row>
    <row r="4" spans="1:36" ht="15" customHeight="1" thickBot="1" x14ac:dyDescent="0.3">
      <c r="A4" s="1188" t="s">
        <v>16</v>
      </c>
      <c r="B4" s="1176" t="s">
        <v>17</v>
      </c>
      <c r="C4" s="1225"/>
      <c r="D4" s="1218" t="s">
        <v>30</v>
      </c>
      <c r="E4" s="1240" t="s">
        <v>31</v>
      </c>
      <c r="F4" s="1240" t="s">
        <v>32</v>
      </c>
      <c r="G4" s="1227" t="s">
        <v>33</v>
      </c>
      <c r="H4" s="1225"/>
      <c r="I4" s="1225"/>
      <c r="J4" s="1225"/>
      <c r="K4" s="1218" t="s">
        <v>30</v>
      </c>
      <c r="L4" s="1240" t="s">
        <v>31</v>
      </c>
      <c r="M4" s="1240" t="s">
        <v>32</v>
      </c>
      <c r="N4" s="1227" t="s">
        <v>33</v>
      </c>
      <c r="O4" s="1225"/>
      <c r="P4" s="1225"/>
      <c r="Q4" s="1218" t="s">
        <v>27</v>
      </c>
      <c r="R4" s="1227" t="s">
        <v>28</v>
      </c>
      <c r="S4" s="1218" t="s">
        <v>27</v>
      </c>
      <c r="T4" s="1227" t="s">
        <v>28</v>
      </c>
      <c r="U4" s="1158"/>
      <c r="V4" s="1235"/>
      <c r="W4" s="1235"/>
      <c r="X4" s="1235"/>
      <c r="Y4" s="1235"/>
      <c r="Z4" s="1235"/>
      <c r="AA4" s="1229" t="s">
        <v>12</v>
      </c>
      <c r="AB4" s="1247"/>
      <c r="AC4" s="1229" t="s">
        <v>21</v>
      </c>
      <c r="AD4" s="1247"/>
      <c r="AE4" s="1231"/>
      <c r="AF4" s="1233"/>
      <c r="AG4" s="1218" t="s">
        <v>122</v>
      </c>
      <c r="AH4" s="1221" t="s">
        <v>178</v>
      </c>
      <c r="AI4" s="1243"/>
      <c r="AJ4" s="1244"/>
    </row>
    <row r="5" spans="1:36" ht="26.25" customHeight="1" thickBot="1" x14ac:dyDescent="0.3">
      <c r="A5" s="1188"/>
      <c r="B5" s="1176"/>
      <c r="C5" s="1225"/>
      <c r="D5" s="1219"/>
      <c r="E5" s="1241"/>
      <c r="F5" s="1241"/>
      <c r="G5" s="1237"/>
      <c r="H5" s="1225"/>
      <c r="I5" s="1225"/>
      <c r="J5" s="1225"/>
      <c r="K5" s="1219"/>
      <c r="L5" s="1241"/>
      <c r="M5" s="1241"/>
      <c r="N5" s="1237"/>
      <c r="O5" s="1225"/>
      <c r="P5" s="1225"/>
      <c r="Q5" s="1219"/>
      <c r="R5" s="1237"/>
      <c r="S5" s="1219"/>
      <c r="T5" s="1237"/>
      <c r="U5" s="1158"/>
      <c r="V5" s="1238" t="s">
        <v>67</v>
      </c>
      <c r="W5" s="1239"/>
      <c r="X5" s="1229" t="s">
        <v>169</v>
      </c>
      <c r="Y5" s="1249"/>
      <c r="Z5" s="1247"/>
      <c r="AA5" s="1218" t="s">
        <v>29</v>
      </c>
      <c r="AB5" s="1227" t="s">
        <v>34</v>
      </c>
      <c r="AC5" s="1218" t="s">
        <v>29</v>
      </c>
      <c r="AD5" s="1227" t="s">
        <v>34</v>
      </c>
      <c r="AE5" s="1231"/>
      <c r="AF5" s="1233"/>
      <c r="AG5" s="1219"/>
      <c r="AH5" s="1222"/>
      <c r="AI5" s="1245"/>
      <c r="AJ5" s="1246"/>
    </row>
    <row r="6" spans="1:36" ht="30.75" thickBot="1" x14ac:dyDescent="0.3">
      <c r="A6" s="1207"/>
      <c r="B6" s="1177"/>
      <c r="C6" s="1226"/>
      <c r="D6" s="1220"/>
      <c r="E6" s="1242"/>
      <c r="F6" s="1242"/>
      <c r="G6" s="1228"/>
      <c r="H6" s="1226"/>
      <c r="I6" s="1226"/>
      <c r="J6" s="1226"/>
      <c r="K6" s="1220"/>
      <c r="L6" s="1242"/>
      <c r="M6" s="1242"/>
      <c r="N6" s="1228"/>
      <c r="O6" s="1226"/>
      <c r="P6" s="1226"/>
      <c r="Q6" s="1220"/>
      <c r="R6" s="1228"/>
      <c r="S6" s="1220"/>
      <c r="T6" s="1228"/>
      <c r="U6" s="1159"/>
      <c r="V6" s="212" t="s">
        <v>156</v>
      </c>
      <c r="W6" s="207" t="s">
        <v>157</v>
      </c>
      <c r="X6" s="213" t="s">
        <v>12</v>
      </c>
      <c r="Y6" s="213" t="s">
        <v>171</v>
      </c>
      <c r="Z6" s="183" t="s">
        <v>170</v>
      </c>
      <c r="AA6" s="1220"/>
      <c r="AB6" s="1228"/>
      <c r="AC6" s="1220"/>
      <c r="AD6" s="1228"/>
      <c r="AE6" s="1232"/>
      <c r="AF6" s="1234"/>
      <c r="AG6" s="1220"/>
      <c r="AH6" s="1223"/>
      <c r="AI6" s="378" t="s">
        <v>199</v>
      </c>
      <c r="AJ6" s="379" t="s">
        <v>198</v>
      </c>
    </row>
    <row r="7" spans="1:36" ht="15.75" thickBot="1" x14ac:dyDescent="0.3">
      <c r="A7" s="713" t="s">
        <v>550</v>
      </c>
      <c r="B7" s="714" t="s">
        <v>551</v>
      </c>
      <c r="C7" s="216" t="s">
        <v>367</v>
      </c>
      <c r="D7" s="217" t="s">
        <v>368</v>
      </c>
      <c r="E7" s="218" t="s">
        <v>369</v>
      </c>
      <c r="F7" s="218" t="s">
        <v>370</v>
      </c>
      <c r="G7" s="219" t="s">
        <v>371</v>
      </c>
      <c r="H7" s="216" t="s">
        <v>612</v>
      </c>
      <c r="I7" s="216" t="s">
        <v>372</v>
      </c>
      <c r="J7" s="216" t="s">
        <v>373</v>
      </c>
      <c r="K7" s="217" t="s">
        <v>374</v>
      </c>
      <c r="L7" s="216" t="s">
        <v>375</v>
      </c>
      <c r="M7" s="218" t="s">
        <v>376</v>
      </c>
      <c r="N7" s="219" t="s">
        <v>377</v>
      </c>
      <c r="O7" s="216" t="s">
        <v>611</v>
      </c>
      <c r="P7" s="216" t="s">
        <v>378</v>
      </c>
      <c r="Q7" s="220" t="s">
        <v>379</v>
      </c>
      <c r="R7" s="221" t="s">
        <v>380</v>
      </c>
      <c r="S7" s="220" t="s">
        <v>381</v>
      </c>
      <c r="T7" s="221" t="s">
        <v>382</v>
      </c>
      <c r="U7" s="82" t="s">
        <v>383</v>
      </c>
      <c r="V7" s="208" t="s">
        <v>885</v>
      </c>
      <c r="W7" s="186" t="s">
        <v>886</v>
      </c>
      <c r="X7" s="55" t="s">
        <v>887</v>
      </c>
      <c r="Y7" s="185" t="s">
        <v>888</v>
      </c>
      <c r="Z7" s="56" t="s">
        <v>889</v>
      </c>
      <c r="AA7" s="55" t="s">
        <v>879</v>
      </c>
      <c r="AB7" s="56" t="s">
        <v>880</v>
      </c>
      <c r="AC7" s="55" t="s">
        <v>881</v>
      </c>
      <c r="AD7" s="56" t="s">
        <v>882</v>
      </c>
      <c r="AE7" s="83" t="s">
        <v>883</v>
      </c>
      <c r="AF7" s="56" t="s">
        <v>884</v>
      </c>
      <c r="AG7" s="55" t="s">
        <v>384</v>
      </c>
      <c r="AH7" s="186" t="s">
        <v>767</v>
      </c>
      <c r="AI7" s="83" t="s">
        <v>385</v>
      </c>
      <c r="AJ7" s="84" t="s">
        <v>386</v>
      </c>
    </row>
    <row r="8" spans="1:36" x14ac:dyDescent="0.25">
      <c r="A8" s="161">
        <v>36708</v>
      </c>
      <c r="B8" s="162">
        <v>37072</v>
      </c>
      <c r="C8" s="92">
        <f t="shared" ref="C8:L17" si="0">AnnualAverage($A8,C$7,PensionsParms,PensionsDates,PensionsNames)</f>
        <v>379.35384615384612</v>
      </c>
      <c r="D8" s="18">
        <f t="shared" si="0"/>
        <v>15.211538461538462</v>
      </c>
      <c r="E8" s="20">
        <f t="shared" si="0"/>
        <v>0</v>
      </c>
      <c r="F8" s="20">
        <f t="shared" si="0"/>
        <v>0</v>
      </c>
      <c r="G8" s="60">
        <f t="shared" si="0"/>
        <v>15.211538461538462</v>
      </c>
      <c r="H8" s="92">
        <f t="shared" si="0"/>
        <v>0</v>
      </c>
      <c r="I8" s="92">
        <f t="shared" si="0"/>
        <v>394.56538461538463</v>
      </c>
      <c r="J8" s="92">
        <f t="shared" si="0"/>
        <v>316.68461538461537</v>
      </c>
      <c r="K8" s="18">
        <f t="shared" si="0"/>
        <v>12.607692307692307</v>
      </c>
      <c r="L8" s="20">
        <f t="shared" si="0"/>
        <v>0</v>
      </c>
      <c r="M8" s="20">
        <f t="shared" ref="M8:V17" si="1">AnnualAverage($A8,M$7,PensionsParms,PensionsDates,PensionsNames)</f>
        <v>0</v>
      </c>
      <c r="N8" s="60">
        <f t="shared" si="1"/>
        <v>12.607692307692307</v>
      </c>
      <c r="O8" s="18">
        <f t="shared" si="1"/>
        <v>0</v>
      </c>
      <c r="P8" s="18">
        <f t="shared" si="1"/>
        <v>329.2923076923077</v>
      </c>
      <c r="Q8" s="18">
        <f t="shared" si="1"/>
        <v>106</v>
      </c>
      <c r="R8" s="60">
        <f t="shared" si="1"/>
        <v>24.6</v>
      </c>
      <c r="S8" s="18">
        <f t="shared" si="1"/>
        <v>94</v>
      </c>
      <c r="T8" s="60">
        <f t="shared" si="1"/>
        <v>12.3</v>
      </c>
      <c r="U8" s="100">
        <f t="shared" si="1"/>
        <v>0.4</v>
      </c>
      <c r="V8" s="58">
        <f t="shared" si="1"/>
        <v>3.5000000000000003E-2</v>
      </c>
      <c r="W8" s="57">
        <f t="shared" ref="W8:AJ17" si="2">AnnualAverage($A8,W$7,PensionsParms,PensionsDates,PensionsNames)</f>
        <v>5.5E-2</v>
      </c>
      <c r="X8" s="18">
        <f t="shared" si="2"/>
        <v>31600</v>
      </c>
      <c r="Y8" s="20">
        <f t="shared" si="2"/>
        <v>52600</v>
      </c>
      <c r="Z8" s="60">
        <f t="shared" si="2"/>
        <v>26300</v>
      </c>
      <c r="AA8" s="18">
        <f t="shared" si="2"/>
        <v>133250</v>
      </c>
      <c r="AB8" s="60">
        <f t="shared" si="2"/>
        <v>228750</v>
      </c>
      <c r="AC8" s="18">
        <f t="shared" si="2"/>
        <v>189500</v>
      </c>
      <c r="AD8" s="60">
        <f t="shared" si="2"/>
        <v>285000</v>
      </c>
      <c r="AE8" s="222">
        <f t="shared" si="2"/>
        <v>3.0000000000000001E-3</v>
      </c>
      <c r="AF8" s="60">
        <f t="shared" si="2"/>
        <v>250</v>
      </c>
      <c r="AG8" s="18">
        <f t="shared" si="2"/>
        <v>0</v>
      </c>
      <c r="AH8" s="57">
        <f t="shared" si="2"/>
        <v>0</v>
      </c>
      <c r="AI8" s="3">
        <f t="shared" si="2"/>
        <v>65</v>
      </c>
      <c r="AJ8" s="4">
        <f t="shared" si="2"/>
        <v>61.5</v>
      </c>
    </row>
    <row r="9" spans="1:36" x14ac:dyDescent="0.25">
      <c r="A9" s="163">
        <v>37073</v>
      </c>
      <c r="B9" s="164">
        <v>37437</v>
      </c>
      <c r="C9" s="93">
        <f t="shared" si="0"/>
        <v>395.79615384615386</v>
      </c>
      <c r="D9" s="17">
        <f t="shared" si="0"/>
        <v>15.784615384615385</v>
      </c>
      <c r="E9" s="19">
        <f t="shared" si="0"/>
        <v>0</v>
      </c>
      <c r="F9" s="19">
        <f t="shared" si="0"/>
        <v>0</v>
      </c>
      <c r="G9" s="35">
        <f t="shared" si="0"/>
        <v>15.784615384615385</v>
      </c>
      <c r="H9" s="93">
        <f t="shared" si="0"/>
        <v>0</v>
      </c>
      <c r="I9" s="93">
        <f t="shared" si="0"/>
        <v>411.58076923076925</v>
      </c>
      <c r="J9" s="93">
        <f t="shared" si="0"/>
        <v>330.51153846153846</v>
      </c>
      <c r="K9" s="17">
        <f t="shared" si="0"/>
        <v>13.007692307692308</v>
      </c>
      <c r="L9" s="19">
        <f t="shared" si="0"/>
        <v>0</v>
      </c>
      <c r="M9" s="19">
        <f t="shared" si="1"/>
        <v>0</v>
      </c>
      <c r="N9" s="35">
        <f t="shared" si="1"/>
        <v>13.007692307692308</v>
      </c>
      <c r="O9" s="17">
        <f t="shared" si="1"/>
        <v>0</v>
      </c>
      <c r="P9" s="17">
        <f t="shared" si="1"/>
        <v>343.51923076923077</v>
      </c>
      <c r="Q9" s="17">
        <f t="shared" si="1"/>
        <v>112</v>
      </c>
      <c r="R9" s="35">
        <f t="shared" si="1"/>
        <v>24.6</v>
      </c>
      <c r="S9" s="17">
        <f t="shared" si="1"/>
        <v>100</v>
      </c>
      <c r="T9" s="35">
        <f t="shared" si="1"/>
        <v>12.3</v>
      </c>
      <c r="U9" s="102">
        <f t="shared" si="1"/>
        <v>0.4</v>
      </c>
      <c r="V9" s="62">
        <f t="shared" si="1"/>
        <v>2.8653846153846155E-2</v>
      </c>
      <c r="W9" s="61">
        <f t="shared" si="2"/>
        <v>4.3653846153846154E-2</v>
      </c>
      <c r="X9" s="17">
        <f t="shared" si="2"/>
        <v>33400</v>
      </c>
      <c r="Y9" s="19">
        <f t="shared" si="2"/>
        <v>55800</v>
      </c>
      <c r="Z9" s="35">
        <f t="shared" si="2"/>
        <v>27900</v>
      </c>
      <c r="AA9" s="17">
        <f t="shared" si="2"/>
        <v>141000</v>
      </c>
      <c r="AB9" s="35">
        <f t="shared" si="2"/>
        <v>242000</v>
      </c>
      <c r="AC9" s="17">
        <f t="shared" si="2"/>
        <v>200500</v>
      </c>
      <c r="AD9" s="35">
        <f t="shared" si="2"/>
        <v>301500</v>
      </c>
      <c r="AE9" s="223">
        <f t="shared" si="2"/>
        <v>3.0000000000000001E-3</v>
      </c>
      <c r="AF9" s="35">
        <f t="shared" si="2"/>
        <v>250</v>
      </c>
      <c r="AG9" s="17">
        <f t="shared" si="2"/>
        <v>0</v>
      </c>
      <c r="AH9" s="61">
        <f t="shared" si="2"/>
        <v>0</v>
      </c>
      <c r="AI9" s="2">
        <f t="shared" si="2"/>
        <v>65</v>
      </c>
      <c r="AJ9" s="1">
        <f t="shared" si="2"/>
        <v>62</v>
      </c>
    </row>
    <row r="10" spans="1:36" x14ac:dyDescent="0.25">
      <c r="A10" s="163">
        <v>37438</v>
      </c>
      <c r="B10" s="164">
        <v>37802</v>
      </c>
      <c r="C10" s="93">
        <f t="shared" si="0"/>
        <v>414.29615384615386</v>
      </c>
      <c r="D10" s="17">
        <f t="shared" si="0"/>
        <v>16.284615384615385</v>
      </c>
      <c r="E10" s="19">
        <f t="shared" si="0"/>
        <v>0</v>
      </c>
      <c r="F10" s="19">
        <f t="shared" si="0"/>
        <v>0</v>
      </c>
      <c r="G10" s="35">
        <f t="shared" si="0"/>
        <v>16.284615384615385</v>
      </c>
      <c r="H10" s="93">
        <f t="shared" si="0"/>
        <v>0</v>
      </c>
      <c r="I10" s="93">
        <f t="shared" si="0"/>
        <v>430.58076923076925</v>
      </c>
      <c r="J10" s="93">
        <f t="shared" si="0"/>
        <v>345.98846153846154</v>
      </c>
      <c r="K10" s="17">
        <f t="shared" si="0"/>
        <v>13.407692307692308</v>
      </c>
      <c r="L10" s="19">
        <f t="shared" si="0"/>
        <v>0</v>
      </c>
      <c r="M10" s="19">
        <f t="shared" si="1"/>
        <v>0</v>
      </c>
      <c r="N10" s="35">
        <f t="shared" si="1"/>
        <v>13.407692307692308</v>
      </c>
      <c r="O10" s="17">
        <f t="shared" si="1"/>
        <v>0</v>
      </c>
      <c r="P10" s="17">
        <f t="shared" si="1"/>
        <v>359.39615384615382</v>
      </c>
      <c r="Q10" s="17">
        <f t="shared" si="1"/>
        <v>116</v>
      </c>
      <c r="R10" s="35">
        <f t="shared" si="1"/>
        <v>24.6</v>
      </c>
      <c r="S10" s="17">
        <f t="shared" si="1"/>
        <v>102</v>
      </c>
      <c r="T10" s="35">
        <f t="shared" si="1"/>
        <v>12.3</v>
      </c>
      <c r="U10" s="102">
        <f t="shared" si="1"/>
        <v>0.4</v>
      </c>
      <c r="V10" s="62">
        <f t="shared" si="1"/>
        <v>2.5000000000000001E-2</v>
      </c>
      <c r="W10" s="61">
        <f t="shared" si="2"/>
        <v>0.04</v>
      </c>
      <c r="X10" s="17">
        <f t="shared" si="2"/>
        <v>34400</v>
      </c>
      <c r="Y10" s="19">
        <f t="shared" si="2"/>
        <v>57400</v>
      </c>
      <c r="Z10" s="35">
        <f t="shared" si="2"/>
        <v>28700</v>
      </c>
      <c r="AA10" s="17">
        <f t="shared" si="2"/>
        <v>145250</v>
      </c>
      <c r="AB10" s="35">
        <f t="shared" si="2"/>
        <v>249750</v>
      </c>
      <c r="AC10" s="17">
        <f t="shared" si="2"/>
        <v>206500</v>
      </c>
      <c r="AD10" s="35">
        <f t="shared" si="2"/>
        <v>311000</v>
      </c>
      <c r="AE10" s="223">
        <f t="shared" si="2"/>
        <v>3.0000000000000001E-3</v>
      </c>
      <c r="AF10" s="35">
        <f t="shared" si="2"/>
        <v>250</v>
      </c>
      <c r="AG10" s="17">
        <f t="shared" si="2"/>
        <v>0</v>
      </c>
      <c r="AH10" s="61">
        <f t="shared" si="2"/>
        <v>0</v>
      </c>
      <c r="AI10" s="2">
        <f t="shared" si="2"/>
        <v>65</v>
      </c>
      <c r="AJ10" s="1">
        <f t="shared" si="2"/>
        <v>62</v>
      </c>
    </row>
    <row r="11" spans="1:36" x14ac:dyDescent="0.25">
      <c r="A11" s="163">
        <v>37803</v>
      </c>
      <c r="B11" s="164">
        <v>38168</v>
      </c>
      <c r="C11" s="93">
        <f t="shared" si="0"/>
        <v>436.27692307692308</v>
      </c>
      <c r="D11" s="17">
        <f t="shared" si="0"/>
        <v>16.707692307692305</v>
      </c>
      <c r="E11" s="19">
        <f t="shared" si="0"/>
        <v>0</v>
      </c>
      <c r="F11" s="19">
        <f t="shared" si="0"/>
        <v>0</v>
      </c>
      <c r="G11" s="35">
        <f t="shared" si="0"/>
        <v>16.707692307692305</v>
      </c>
      <c r="H11" s="93">
        <f t="shared" si="0"/>
        <v>0</v>
      </c>
      <c r="I11" s="93">
        <f t="shared" si="0"/>
        <v>452.98461538461538</v>
      </c>
      <c r="J11" s="93">
        <f t="shared" si="0"/>
        <v>364.35384615384612</v>
      </c>
      <c r="K11" s="17">
        <f t="shared" si="0"/>
        <v>13.807692307692308</v>
      </c>
      <c r="L11" s="19">
        <f t="shared" si="0"/>
        <v>0</v>
      </c>
      <c r="M11" s="19">
        <f t="shared" si="1"/>
        <v>0</v>
      </c>
      <c r="N11" s="35">
        <f t="shared" si="1"/>
        <v>13.807692307692308</v>
      </c>
      <c r="O11" s="17">
        <f t="shared" si="1"/>
        <v>0</v>
      </c>
      <c r="P11" s="17">
        <f t="shared" si="1"/>
        <v>378.16153846153844</v>
      </c>
      <c r="Q11" s="17">
        <f t="shared" si="1"/>
        <v>120</v>
      </c>
      <c r="R11" s="35">
        <f t="shared" si="1"/>
        <v>24.6</v>
      </c>
      <c r="S11" s="17">
        <f t="shared" si="1"/>
        <v>106</v>
      </c>
      <c r="T11" s="35">
        <f t="shared" si="1"/>
        <v>12.3</v>
      </c>
      <c r="U11" s="102">
        <f t="shared" si="1"/>
        <v>0.4</v>
      </c>
      <c r="V11" s="62">
        <f t="shared" si="1"/>
        <v>2.6346153846153846E-2</v>
      </c>
      <c r="W11" s="61">
        <f t="shared" si="2"/>
        <v>4.2692307692307696E-2</v>
      </c>
      <c r="X11" s="17">
        <f t="shared" si="2"/>
        <v>35600</v>
      </c>
      <c r="Y11" s="19">
        <f t="shared" si="2"/>
        <v>59400</v>
      </c>
      <c r="Z11" s="35">
        <f t="shared" si="2"/>
        <v>29700</v>
      </c>
      <c r="AA11" s="17">
        <f t="shared" si="2"/>
        <v>149500</v>
      </c>
      <c r="AB11" s="35">
        <f t="shared" si="2"/>
        <v>257500</v>
      </c>
      <c r="AC11" s="17">
        <f t="shared" si="2"/>
        <v>212500</v>
      </c>
      <c r="AD11" s="35">
        <f t="shared" si="2"/>
        <v>320500</v>
      </c>
      <c r="AE11" s="223">
        <f t="shared" si="2"/>
        <v>3.0000000000000001E-3</v>
      </c>
      <c r="AF11" s="35">
        <f t="shared" si="2"/>
        <v>250</v>
      </c>
      <c r="AG11" s="17">
        <f t="shared" si="2"/>
        <v>0</v>
      </c>
      <c r="AH11" s="61">
        <f t="shared" si="2"/>
        <v>0</v>
      </c>
      <c r="AI11" s="2">
        <f t="shared" si="2"/>
        <v>65</v>
      </c>
      <c r="AJ11" s="1">
        <f t="shared" si="2"/>
        <v>62.5</v>
      </c>
    </row>
    <row r="12" spans="1:36" x14ac:dyDescent="0.25">
      <c r="A12" s="163">
        <v>38169</v>
      </c>
      <c r="B12" s="164">
        <v>38533</v>
      </c>
      <c r="C12" s="93">
        <f t="shared" si="0"/>
        <v>453.8</v>
      </c>
      <c r="D12" s="17">
        <f t="shared" si="0"/>
        <v>17.114814814814814</v>
      </c>
      <c r="E12" s="19">
        <f t="shared" si="0"/>
        <v>0</v>
      </c>
      <c r="F12" s="19">
        <f t="shared" si="0"/>
        <v>0</v>
      </c>
      <c r="G12" s="35">
        <f t="shared" si="0"/>
        <v>17.114814814814814</v>
      </c>
      <c r="H12" s="93">
        <f t="shared" si="0"/>
        <v>0</v>
      </c>
      <c r="I12" s="93">
        <f t="shared" si="0"/>
        <v>470.9148148148148</v>
      </c>
      <c r="J12" s="93">
        <f t="shared" si="0"/>
        <v>378.97777777777782</v>
      </c>
      <c r="K12" s="17">
        <f t="shared" si="0"/>
        <v>14.214814814814815</v>
      </c>
      <c r="L12" s="19">
        <f t="shared" si="0"/>
        <v>0</v>
      </c>
      <c r="M12" s="19">
        <f t="shared" si="1"/>
        <v>0</v>
      </c>
      <c r="N12" s="35">
        <f t="shared" si="1"/>
        <v>14.214814814814815</v>
      </c>
      <c r="O12" s="17">
        <f t="shared" si="1"/>
        <v>0</v>
      </c>
      <c r="P12" s="17">
        <f t="shared" si="1"/>
        <v>393.19259259259258</v>
      </c>
      <c r="Q12" s="17">
        <f t="shared" si="1"/>
        <v>122</v>
      </c>
      <c r="R12" s="35">
        <f t="shared" si="1"/>
        <v>24.6</v>
      </c>
      <c r="S12" s="17">
        <f t="shared" si="1"/>
        <v>108</v>
      </c>
      <c r="T12" s="35">
        <f t="shared" si="1"/>
        <v>12.3</v>
      </c>
      <c r="U12" s="102">
        <f t="shared" si="1"/>
        <v>0.4</v>
      </c>
      <c r="V12" s="62">
        <f t="shared" si="1"/>
        <v>0.03</v>
      </c>
      <c r="W12" s="61">
        <f t="shared" si="2"/>
        <v>0.05</v>
      </c>
      <c r="X12" s="17">
        <f t="shared" si="2"/>
        <v>36400</v>
      </c>
      <c r="Y12" s="19">
        <f t="shared" si="2"/>
        <v>60600</v>
      </c>
      <c r="Z12" s="35">
        <f t="shared" si="2"/>
        <v>30300</v>
      </c>
      <c r="AA12" s="17">
        <f t="shared" si="2"/>
        <v>153000</v>
      </c>
      <c r="AB12" s="35">
        <f t="shared" si="2"/>
        <v>263500</v>
      </c>
      <c r="AC12" s="17">
        <f t="shared" si="2"/>
        <v>217500</v>
      </c>
      <c r="AD12" s="35">
        <f t="shared" si="2"/>
        <v>328000</v>
      </c>
      <c r="AE12" s="223">
        <f t="shared" si="2"/>
        <v>3.0000000000000001E-3</v>
      </c>
      <c r="AF12" s="35">
        <f t="shared" si="2"/>
        <v>250</v>
      </c>
      <c r="AG12" s="17">
        <f t="shared" si="2"/>
        <v>0</v>
      </c>
      <c r="AH12" s="61">
        <f t="shared" si="2"/>
        <v>0</v>
      </c>
      <c r="AI12" s="2">
        <f t="shared" si="2"/>
        <v>65</v>
      </c>
      <c r="AJ12" s="1">
        <f t="shared" si="2"/>
        <v>62.5</v>
      </c>
    </row>
    <row r="13" spans="1:36" x14ac:dyDescent="0.25">
      <c r="A13" s="163">
        <v>38534</v>
      </c>
      <c r="B13" s="164">
        <v>38898</v>
      </c>
      <c r="C13" s="93">
        <f t="shared" si="0"/>
        <v>472.24615384615385</v>
      </c>
      <c r="D13" s="17">
        <f t="shared" si="0"/>
        <v>17.553846153846155</v>
      </c>
      <c r="E13" s="19">
        <f t="shared" si="0"/>
        <v>0</v>
      </c>
      <c r="F13" s="19">
        <f t="shared" si="0"/>
        <v>0</v>
      </c>
      <c r="G13" s="35">
        <f t="shared" si="0"/>
        <v>17.553846153846155</v>
      </c>
      <c r="H13" s="93">
        <f t="shared" si="0"/>
        <v>0</v>
      </c>
      <c r="I13" s="93">
        <f t="shared" si="0"/>
        <v>489.8</v>
      </c>
      <c r="J13" s="93">
        <f t="shared" si="0"/>
        <v>394.32692307692309</v>
      </c>
      <c r="K13" s="17">
        <f t="shared" si="0"/>
        <v>14.623076923076923</v>
      </c>
      <c r="L13" s="19">
        <f t="shared" si="0"/>
        <v>0</v>
      </c>
      <c r="M13" s="19">
        <f t="shared" si="1"/>
        <v>0</v>
      </c>
      <c r="N13" s="35">
        <f t="shared" si="1"/>
        <v>14.623076923076923</v>
      </c>
      <c r="O13" s="17">
        <f t="shared" si="1"/>
        <v>0</v>
      </c>
      <c r="P13" s="17">
        <f t="shared" si="1"/>
        <v>408.95</v>
      </c>
      <c r="Q13" s="17">
        <f t="shared" si="1"/>
        <v>124</v>
      </c>
      <c r="R13" s="35">
        <f t="shared" si="1"/>
        <v>24.6</v>
      </c>
      <c r="S13" s="17">
        <f t="shared" si="1"/>
        <v>110</v>
      </c>
      <c r="T13" s="35">
        <f t="shared" si="1"/>
        <v>12.3</v>
      </c>
      <c r="U13" s="102">
        <f t="shared" si="1"/>
        <v>0.4</v>
      </c>
      <c r="V13" s="62">
        <f t="shared" si="1"/>
        <v>0.03</v>
      </c>
      <c r="W13" s="61">
        <f t="shared" si="2"/>
        <v>0.05</v>
      </c>
      <c r="X13" s="17">
        <f t="shared" si="2"/>
        <v>37200</v>
      </c>
      <c r="Y13" s="19">
        <f t="shared" si="2"/>
        <v>62000</v>
      </c>
      <c r="Z13" s="35">
        <f t="shared" si="2"/>
        <v>31000</v>
      </c>
      <c r="AA13" s="17">
        <f t="shared" si="2"/>
        <v>157000</v>
      </c>
      <c r="AB13" s="35">
        <f t="shared" si="2"/>
        <v>270500</v>
      </c>
      <c r="AC13" s="17">
        <f t="shared" si="2"/>
        <v>223000</v>
      </c>
      <c r="AD13" s="35">
        <f t="shared" si="2"/>
        <v>336500</v>
      </c>
      <c r="AE13" s="223">
        <f t="shared" si="2"/>
        <v>3.0000000000000001E-3</v>
      </c>
      <c r="AF13" s="35">
        <f t="shared" si="2"/>
        <v>250</v>
      </c>
      <c r="AG13" s="17">
        <f t="shared" si="2"/>
        <v>0</v>
      </c>
      <c r="AH13" s="61">
        <f t="shared" si="2"/>
        <v>0</v>
      </c>
      <c r="AI13" s="2">
        <f t="shared" si="2"/>
        <v>65</v>
      </c>
      <c r="AJ13" s="1">
        <f t="shared" si="2"/>
        <v>63</v>
      </c>
    </row>
    <row r="14" spans="1:36" x14ac:dyDescent="0.25">
      <c r="A14" s="163">
        <v>38899</v>
      </c>
      <c r="B14" s="164">
        <v>39263</v>
      </c>
      <c r="C14" s="93">
        <f t="shared" si="0"/>
        <v>495.56153846153848</v>
      </c>
      <c r="D14" s="17">
        <f t="shared" si="0"/>
        <v>18.153846153846153</v>
      </c>
      <c r="E14" s="19">
        <f t="shared" si="0"/>
        <v>0</v>
      </c>
      <c r="F14" s="19">
        <f t="shared" si="0"/>
        <v>0</v>
      </c>
      <c r="G14" s="35">
        <f t="shared" si="0"/>
        <v>18.153846153846153</v>
      </c>
      <c r="H14" s="93">
        <f t="shared" si="0"/>
        <v>0</v>
      </c>
      <c r="I14" s="93">
        <f t="shared" si="0"/>
        <v>513.71538461538466</v>
      </c>
      <c r="J14" s="93">
        <f t="shared" si="0"/>
        <v>413.84999999999997</v>
      </c>
      <c r="K14" s="17">
        <f t="shared" si="0"/>
        <v>15.153846153846153</v>
      </c>
      <c r="L14" s="19">
        <f t="shared" si="0"/>
        <v>0</v>
      </c>
      <c r="M14" s="19">
        <f t="shared" si="1"/>
        <v>0</v>
      </c>
      <c r="N14" s="35">
        <f t="shared" si="1"/>
        <v>15.153846153846153</v>
      </c>
      <c r="O14" s="17">
        <f t="shared" si="1"/>
        <v>0</v>
      </c>
      <c r="P14" s="17">
        <f t="shared" si="1"/>
        <v>429.00384615384615</v>
      </c>
      <c r="Q14" s="17">
        <f t="shared" si="1"/>
        <v>128</v>
      </c>
      <c r="R14" s="35">
        <f t="shared" si="1"/>
        <v>24.6</v>
      </c>
      <c r="S14" s="17">
        <f t="shared" si="1"/>
        <v>114</v>
      </c>
      <c r="T14" s="35">
        <f t="shared" si="1"/>
        <v>12.3</v>
      </c>
      <c r="U14" s="102">
        <f t="shared" si="1"/>
        <v>0.4</v>
      </c>
      <c r="V14" s="62">
        <f t="shared" si="1"/>
        <v>3.1538461538461536E-2</v>
      </c>
      <c r="W14" s="61">
        <f t="shared" si="2"/>
        <v>5.153846153846154E-2</v>
      </c>
      <c r="X14" s="17">
        <f t="shared" si="2"/>
        <v>38400</v>
      </c>
      <c r="Y14" s="19">
        <f t="shared" si="2"/>
        <v>63800</v>
      </c>
      <c r="Z14" s="35">
        <f t="shared" si="2"/>
        <v>31900</v>
      </c>
      <c r="AA14" s="17">
        <f t="shared" si="2"/>
        <v>161500</v>
      </c>
      <c r="AB14" s="35">
        <f t="shared" si="2"/>
        <v>278500</v>
      </c>
      <c r="AC14" s="17">
        <f t="shared" si="2"/>
        <v>229000</v>
      </c>
      <c r="AD14" s="35">
        <f t="shared" si="2"/>
        <v>346000</v>
      </c>
      <c r="AE14" s="223">
        <f t="shared" si="2"/>
        <v>3.0000000000000001E-3</v>
      </c>
      <c r="AF14" s="35">
        <f t="shared" si="2"/>
        <v>250</v>
      </c>
      <c r="AG14" s="17">
        <f t="shared" si="2"/>
        <v>0</v>
      </c>
      <c r="AH14" s="61">
        <f t="shared" si="2"/>
        <v>0</v>
      </c>
      <c r="AI14" s="2">
        <f t="shared" si="2"/>
        <v>65</v>
      </c>
      <c r="AJ14" s="1">
        <f t="shared" si="2"/>
        <v>63</v>
      </c>
    </row>
    <row r="15" spans="1:36" x14ac:dyDescent="0.25">
      <c r="A15" s="163">
        <v>39264</v>
      </c>
      <c r="B15" s="164">
        <v>39629</v>
      </c>
      <c r="C15" s="93">
        <f t="shared" si="0"/>
        <v>519.52307692307693</v>
      </c>
      <c r="D15" s="17">
        <f t="shared" si="0"/>
        <v>18.553846153846155</v>
      </c>
      <c r="E15" s="19">
        <f t="shared" si="0"/>
        <v>0</v>
      </c>
      <c r="F15" s="19">
        <f t="shared" si="0"/>
        <v>0</v>
      </c>
      <c r="G15" s="35">
        <f t="shared" si="0"/>
        <v>18.553846153846155</v>
      </c>
      <c r="H15" s="93">
        <f t="shared" si="0"/>
        <v>0</v>
      </c>
      <c r="I15" s="93">
        <f t="shared" si="0"/>
        <v>538.07692307692309</v>
      </c>
      <c r="J15" s="93">
        <f t="shared" si="0"/>
        <v>433.87692307692311</v>
      </c>
      <c r="K15" s="17">
        <f t="shared" si="0"/>
        <v>15.553846153846154</v>
      </c>
      <c r="L15" s="19">
        <f t="shared" si="0"/>
        <v>0</v>
      </c>
      <c r="M15" s="19">
        <f t="shared" si="1"/>
        <v>0</v>
      </c>
      <c r="N15" s="35">
        <f t="shared" si="1"/>
        <v>15.553846153846154</v>
      </c>
      <c r="O15" s="17">
        <f t="shared" si="1"/>
        <v>0</v>
      </c>
      <c r="P15" s="17">
        <f t="shared" si="1"/>
        <v>449.43076923076927</v>
      </c>
      <c r="Q15" s="17">
        <f t="shared" si="1"/>
        <v>132</v>
      </c>
      <c r="R15" s="35">
        <f t="shared" si="1"/>
        <v>24.6</v>
      </c>
      <c r="S15" s="17">
        <f t="shared" si="1"/>
        <v>116</v>
      </c>
      <c r="T15" s="35">
        <f t="shared" si="1"/>
        <v>12.3</v>
      </c>
      <c r="U15" s="102">
        <f t="shared" si="1"/>
        <v>0.4</v>
      </c>
      <c r="V15" s="62">
        <f t="shared" si="1"/>
        <v>3.653846153846154E-2</v>
      </c>
      <c r="W15" s="61">
        <f t="shared" si="2"/>
        <v>5.6538461538461537E-2</v>
      </c>
      <c r="X15" s="17">
        <f t="shared" si="2"/>
        <v>39400</v>
      </c>
      <c r="Y15" s="19">
        <f t="shared" si="2"/>
        <v>65400</v>
      </c>
      <c r="Z15" s="35">
        <f t="shared" si="2"/>
        <v>32700</v>
      </c>
      <c r="AA15" s="17">
        <f t="shared" si="2"/>
        <v>166750</v>
      </c>
      <c r="AB15" s="35">
        <f t="shared" si="2"/>
        <v>287750</v>
      </c>
      <c r="AC15" s="17">
        <f t="shared" si="2"/>
        <v>236500</v>
      </c>
      <c r="AD15" s="35">
        <f t="shared" si="2"/>
        <v>357500</v>
      </c>
      <c r="AE15" s="223">
        <f t="shared" si="2"/>
        <v>1.7884615384615385E-3</v>
      </c>
      <c r="AF15" s="35">
        <f t="shared" si="2"/>
        <v>250</v>
      </c>
      <c r="AG15" s="17">
        <f t="shared" si="2"/>
        <v>0</v>
      </c>
      <c r="AH15" s="61">
        <f t="shared" si="2"/>
        <v>0</v>
      </c>
      <c r="AI15" s="2">
        <f t="shared" si="2"/>
        <v>65</v>
      </c>
      <c r="AJ15" s="1">
        <f t="shared" si="2"/>
        <v>63.5</v>
      </c>
    </row>
    <row r="16" spans="1:36" x14ac:dyDescent="0.25">
      <c r="A16" s="163">
        <v>39630</v>
      </c>
      <c r="B16" s="164">
        <v>39994</v>
      </c>
      <c r="C16" s="93">
        <f t="shared" si="0"/>
        <v>541.40384615384608</v>
      </c>
      <c r="D16" s="17">
        <f t="shared" si="0"/>
        <v>19.238461538461539</v>
      </c>
      <c r="E16" s="19">
        <f t="shared" si="0"/>
        <v>0</v>
      </c>
      <c r="F16" s="19">
        <f t="shared" si="0"/>
        <v>0</v>
      </c>
      <c r="G16" s="35">
        <f t="shared" si="0"/>
        <v>19.238461538461539</v>
      </c>
      <c r="H16" s="93">
        <f t="shared" si="0"/>
        <v>0</v>
      </c>
      <c r="I16" s="93">
        <f t="shared" si="0"/>
        <v>560.64230769230767</v>
      </c>
      <c r="J16" s="93">
        <f t="shared" si="0"/>
        <v>452.15769230769234</v>
      </c>
      <c r="K16" s="17">
        <f t="shared" si="0"/>
        <v>16.134615384615383</v>
      </c>
      <c r="L16" s="19">
        <f t="shared" si="0"/>
        <v>0</v>
      </c>
      <c r="M16" s="19">
        <f t="shared" si="1"/>
        <v>0</v>
      </c>
      <c r="N16" s="35">
        <f t="shared" si="1"/>
        <v>16.134615384615383</v>
      </c>
      <c r="O16" s="17">
        <f t="shared" si="1"/>
        <v>0</v>
      </c>
      <c r="P16" s="17">
        <f t="shared" si="1"/>
        <v>468.2923076923077</v>
      </c>
      <c r="Q16" s="17">
        <f t="shared" si="1"/>
        <v>138</v>
      </c>
      <c r="R16" s="35">
        <f t="shared" si="1"/>
        <v>24.6</v>
      </c>
      <c r="S16" s="17">
        <f t="shared" si="1"/>
        <v>120</v>
      </c>
      <c r="T16" s="35">
        <f t="shared" si="1"/>
        <v>12.3</v>
      </c>
      <c r="U16" s="102">
        <f t="shared" si="1"/>
        <v>0.4</v>
      </c>
      <c r="V16" s="62">
        <f t="shared" si="1"/>
        <v>2.9615384615384616E-2</v>
      </c>
      <c r="W16" s="61">
        <f t="shared" si="2"/>
        <v>4.4615384615384612E-2</v>
      </c>
      <c r="X16" s="17">
        <f t="shared" si="2"/>
        <v>41000</v>
      </c>
      <c r="Y16" s="19">
        <f t="shared" si="2"/>
        <v>68200</v>
      </c>
      <c r="Z16" s="35">
        <f t="shared" si="2"/>
        <v>34100</v>
      </c>
      <c r="AA16" s="17">
        <f t="shared" si="2"/>
        <v>171750</v>
      </c>
      <c r="AB16" s="35">
        <f t="shared" si="2"/>
        <v>296250</v>
      </c>
      <c r="AC16" s="17">
        <f t="shared" si="2"/>
        <v>243500</v>
      </c>
      <c r="AD16" s="35">
        <f t="shared" si="2"/>
        <v>368000</v>
      </c>
      <c r="AE16" s="223">
        <f t="shared" si="2"/>
        <v>1.5E-3</v>
      </c>
      <c r="AF16" s="35">
        <f t="shared" si="2"/>
        <v>250</v>
      </c>
      <c r="AG16" s="17">
        <f t="shared" si="2"/>
        <v>0</v>
      </c>
      <c r="AH16" s="61">
        <f t="shared" si="2"/>
        <v>0</v>
      </c>
      <c r="AI16" s="2">
        <f t="shared" si="2"/>
        <v>65</v>
      </c>
      <c r="AJ16" s="1">
        <f t="shared" si="2"/>
        <v>63.5</v>
      </c>
    </row>
    <row r="17" spans="1:36" x14ac:dyDescent="0.25">
      <c r="A17" s="163">
        <v>39995</v>
      </c>
      <c r="B17" s="164">
        <v>40359</v>
      </c>
      <c r="C17" s="93">
        <f t="shared" si="0"/>
        <v>608.33076923076919</v>
      </c>
      <c r="D17" s="17">
        <f t="shared" si="0"/>
        <v>19.657692307692308</v>
      </c>
      <c r="E17" s="19">
        <f t="shared" si="0"/>
        <v>4.8730769230769226</v>
      </c>
      <c r="F17" s="19">
        <f t="shared" si="0"/>
        <v>23.338461538461537</v>
      </c>
      <c r="G17" s="35">
        <f t="shared" si="0"/>
        <v>47.869230769230768</v>
      </c>
      <c r="H17" s="93">
        <f t="shared" si="0"/>
        <v>0</v>
      </c>
      <c r="I17" s="93">
        <f t="shared" si="0"/>
        <v>656.19999999999993</v>
      </c>
      <c r="J17" s="93">
        <f t="shared" si="0"/>
        <v>468.9</v>
      </c>
      <c r="K17" s="17">
        <f t="shared" si="0"/>
        <v>16.430769230769229</v>
      </c>
      <c r="L17" s="19">
        <f t="shared" si="0"/>
        <v>2.4115384615384619</v>
      </c>
      <c r="M17" s="19">
        <f t="shared" si="1"/>
        <v>17.619230769230771</v>
      </c>
      <c r="N17" s="35">
        <f t="shared" si="1"/>
        <v>36.46153846153846</v>
      </c>
      <c r="O17" s="17">
        <f t="shared" si="1"/>
        <v>0</v>
      </c>
      <c r="P17" s="17">
        <f t="shared" si="1"/>
        <v>505.36153846153843</v>
      </c>
      <c r="Q17" s="17">
        <f t="shared" si="1"/>
        <v>142</v>
      </c>
      <c r="R17" s="35">
        <f t="shared" si="1"/>
        <v>5.6769230769230772</v>
      </c>
      <c r="S17" s="17">
        <f t="shared" si="1"/>
        <v>124</v>
      </c>
      <c r="T17" s="35">
        <f t="shared" si="1"/>
        <v>2.8384615384615386</v>
      </c>
      <c r="U17" s="102">
        <f t="shared" si="1"/>
        <v>0.47692307692307695</v>
      </c>
      <c r="V17" s="62">
        <f t="shared" si="1"/>
        <v>2.2692307692307692E-2</v>
      </c>
      <c r="W17" s="61">
        <f t="shared" si="2"/>
        <v>3.4038461538461538E-2</v>
      </c>
      <c r="X17" s="17">
        <f t="shared" si="2"/>
        <v>42000</v>
      </c>
      <c r="Y17" s="19">
        <f t="shared" si="2"/>
        <v>70000</v>
      </c>
      <c r="Z17" s="35">
        <f t="shared" si="2"/>
        <v>35000</v>
      </c>
      <c r="AA17" s="17">
        <f t="shared" si="2"/>
        <v>178000</v>
      </c>
      <c r="AB17" s="35">
        <f t="shared" si="2"/>
        <v>307000</v>
      </c>
      <c r="AC17" s="17">
        <f t="shared" si="2"/>
        <v>252500</v>
      </c>
      <c r="AD17" s="35">
        <f t="shared" si="2"/>
        <v>381500</v>
      </c>
      <c r="AE17" s="223">
        <f t="shared" si="2"/>
        <v>1.5E-3</v>
      </c>
      <c r="AF17" s="35">
        <f t="shared" si="2"/>
        <v>250</v>
      </c>
      <c r="AG17" s="17">
        <f t="shared" si="2"/>
        <v>500</v>
      </c>
      <c r="AH17" s="61">
        <f t="shared" si="2"/>
        <v>0.5</v>
      </c>
      <c r="AI17" s="2">
        <f t="shared" si="2"/>
        <v>65</v>
      </c>
      <c r="AJ17" s="1">
        <f t="shared" si="2"/>
        <v>64</v>
      </c>
    </row>
    <row r="18" spans="1:36" x14ac:dyDescent="0.25">
      <c r="A18" s="163">
        <v>40360</v>
      </c>
      <c r="B18" s="164">
        <v>40724</v>
      </c>
      <c r="C18" s="93">
        <f t="shared" ref="C18:L28" si="3">AnnualAverage($A18,C$7,PensionsParms,PensionsDates,PensionsNames)</f>
        <v>658.48846153846148</v>
      </c>
      <c r="D18" s="17">
        <f t="shared" si="3"/>
        <v>20.184615384615384</v>
      </c>
      <c r="E18" s="19">
        <f t="shared" si="3"/>
        <v>6.5038461538461538</v>
      </c>
      <c r="F18" s="19">
        <f t="shared" si="3"/>
        <v>31.015384615384615</v>
      </c>
      <c r="G18" s="35">
        <f t="shared" si="3"/>
        <v>57.703846153846158</v>
      </c>
      <c r="H18" s="93">
        <f t="shared" si="3"/>
        <v>0</v>
      </c>
      <c r="I18" s="93">
        <f t="shared" si="3"/>
        <v>716.19230769230774</v>
      </c>
      <c r="J18" s="93">
        <f t="shared" si="3"/>
        <v>496.36153846153849</v>
      </c>
      <c r="K18" s="17">
        <f t="shared" si="3"/>
        <v>16.807692307692307</v>
      </c>
      <c r="L18" s="19">
        <f t="shared" si="3"/>
        <v>3.2769230769230768</v>
      </c>
      <c r="M18" s="19">
        <f t="shared" ref="M18:V27" si="4">AnnualAverage($A18,M$7,PensionsParms,PensionsDates,PensionsNames)</f>
        <v>23.411538461538463</v>
      </c>
      <c r="N18" s="35">
        <f t="shared" si="4"/>
        <v>43.496153846153845</v>
      </c>
      <c r="O18" s="17">
        <f t="shared" si="4"/>
        <v>0</v>
      </c>
      <c r="P18" s="17">
        <f t="shared" si="4"/>
        <v>539.85769230769233</v>
      </c>
      <c r="Q18" s="17">
        <f t="shared" si="4"/>
        <v>146</v>
      </c>
      <c r="R18" s="35">
        <f t="shared" si="4"/>
        <v>0</v>
      </c>
      <c r="S18" s="17">
        <f t="shared" si="4"/>
        <v>128</v>
      </c>
      <c r="T18" s="35">
        <f t="shared" si="4"/>
        <v>0</v>
      </c>
      <c r="U18" s="102">
        <f t="shared" si="4"/>
        <v>0.5</v>
      </c>
      <c r="V18" s="62">
        <f t="shared" si="4"/>
        <v>0.03</v>
      </c>
      <c r="W18" s="61">
        <f t="shared" ref="W18:AJ27" si="5">AnnualAverage($A18,W$7,PensionsParms,PensionsDates,PensionsNames)</f>
        <v>4.4999999999999998E-2</v>
      </c>
      <c r="X18" s="17">
        <f t="shared" si="5"/>
        <v>43200</v>
      </c>
      <c r="Y18" s="19">
        <f t="shared" si="5"/>
        <v>72000</v>
      </c>
      <c r="Z18" s="35">
        <f t="shared" si="5"/>
        <v>36000</v>
      </c>
      <c r="AA18" s="17">
        <f t="shared" si="5"/>
        <v>181750</v>
      </c>
      <c r="AB18" s="35">
        <f t="shared" si="5"/>
        <v>313250</v>
      </c>
      <c r="AC18" s="17">
        <f t="shared" si="5"/>
        <v>258000</v>
      </c>
      <c r="AD18" s="35">
        <f t="shared" si="5"/>
        <v>389500</v>
      </c>
      <c r="AE18" s="223">
        <f t="shared" si="5"/>
        <v>1.5E-3</v>
      </c>
      <c r="AF18" s="35">
        <f t="shared" si="5"/>
        <v>250</v>
      </c>
      <c r="AG18" s="17">
        <f t="shared" si="5"/>
        <v>500</v>
      </c>
      <c r="AH18" s="61">
        <f t="shared" si="5"/>
        <v>0.5</v>
      </c>
      <c r="AI18" s="2">
        <f t="shared" si="5"/>
        <v>65</v>
      </c>
      <c r="AJ18" s="1">
        <f t="shared" si="5"/>
        <v>64</v>
      </c>
    </row>
    <row r="19" spans="1:36" x14ac:dyDescent="0.25">
      <c r="A19" s="163">
        <v>40725</v>
      </c>
      <c r="B19" s="164">
        <v>41090</v>
      </c>
      <c r="C19" s="93">
        <f t="shared" si="3"/>
        <v>686.51923076923072</v>
      </c>
      <c r="D19" s="17">
        <f t="shared" si="3"/>
        <v>20.811538461538461</v>
      </c>
      <c r="E19" s="19">
        <f>AnnualAverage($A19,E$7,PensionsParms,PensionsDates,PensionsNames)</f>
        <v>6.703846153846154</v>
      </c>
      <c r="F19" s="19">
        <f t="shared" si="3"/>
        <v>32.069230769230771</v>
      </c>
      <c r="G19" s="35">
        <f t="shared" si="3"/>
        <v>59.584615384615383</v>
      </c>
      <c r="H19" s="93">
        <f t="shared" si="3"/>
        <v>0</v>
      </c>
      <c r="I19" s="93">
        <f t="shared" si="3"/>
        <v>746.10384615384612</v>
      </c>
      <c r="J19" s="93">
        <f t="shared" si="3"/>
        <v>517.5038461538461</v>
      </c>
      <c r="K19" s="17">
        <f t="shared" si="3"/>
        <v>17.334615384615383</v>
      </c>
      <c r="L19" s="19">
        <f t="shared" si="3"/>
        <v>3.4038461538461537</v>
      </c>
      <c r="M19" s="19">
        <f t="shared" si="4"/>
        <v>24.188461538461539</v>
      </c>
      <c r="N19" s="35">
        <f t="shared" si="4"/>
        <v>44.926923076923075</v>
      </c>
      <c r="O19" s="17">
        <f t="shared" si="4"/>
        <v>0</v>
      </c>
      <c r="P19" s="17">
        <f t="shared" si="4"/>
        <v>562.43076923076922</v>
      </c>
      <c r="Q19" s="17">
        <f t="shared" si="4"/>
        <v>150</v>
      </c>
      <c r="R19" s="35">
        <f t="shared" si="4"/>
        <v>0</v>
      </c>
      <c r="S19" s="17">
        <f t="shared" si="4"/>
        <v>132</v>
      </c>
      <c r="T19" s="35">
        <f t="shared" si="4"/>
        <v>0</v>
      </c>
      <c r="U19" s="102">
        <f t="shared" si="4"/>
        <v>0.5</v>
      </c>
      <c r="V19" s="62">
        <f t="shared" si="4"/>
        <v>0.03</v>
      </c>
      <c r="W19" s="61">
        <f t="shared" si="5"/>
        <v>4.4999999999999998E-2</v>
      </c>
      <c r="X19" s="17">
        <f t="shared" si="5"/>
        <v>44600</v>
      </c>
      <c r="Y19" s="19">
        <f t="shared" si="5"/>
        <v>74400</v>
      </c>
      <c r="Z19" s="35">
        <f t="shared" si="5"/>
        <v>37200</v>
      </c>
      <c r="AA19" s="17">
        <f t="shared" si="5"/>
        <v>186750</v>
      </c>
      <c r="AB19" s="35">
        <f t="shared" si="5"/>
        <v>321750</v>
      </c>
      <c r="AC19" s="17">
        <f t="shared" si="5"/>
        <v>265000</v>
      </c>
      <c r="AD19" s="35">
        <f t="shared" si="5"/>
        <v>400000</v>
      </c>
      <c r="AE19" s="223">
        <f t="shared" si="5"/>
        <v>1.5E-3</v>
      </c>
      <c r="AF19" s="35">
        <f t="shared" si="5"/>
        <v>250</v>
      </c>
      <c r="AG19" s="17">
        <f t="shared" si="5"/>
        <v>250</v>
      </c>
      <c r="AH19" s="61">
        <f t="shared" si="5"/>
        <v>1</v>
      </c>
      <c r="AI19" s="2">
        <f t="shared" si="5"/>
        <v>65</v>
      </c>
      <c r="AJ19" s="1">
        <f t="shared" si="5"/>
        <v>64.5</v>
      </c>
    </row>
    <row r="20" spans="1:36" s="5" customFormat="1" x14ac:dyDescent="0.25">
      <c r="A20" s="496">
        <v>41091</v>
      </c>
      <c r="B20" s="497">
        <v>41455</v>
      </c>
      <c r="C20" s="373">
        <f t="shared" si="3"/>
        <v>713.98846153846159</v>
      </c>
      <c r="D20" s="375">
        <f t="shared" si="3"/>
        <v>21.130769230769232</v>
      </c>
      <c r="E20" s="242">
        <f t="shared" si="3"/>
        <v>6.9807692307692308</v>
      </c>
      <c r="F20" s="242">
        <f t="shared" si="3"/>
        <v>32.557692307692307</v>
      </c>
      <c r="G20" s="374">
        <f t="shared" si="3"/>
        <v>60.669230769230772</v>
      </c>
      <c r="H20" s="373">
        <f t="shared" si="3"/>
        <v>3.6346153846153846</v>
      </c>
      <c r="I20" s="373">
        <f t="shared" si="3"/>
        <v>778.29230769230765</v>
      </c>
      <c r="J20" s="373">
        <f t="shared" si="3"/>
        <v>538.20769230769235</v>
      </c>
      <c r="K20" s="375">
        <f t="shared" si="3"/>
        <v>17.630769230769232</v>
      </c>
      <c r="L20" s="242">
        <f t="shared" si="3"/>
        <v>3.5769230769230771</v>
      </c>
      <c r="M20" s="242">
        <f t="shared" si="4"/>
        <v>24.530769230769231</v>
      </c>
      <c r="N20" s="374">
        <f t="shared" si="4"/>
        <v>45.738461538461543</v>
      </c>
      <c r="O20" s="375">
        <f t="shared" si="4"/>
        <v>2.7461538461538462</v>
      </c>
      <c r="P20" s="375">
        <f t="shared" si="4"/>
        <v>586.69230769230762</v>
      </c>
      <c r="Q20" s="375">
        <f t="shared" si="4"/>
        <v>152</v>
      </c>
      <c r="R20" s="374">
        <f t="shared" si="4"/>
        <v>0</v>
      </c>
      <c r="S20" s="375">
        <f t="shared" si="4"/>
        <v>134</v>
      </c>
      <c r="T20" s="374">
        <f t="shared" si="4"/>
        <v>0</v>
      </c>
      <c r="U20" s="376">
        <f t="shared" si="4"/>
        <v>0.5</v>
      </c>
      <c r="V20" s="403">
        <f t="shared" si="4"/>
        <v>2.8653846153846155E-2</v>
      </c>
      <c r="W20" s="377">
        <f t="shared" si="5"/>
        <v>4.3653846153846154E-2</v>
      </c>
      <c r="X20" s="375">
        <f t="shared" si="5"/>
        <v>45400</v>
      </c>
      <c r="Y20" s="242">
        <f t="shared" si="5"/>
        <v>75600</v>
      </c>
      <c r="Z20" s="374">
        <f t="shared" si="5"/>
        <v>37800</v>
      </c>
      <c r="AA20" s="375">
        <f t="shared" si="5"/>
        <v>192500</v>
      </c>
      <c r="AB20" s="374">
        <f t="shared" si="5"/>
        <v>332000</v>
      </c>
      <c r="AC20" s="375">
        <f t="shared" si="5"/>
        <v>273000</v>
      </c>
      <c r="AD20" s="374">
        <f t="shared" si="5"/>
        <v>412500</v>
      </c>
      <c r="AE20" s="530">
        <f t="shared" si="5"/>
        <v>1.5E-3</v>
      </c>
      <c r="AF20" s="374">
        <f t="shared" si="5"/>
        <v>250</v>
      </c>
      <c r="AG20" s="375">
        <f t="shared" si="5"/>
        <v>250</v>
      </c>
      <c r="AH20" s="377">
        <f t="shared" si="5"/>
        <v>1</v>
      </c>
      <c r="AI20" s="396">
        <f t="shared" si="5"/>
        <v>65</v>
      </c>
      <c r="AJ20" s="397">
        <f t="shared" si="5"/>
        <v>64.5</v>
      </c>
    </row>
    <row r="21" spans="1:36" s="5" customFormat="1" x14ac:dyDescent="0.25">
      <c r="A21" s="496">
        <v>41456</v>
      </c>
      <c r="B21" s="497">
        <v>41820</v>
      </c>
      <c r="C21" s="373">
        <f t="shared" si="3"/>
        <v>751.39615384615388</v>
      </c>
      <c r="D21" s="375">
        <f t="shared" si="3"/>
        <v>21.561538461538461</v>
      </c>
      <c r="E21" s="242">
        <f t="shared" si="3"/>
        <v>7.203846153846154</v>
      </c>
      <c r="F21" s="242">
        <f t="shared" si="3"/>
        <v>33.142307692307689</v>
      </c>
      <c r="G21" s="374">
        <f t="shared" si="3"/>
        <v>61.907692307692308</v>
      </c>
      <c r="H21" s="373">
        <f t="shared" si="3"/>
        <v>13.707692307692307</v>
      </c>
      <c r="I21" s="373">
        <f t="shared" si="3"/>
        <v>827.01153846153841</v>
      </c>
      <c r="J21" s="373">
        <f t="shared" si="3"/>
        <v>566.39230769230767</v>
      </c>
      <c r="K21" s="375">
        <f t="shared" si="3"/>
        <v>17.957692307692305</v>
      </c>
      <c r="L21" s="242">
        <f t="shared" si="3"/>
        <v>3.703846153846154</v>
      </c>
      <c r="M21" s="242">
        <f t="shared" si="4"/>
        <v>24.988461538461536</v>
      </c>
      <c r="N21" s="374">
        <f t="shared" si="4"/>
        <v>46.65</v>
      </c>
      <c r="O21" s="375">
        <f t="shared" si="4"/>
        <v>10.330769230769231</v>
      </c>
      <c r="P21" s="375">
        <f t="shared" si="4"/>
        <v>623.37307692307695</v>
      </c>
      <c r="Q21" s="375">
        <f t="shared" si="4"/>
        <v>156</v>
      </c>
      <c r="R21" s="374">
        <f t="shared" si="4"/>
        <v>0</v>
      </c>
      <c r="S21" s="375">
        <f t="shared" si="4"/>
        <v>138</v>
      </c>
      <c r="T21" s="374">
        <f t="shared" si="4"/>
        <v>0</v>
      </c>
      <c r="U21" s="376">
        <f t="shared" si="4"/>
        <v>0.5</v>
      </c>
      <c r="V21" s="403">
        <f t="shared" si="4"/>
        <v>2.1741846153846153E-2</v>
      </c>
      <c r="W21" s="377">
        <f t="shared" si="5"/>
        <v>3.6741846153846153E-2</v>
      </c>
      <c r="X21" s="375">
        <f t="shared" si="5"/>
        <v>46600</v>
      </c>
      <c r="Y21" s="242">
        <f t="shared" si="5"/>
        <v>77400</v>
      </c>
      <c r="Z21" s="374">
        <f t="shared" si="5"/>
        <v>38700</v>
      </c>
      <c r="AA21" s="375">
        <f t="shared" si="5"/>
        <v>196750</v>
      </c>
      <c r="AB21" s="374">
        <f t="shared" si="5"/>
        <v>339250</v>
      </c>
      <c r="AC21" s="375">
        <f t="shared" si="5"/>
        <v>279000</v>
      </c>
      <c r="AD21" s="374">
        <f t="shared" si="5"/>
        <v>421500</v>
      </c>
      <c r="AE21" s="530">
        <f t="shared" si="5"/>
        <v>1.5E-3</v>
      </c>
      <c r="AF21" s="374">
        <f t="shared" si="5"/>
        <v>250</v>
      </c>
      <c r="AG21" s="375">
        <f t="shared" si="5"/>
        <v>250</v>
      </c>
      <c r="AH21" s="377">
        <f t="shared" si="5"/>
        <v>1</v>
      </c>
      <c r="AI21" s="396">
        <f t="shared" si="5"/>
        <v>65</v>
      </c>
      <c r="AJ21" s="397">
        <f t="shared" si="5"/>
        <v>65</v>
      </c>
    </row>
    <row r="22" spans="1:36" x14ac:dyDescent="0.25">
      <c r="A22" s="496">
        <v>41821</v>
      </c>
      <c r="B22" s="497">
        <v>42185</v>
      </c>
      <c r="C22" s="373">
        <f t="shared" si="3"/>
        <v>775.71153846153845</v>
      </c>
      <c r="D22" s="375">
        <f t="shared" si="3"/>
        <v>22.107692307692307</v>
      </c>
      <c r="E22" s="242">
        <f t="shared" si="3"/>
        <v>7.273076923076923</v>
      </c>
      <c r="F22" s="242">
        <f t="shared" si="3"/>
        <v>34.088461538461537</v>
      </c>
      <c r="G22" s="374">
        <f t="shared" si="3"/>
        <v>63.469230769230769</v>
      </c>
      <c r="H22" s="373">
        <f t="shared" si="3"/>
        <v>14.053846153846154</v>
      </c>
      <c r="I22" s="373">
        <f t="shared" si="3"/>
        <v>853.23461538461538</v>
      </c>
      <c r="J22" s="373">
        <f t="shared" si="3"/>
        <v>584.73461538461538</v>
      </c>
      <c r="K22" s="375">
        <f t="shared" si="3"/>
        <v>18.380769230769229</v>
      </c>
      <c r="L22" s="242">
        <f t="shared" si="3"/>
        <v>3.8</v>
      </c>
      <c r="M22" s="242">
        <f t="shared" si="4"/>
        <v>25.684615384615384</v>
      </c>
      <c r="N22" s="374">
        <f t="shared" si="4"/>
        <v>47.865384615384613</v>
      </c>
      <c r="O22" s="375">
        <f t="shared" si="4"/>
        <v>10.576923076923077</v>
      </c>
      <c r="P22" s="375">
        <f t="shared" si="4"/>
        <v>643.176923076923</v>
      </c>
      <c r="Q22" s="375">
        <f t="shared" si="4"/>
        <v>160</v>
      </c>
      <c r="R22" s="374">
        <f t="shared" si="4"/>
        <v>0</v>
      </c>
      <c r="S22" s="375">
        <f t="shared" si="4"/>
        <v>142</v>
      </c>
      <c r="T22" s="374">
        <f t="shared" si="4"/>
        <v>0</v>
      </c>
      <c r="U22" s="376">
        <f t="shared" si="4"/>
        <v>0.5</v>
      </c>
      <c r="V22" s="403">
        <f t="shared" si="4"/>
        <v>1.9326923076923078E-2</v>
      </c>
      <c r="W22" s="377">
        <f t="shared" si="5"/>
        <v>3.4326923076923081E-2</v>
      </c>
      <c r="X22" s="375">
        <f t="shared" si="5"/>
        <v>48000</v>
      </c>
      <c r="Y22" s="242">
        <f t="shared" si="5"/>
        <v>79600</v>
      </c>
      <c r="Z22" s="374">
        <f t="shared" si="5"/>
        <v>39800</v>
      </c>
      <c r="AA22" s="375">
        <f t="shared" si="5"/>
        <v>202000</v>
      </c>
      <c r="AB22" s="374">
        <f t="shared" si="5"/>
        <v>348500</v>
      </c>
      <c r="AC22" s="375">
        <f t="shared" si="5"/>
        <v>286500</v>
      </c>
      <c r="AD22" s="374">
        <f t="shared" si="5"/>
        <v>433000</v>
      </c>
      <c r="AE22" s="530">
        <f t="shared" si="5"/>
        <v>1.5E-3</v>
      </c>
      <c r="AF22" s="374">
        <f t="shared" si="5"/>
        <v>250</v>
      </c>
      <c r="AG22" s="375">
        <f t="shared" si="5"/>
        <v>250</v>
      </c>
      <c r="AH22" s="377">
        <f t="shared" si="5"/>
        <v>1</v>
      </c>
      <c r="AI22" s="396">
        <f t="shared" si="5"/>
        <v>65</v>
      </c>
      <c r="AJ22" s="397">
        <f t="shared" si="5"/>
        <v>65</v>
      </c>
    </row>
    <row r="23" spans="1:36" x14ac:dyDescent="0.25">
      <c r="A23" s="496">
        <v>42186</v>
      </c>
      <c r="B23" s="497">
        <v>42551</v>
      </c>
      <c r="C23" s="373">
        <f>AnnualAverage($A23,C$7,PensionsParms,PensionsDates,PensionsNames)</f>
        <v>788.91851851851845</v>
      </c>
      <c r="D23" s="375">
        <f t="shared" si="3"/>
        <v>22.514814814814816</v>
      </c>
      <c r="E23" s="242">
        <f t="shared" si="3"/>
        <v>7.3555555555555561</v>
      </c>
      <c r="F23" s="242">
        <f t="shared" si="3"/>
        <v>34.644444444444446</v>
      </c>
      <c r="G23" s="374">
        <f t="shared" si="3"/>
        <v>64.514814814814812</v>
      </c>
      <c r="H23" s="373">
        <f t="shared" si="3"/>
        <v>14.1</v>
      </c>
      <c r="I23" s="373">
        <f>AnnualAverage($A23,I$7,PensionsParms,PensionsDates,PensionsNames)</f>
        <v>867.5333333333333</v>
      </c>
      <c r="J23" s="373">
        <f t="shared" si="3"/>
        <v>594.67777777777781</v>
      </c>
      <c r="K23" s="375">
        <f t="shared" si="3"/>
        <v>18.607407407407408</v>
      </c>
      <c r="L23" s="242">
        <f t="shared" si="3"/>
        <v>3.9074074074074074</v>
      </c>
      <c r="M23" s="242">
        <f t="shared" si="4"/>
        <v>26.114814814814814</v>
      </c>
      <c r="N23" s="374">
        <f t="shared" si="4"/>
        <v>48.629629629629633</v>
      </c>
      <c r="O23" s="375">
        <f t="shared" si="4"/>
        <v>10.6</v>
      </c>
      <c r="P23" s="375">
        <f t="shared" si="4"/>
        <v>653.90740740740739</v>
      </c>
      <c r="Q23" s="375">
        <f t="shared" si="4"/>
        <v>162</v>
      </c>
      <c r="R23" s="374">
        <f t="shared" si="4"/>
        <v>0</v>
      </c>
      <c r="S23" s="375">
        <f t="shared" si="4"/>
        <v>144</v>
      </c>
      <c r="T23" s="374">
        <f t="shared" si="4"/>
        <v>0</v>
      </c>
      <c r="U23" s="376">
        <f t="shared" si="4"/>
        <v>0.5</v>
      </c>
      <c r="V23" s="403">
        <f t="shared" si="4"/>
        <v>1.7500000000000002E-2</v>
      </c>
      <c r="W23" s="377">
        <f t="shared" si="5"/>
        <v>3.2500000000000001E-2</v>
      </c>
      <c r="X23" s="375">
        <f t="shared" si="5"/>
        <v>48600</v>
      </c>
      <c r="Y23" s="242">
        <f t="shared" si="5"/>
        <v>80600</v>
      </c>
      <c r="Z23" s="374">
        <f t="shared" si="5"/>
        <v>40300</v>
      </c>
      <c r="AA23" s="375">
        <f t="shared" si="5"/>
        <v>205500</v>
      </c>
      <c r="AB23" s="374">
        <f t="shared" si="5"/>
        <v>354500</v>
      </c>
      <c r="AC23" s="375">
        <f t="shared" si="5"/>
        <v>291500</v>
      </c>
      <c r="AD23" s="374">
        <f t="shared" si="5"/>
        <v>440500</v>
      </c>
      <c r="AE23" s="530">
        <f t="shared" si="5"/>
        <v>1.5E-3</v>
      </c>
      <c r="AF23" s="374">
        <f t="shared" si="5"/>
        <v>250</v>
      </c>
      <c r="AG23" s="375">
        <f t="shared" si="5"/>
        <v>250</v>
      </c>
      <c r="AH23" s="377">
        <f t="shared" si="5"/>
        <v>1</v>
      </c>
      <c r="AI23" s="944">
        <f t="shared" si="5"/>
        <v>65</v>
      </c>
      <c r="AJ23" s="397">
        <f t="shared" si="5"/>
        <v>65</v>
      </c>
    </row>
    <row r="24" spans="1:36" s="5" customFormat="1" x14ac:dyDescent="0.25">
      <c r="A24" s="496">
        <v>42552</v>
      </c>
      <c r="B24" s="497">
        <v>42916</v>
      </c>
      <c r="C24" s="373">
        <f t="shared" si="3"/>
        <v>800.5038461538461</v>
      </c>
      <c r="D24" s="375">
        <f t="shared" si="3"/>
        <v>22.792307692307691</v>
      </c>
      <c r="E24" s="242">
        <f>AnnualAverage($A24,E$7,PensionsParms,PensionsDates,PensionsNames)</f>
        <v>7.430769230769231</v>
      </c>
      <c r="F24" s="242">
        <f t="shared" si="3"/>
        <v>35.103846153846156</v>
      </c>
      <c r="G24" s="374">
        <f t="shared" si="3"/>
        <v>65.32692307692308</v>
      </c>
      <c r="H24" s="373">
        <f t="shared" si="3"/>
        <v>14.1</v>
      </c>
      <c r="I24" s="373">
        <f t="shared" si="3"/>
        <v>879.93076923076922</v>
      </c>
      <c r="J24" s="373">
        <f t="shared" si="3"/>
        <v>603.43846153846152</v>
      </c>
      <c r="K24" s="375">
        <f t="shared" si="3"/>
        <v>18.761538461538461</v>
      </c>
      <c r="L24" s="242">
        <f t="shared" si="3"/>
        <v>4.0307692307692307</v>
      </c>
      <c r="M24" s="242">
        <f t="shared" si="4"/>
        <v>26.473076923076924</v>
      </c>
      <c r="N24" s="374">
        <f t="shared" si="4"/>
        <v>49.265384615384619</v>
      </c>
      <c r="O24" s="375">
        <f t="shared" si="4"/>
        <v>10.6</v>
      </c>
      <c r="P24" s="375">
        <f t="shared" si="4"/>
        <v>663.30384615384617</v>
      </c>
      <c r="Q24" s="375">
        <f t="shared" si="4"/>
        <v>164</v>
      </c>
      <c r="R24" s="374">
        <f t="shared" si="4"/>
        <v>0</v>
      </c>
      <c r="S24" s="375">
        <f t="shared" si="4"/>
        <v>146</v>
      </c>
      <c r="T24" s="374">
        <f t="shared" si="4"/>
        <v>0</v>
      </c>
      <c r="U24" s="376">
        <f t="shared" si="4"/>
        <v>0.5</v>
      </c>
      <c r="V24" s="403">
        <f t="shared" si="4"/>
        <v>1.7500000000000002E-2</v>
      </c>
      <c r="W24" s="377">
        <f t="shared" si="5"/>
        <v>3.2500000000000001E-2</v>
      </c>
      <c r="X24" s="375">
        <f t="shared" si="5"/>
        <v>49200</v>
      </c>
      <c r="Y24" s="242">
        <f t="shared" si="5"/>
        <v>81600</v>
      </c>
      <c r="Z24" s="374">
        <f t="shared" si="5"/>
        <v>40800</v>
      </c>
      <c r="AA24" s="375">
        <f t="shared" si="5"/>
        <v>229500</v>
      </c>
      <c r="AB24" s="374">
        <f t="shared" si="5"/>
        <v>405250</v>
      </c>
      <c r="AC24" s="375">
        <f t="shared" si="5"/>
        <v>335750</v>
      </c>
      <c r="AD24" s="374">
        <f t="shared" si="5"/>
        <v>511500</v>
      </c>
      <c r="AE24" s="530">
        <f t="shared" si="5"/>
        <v>2.2500000000000003E-3</v>
      </c>
      <c r="AF24" s="374">
        <f t="shared" si="5"/>
        <v>250</v>
      </c>
      <c r="AG24" s="375">
        <f t="shared" si="5"/>
        <v>250</v>
      </c>
      <c r="AH24" s="377">
        <f t="shared" si="5"/>
        <v>1</v>
      </c>
      <c r="AI24" s="944">
        <f t="shared" si="5"/>
        <v>65</v>
      </c>
      <c r="AJ24" s="397">
        <f t="shared" si="5"/>
        <v>65</v>
      </c>
    </row>
    <row r="25" spans="1:36" x14ac:dyDescent="0.25">
      <c r="A25" s="165">
        <v>42917</v>
      </c>
      <c r="B25" s="166">
        <v>43281</v>
      </c>
      <c r="C25" s="107">
        <f t="shared" si="3"/>
        <v>815.39615384615388</v>
      </c>
      <c r="D25" s="33">
        <f t="shared" si="3"/>
        <v>23.142307692307693</v>
      </c>
      <c r="E25" s="34">
        <f t="shared" si="3"/>
        <v>7.5307692307692307</v>
      </c>
      <c r="F25" s="34">
        <f t="shared" si="3"/>
        <v>35.765384615384619</v>
      </c>
      <c r="G25" s="75">
        <f t="shared" si="3"/>
        <v>66.438461538461539</v>
      </c>
      <c r="H25" s="107">
        <f t="shared" si="3"/>
        <v>14.1</v>
      </c>
      <c r="I25" s="107">
        <f t="shared" si="3"/>
        <v>895.93461538461543</v>
      </c>
      <c r="J25" s="107">
        <f t="shared" si="3"/>
        <v>614.65</v>
      </c>
      <c r="K25" s="33">
        <f t="shared" si="3"/>
        <v>19.042307692307691</v>
      </c>
      <c r="L25" s="34">
        <f t="shared" si="3"/>
        <v>4.0999999999999996</v>
      </c>
      <c r="M25" s="34">
        <f t="shared" si="4"/>
        <v>26.953846153846154</v>
      </c>
      <c r="N25" s="75">
        <f t="shared" si="4"/>
        <v>50.096153846153847</v>
      </c>
      <c r="O25" s="33">
        <f t="shared" si="4"/>
        <v>10.6</v>
      </c>
      <c r="P25" s="33">
        <f t="shared" si="4"/>
        <v>675.34615384615381</v>
      </c>
      <c r="Q25" s="33">
        <f t="shared" si="4"/>
        <v>168</v>
      </c>
      <c r="R25" s="75">
        <f t="shared" si="4"/>
        <v>0</v>
      </c>
      <c r="S25" s="33">
        <f t="shared" si="4"/>
        <v>150</v>
      </c>
      <c r="T25" s="75">
        <f t="shared" si="4"/>
        <v>0</v>
      </c>
      <c r="U25" s="105">
        <f t="shared" si="4"/>
        <v>0.5</v>
      </c>
      <c r="V25" s="106">
        <f t="shared" si="4"/>
        <v>1.7500000000000002E-2</v>
      </c>
      <c r="W25" s="104">
        <f t="shared" si="5"/>
        <v>3.2500000000000001E-2</v>
      </c>
      <c r="X25" s="33">
        <f t="shared" si="5"/>
        <v>50200</v>
      </c>
      <c r="Y25" s="34">
        <f t="shared" si="5"/>
        <v>83400</v>
      </c>
      <c r="Z25" s="75">
        <f t="shared" si="5"/>
        <v>41700</v>
      </c>
      <c r="AA25" s="33">
        <f t="shared" si="5"/>
        <v>253750</v>
      </c>
      <c r="AB25" s="75">
        <f t="shared" si="5"/>
        <v>456750</v>
      </c>
      <c r="AC25" s="33">
        <f t="shared" si="5"/>
        <v>380500</v>
      </c>
      <c r="AD25" s="75">
        <f t="shared" si="5"/>
        <v>583500</v>
      </c>
      <c r="AE25" s="224">
        <f t="shared" si="5"/>
        <v>3.0000000000000001E-3</v>
      </c>
      <c r="AF25" s="75">
        <f t="shared" si="5"/>
        <v>250</v>
      </c>
      <c r="AG25" s="33">
        <f t="shared" si="5"/>
        <v>250</v>
      </c>
      <c r="AH25" s="104">
        <f t="shared" si="5"/>
        <v>1</v>
      </c>
      <c r="AI25" s="30">
        <f t="shared" si="5"/>
        <v>65.5</v>
      </c>
      <c r="AJ25" s="15">
        <f t="shared" si="5"/>
        <v>65.5</v>
      </c>
    </row>
    <row r="26" spans="1:36" x14ac:dyDescent="0.25">
      <c r="A26" s="165">
        <v>43282</v>
      </c>
      <c r="B26" s="166">
        <v>43646</v>
      </c>
      <c r="C26" s="107">
        <f t="shared" si="3"/>
        <v>831.55384615384617</v>
      </c>
      <c r="D26" s="33">
        <f t="shared" si="3"/>
        <v>23.553846153846155</v>
      </c>
      <c r="E26" s="34">
        <f t="shared" si="3"/>
        <v>7.7115384615384617</v>
      </c>
      <c r="F26" s="34">
        <f t="shared" si="3"/>
        <v>36.546153846153842</v>
      </c>
      <c r="G26" s="75">
        <f t="shared" si="3"/>
        <v>67.811538461538461</v>
      </c>
      <c r="H26" s="107">
        <f t="shared" si="3"/>
        <v>14.1</v>
      </c>
      <c r="I26" s="107">
        <f t="shared" si="3"/>
        <v>913.46538461538466</v>
      </c>
      <c r="J26" s="107">
        <f t="shared" si="3"/>
        <v>626.83076923076919</v>
      </c>
      <c r="K26" s="33">
        <f t="shared" si="3"/>
        <v>19.423076923076923</v>
      </c>
      <c r="L26" s="34">
        <f t="shared" si="3"/>
        <v>4.1307692307692303</v>
      </c>
      <c r="M26" s="34">
        <f t="shared" si="4"/>
        <v>27.534615384615385</v>
      </c>
      <c r="N26" s="75">
        <f t="shared" si="4"/>
        <v>51.088461538461537</v>
      </c>
      <c r="O26" s="33">
        <f t="shared" si="4"/>
        <v>10.6</v>
      </c>
      <c r="P26" s="33">
        <f t="shared" si="4"/>
        <v>688.51923076923072</v>
      </c>
      <c r="Q26" s="33">
        <f t="shared" si="4"/>
        <v>170</v>
      </c>
      <c r="R26" s="75">
        <f t="shared" si="4"/>
        <v>0</v>
      </c>
      <c r="S26" s="33">
        <f t="shared" si="4"/>
        <v>152</v>
      </c>
      <c r="T26" s="75">
        <f t="shared" si="4"/>
        <v>0</v>
      </c>
      <c r="U26" s="105">
        <f t="shared" si="4"/>
        <v>0.5</v>
      </c>
      <c r="V26" s="106">
        <f t="shared" si="4"/>
        <v>1.7500000000000002E-2</v>
      </c>
      <c r="W26" s="104">
        <f t="shared" si="5"/>
        <v>3.2500000000000001E-2</v>
      </c>
      <c r="X26" s="33">
        <f t="shared" si="5"/>
        <v>51000</v>
      </c>
      <c r="Y26" s="34">
        <f t="shared" si="5"/>
        <v>84800</v>
      </c>
      <c r="Z26" s="75">
        <f t="shared" si="5"/>
        <v>42400</v>
      </c>
      <c r="AA26" s="33">
        <f t="shared" si="5"/>
        <v>257750</v>
      </c>
      <c r="AB26" s="75">
        <f t="shared" si="5"/>
        <v>464250</v>
      </c>
      <c r="AC26" s="33">
        <f t="shared" si="5"/>
        <v>386500</v>
      </c>
      <c r="AD26" s="75">
        <f t="shared" si="5"/>
        <v>593000</v>
      </c>
      <c r="AE26" s="224">
        <f t="shared" si="5"/>
        <v>3.0000000000000001E-3</v>
      </c>
      <c r="AF26" s="75">
        <f t="shared" si="5"/>
        <v>250</v>
      </c>
      <c r="AG26" s="33">
        <f t="shared" si="5"/>
        <v>250</v>
      </c>
      <c r="AH26" s="104">
        <f t="shared" si="5"/>
        <v>1</v>
      </c>
      <c r="AI26" s="30">
        <f t="shared" si="5"/>
        <v>65.5</v>
      </c>
      <c r="AJ26" s="15">
        <f t="shared" si="5"/>
        <v>65.5</v>
      </c>
    </row>
    <row r="27" spans="1:36" x14ac:dyDescent="0.25">
      <c r="A27" s="165">
        <v>43647</v>
      </c>
      <c r="B27" s="166">
        <v>44012</v>
      </c>
      <c r="C27" s="107">
        <f t="shared" si="3"/>
        <v>849.4</v>
      </c>
      <c r="D27" s="33">
        <f t="shared" si="3"/>
        <v>24.111538461538462</v>
      </c>
      <c r="E27" s="34">
        <f t="shared" si="3"/>
        <v>7.8269230769230766</v>
      </c>
      <c r="F27" s="34">
        <f t="shared" si="3"/>
        <v>37.315384615384616</v>
      </c>
      <c r="G27" s="75">
        <f t="shared" si="3"/>
        <v>69.253846153846155</v>
      </c>
      <c r="H27" s="107">
        <f t="shared" si="3"/>
        <v>14.1</v>
      </c>
      <c r="I27" s="107">
        <f t="shared" si="3"/>
        <v>932.75384615384621</v>
      </c>
      <c r="J27" s="107">
        <f t="shared" si="3"/>
        <v>640.25769230769231</v>
      </c>
      <c r="K27" s="33">
        <f t="shared" si="3"/>
        <v>19.807692307692307</v>
      </c>
      <c r="L27" s="34">
        <f t="shared" si="3"/>
        <v>4.3038461538461537</v>
      </c>
      <c r="M27" s="34">
        <f t="shared" si="4"/>
        <v>28.111538461538462</v>
      </c>
      <c r="N27" s="75">
        <f t="shared" si="4"/>
        <v>52.223076923076924</v>
      </c>
      <c r="O27" s="33">
        <f t="shared" si="4"/>
        <v>10.6</v>
      </c>
      <c r="P27" s="33">
        <f t="shared" si="4"/>
        <v>703.08076923076919</v>
      </c>
      <c r="Q27" s="33">
        <f t="shared" si="4"/>
        <v>172</v>
      </c>
      <c r="R27" s="75">
        <f t="shared" si="4"/>
        <v>0</v>
      </c>
      <c r="S27" s="33">
        <f t="shared" si="4"/>
        <v>156</v>
      </c>
      <c r="T27" s="75">
        <f t="shared" si="4"/>
        <v>0</v>
      </c>
      <c r="U27" s="105">
        <f t="shared" si="4"/>
        <v>0.5</v>
      </c>
      <c r="V27" s="106">
        <f t="shared" si="4"/>
        <v>1.7500000000000002E-2</v>
      </c>
      <c r="W27" s="104">
        <f t="shared" si="5"/>
        <v>3.2500000000000001E-2</v>
      </c>
      <c r="X27" s="33">
        <f t="shared" si="5"/>
        <v>52000</v>
      </c>
      <c r="Y27" s="34">
        <f t="shared" si="5"/>
        <v>86600</v>
      </c>
      <c r="Z27" s="75">
        <f t="shared" si="5"/>
        <v>43300</v>
      </c>
      <c r="AA27" s="33">
        <f t="shared" si="5"/>
        <v>263250</v>
      </c>
      <c r="AB27" s="75">
        <f t="shared" si="5"/>
        <v>474250</v>
      </c>
      <c r="AC27" s="33">
        <f t="shared" si="5"/>
        <v>394500</v>
      </c>
      <c r="AD27" s="75">
        <f t="shared" si="5"/>
        <v>605500</v>
      </c>
      <c r="AE27" s="224">
        <f t="shared" si="5"/>
        <v>3.0000000000000001E-3</v>
      </c>
      <c r="AF27" s="75">
        <f t="shared" si="5"/>
        <v>250</v>
      </c>
      <c r="AG27" s="33">
        <f t="shared" si="5"/>
        <v>250</v>
      </c>
      <c r="AH27" s="104">
        <f t="shared" si="5"/>
        <v>1</v>
      </c>
      <c r="AI27" s="30">
        <f t="shared" si="5"/>
        <v>66</v>
      </c>
      <c r="AJ27" s="15">
        <f t="shared" si="5"/>
        <v>66</v>
      </c>
    </row>
    <row r="28" spans="1:36" x14ac:dyDescent="0.25">
      <c r="A28" s="165">
        <v>44013</v>
      </c>
      <c r="B28" s="166">
        <v>44377</v>
      </c>
      <c r="C28" s="107">
        <f t="shared" ref="C28:L28" si="6">AnnualAverage($A28,C$7,PensionsParms,PensionsDates,PensionsNames)</f>
        <v>870.58076923076919</v>
      </c>
      <c r="D28" s="33">
        <f t="shared" si="6"/>
        <v>24.71153846153846</v>
      </c>
      <c r="E28" s="34">
        <f t="shared" si="3"/>
        <v>8.0807692307692314</v>
      </c>
      <c r="F28" s="34">
        <f t="shared" si="6"/>
        <v>38.219230769230769</v>
      </c>
      <c r="G28" s="75">
        <f t="shared" si="6"/>
        <v>71.011538461538464</v>
      </c>
      <c r="H28" s="107">
        <f t="shared" si="6"/>
        <v>14.1</v>
      </c>
      <c r="I28" s="107">
        <f t="shared" si="6"/>
        <v>955.69230769230774</v>
      </c>
      <c r="J28" s="107">
        <f t="shared" si="6"/>
        <v>656.25</v>
      </c>
      <c r="K28" s="33">
        <f t="shared" si="6"/>
        <v>20.311538461538461</v>
      </c>
      <c r="L28" s="34">
        <f t="shared" si="6"/>
        <v>4.4000000000000004</v>
      </c>
      <c r="M28" s="34">
        <f t="shared" ref="M28:V28" si="7">AnnualAverage($A28,M$7,PensionsParms,PensionsDates,PensionsNames)</f>
        <v>28.815384615384616</v>
      </c>
      <c r="N28" s="75">
        <f t="shared" si="7"/>
        <v>53.526923076923076</v>
      </c>
      <c r="O28" s="33">
        <f t="shared" si="7"/>
        <v>10.6</v>
      </c>
      <c r="P28" s="33">
        <f t="shared" si="7"/>
        <v>720.37692307692305</v>
      </c>
      <c r="Q28" s="33">
        <f t="shared" si="7"/>
        <v>176</v>
      </c>
      <c r="R28" s="75">
        <f t="shared" si="7"/>
        <v>0</v>
      </c>
      <c r="S28" s="33">
        <f t="shared" si="7"/>
        <v>160</v>
      </c>
      <c r="T28" s="75">
        <f t="shared" si="7"/>
        <v>0</v>
      </c>
      <c r="U28" s="105">
        <f t="shared" si="7"/>
        <v>0.5</v>
      </c>
      <c r="V28" s="106">
        <f t="shared" si="7"/>
        <v>1.7500000000000002E-2</v>
      </c>
      <c r="W28" s="104">
        <f t="shared" ref="W28:AJ28" si="8">AnnualAverage($A28,W$7,PensionsParms,PensionsDates,PensionsNames)</f>
        <v>3.2500000000000001E-2</v>
      </c>
      <c r="X28" s="33">
        <f t="shared" si="8"/>
        <v>53200</v>
      </c>
      <c r="Y28" s="34">
        <f t="shared" si="8"/>
        <v>88600</v>
      </c>
      <c r="Z28" s="75">
        <f t="shared" si="8"/>
        <v>44300</v>
      </c>
      <c r="AA28" s="33">
        <f t="shared" si="8"/>
        <v>269500</v>
      </c>
      <c r="AB28" s="75">
        <f t="shared" si="8"/>
        <v>485500</v>
      </c>
      <c r="AC28" s="33">
        <f t="shared" si="8"/>
        <v>404000</v>
      </c>
      <c r="AD28" s="75">
        <f t="shared" si="8"/>
        <v>620000</v>
      </c>
      <c r="AE28" s="224">
        <f t="shared" si="8"/>
        <v>3.0000000000000001E-3</v>
      </c>
      <c r="AF28" s="75">
        <f t="shared" si="8"/>
        <v>250</v>
      </c>
      <c r="AG28" s="33">
        <f t="shared" si="8"/>
        <v>250</v>
      </c>
      <c r="AH28" s="104">
        <f t="shared" si="8"/>
        <v>1</v>
      </c>
      <c r="AI28" s="30">
        <f t="shared" si="8"/>
        <v>66</v>
      </c>
      <c r="AJ28" s="15">
        <f t="shared" si="8"/>
        <v>66</v>
      </c>
    </row>
  </sheetData>
  <customSheetViews>
    <customSheetView guid="{E49C2F27-B0B9-497E-BEC0-5B59561292FE}" scale="70" topLeftCell="A49">
      <selection activeCell="C108" sqref="C108"/>
      <pageMargins left="0.7" right="0.7" top="0.75" bottom="0.75" header="0.3" footer="0.3"/>
      <pageSetup paperSize="9" orientation="portrait" r:id="rId1"/>
    </customSheetView>
    <customSheetView guid="{A5953138-1481-4137-BEAD-32FA4FDF03E6}" scale="70" topLeftCell="A49">
      <selection activeCell="C108" sqref="C108"/>
      <pageMargins left="0.7" right="0.7" top="0.75" bottom="0.75" header="0.3" footer="0.3"/>
      <pageSetup paperSize="9" orientation="portrait" r:id="rId2"/>
    </customSheetView>
    <customSheetView guid="{2A1F94CA-1A34-4418-88FD-EABF7586C2B2}" scale="70" topLeftCell="A49">
      <selection activeCell="C108" sqref="C108"/>
      <pageMargins left="0.7" right="0.7" top="0.75" bottom="0.75" header="0.3" footer="0.3"/>
      <pageSetup paperSize="9" orientation="portrait" r:id="rId3"/>
    </customSheetView>
  </customSheetViews>
  <mergeCells count="48">
    <mergeCell ref="AI1:AJ5"/>
    <mergeCell ref="Q1:AF1"/>
    <mergeCell ref="S4:S6"/>
    <mergeCell ref="T4:T6"/>
    <mergeCell ref="AC4:AD4"/>
    <mergeCell ref="AA4:AB4"/>
    <mergeCell ref="AA5:AA6"/>
    <mergeCell ref="AB5:AB6"/>
    <mergeCell ref="AG1:AH3"/>
    <mergeCell ref="Q2:Z2"/>
    <mergeCell ref="AA2:AF2"/>
    <mergeCell ref="S3:T3"/>
    <mergeCell ref="U3:U6"/>
    <mergeCell ref="V3:Z4"/>
    <mergeCell ref="AA3:AD3"/>
    <mergeCell ref="AE3:AE6"/>
    <mergeCell ref="C1:P1"/>
    <mergeCell ref="C3:C6"/>
    <mergeCell ref="C2:I2"/>
    <mergeCell ref="J2:P2"/>
    <mergeCell ref="J3:J6"/>
    <mergeCell ref="D3:G3"/>
    <mergeCell ref="H3:H6"/>
    <mergeCell ref="I3:I6"/>
    <mergeCell ref="D4:D6"/>
    <mergeCell ref="K3:N3"/>
    <mergeCell ref="O3:O6"/>
    <mergeCell ref="P3:P6"/>
    <mergeCell ref="A2:B3"/>
    <mergeCell ref="L4:L6"/>
    <mergeCell ref="M4:M6"/>
    <mergeCell ref="A4:A6"/>
    <mergeCell ref="B4:B6"/>
    <mergeCell ref="E4:E6"/>
    <mergeCell ref="F4:F6"/>
    <mergeCell ref="G4:G6"/>
    <mergeCell ref="K4:K6"/>
    <mergeCell ref="AF3:AF6"/>
    <mergeCell ref="N4:N6"/>
    <mergeCell ref="AG4:AG6"/>
    <mergeCell ref="AH4:AH6"/>
    <mergeCell ref="V5:W5"/>
    <mergeCell ref="X5:Z5"/>
    <mergeCell ref="AC5:AC6"/>
    <mergeCell ref="AD5:AD6"/>
    <mergeCell ref="Q3:R3"/>
    <mergeCell ref="Q4:Q6"/>
    <mergeCell ref="R4:R6"/>
  </mergeCells>
  <pageMargins left="0.7" right="0.7" top="0.75" bottom="0.75" header="0.3" footer="0.3"/>
  <pageSetup paperSize="9" orientation="portrait" r:id="rId4"/>
  <legacyDrawing r:id="rId5"/>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sheetPr codeName="Sheet21">
    <tabColor rgb="FF00B0F0"/>
  </sheetPr>
  <dimension ref="A1:D91"/>
  <sheetViews>
    <sheetView workbookViewId="0">
      <pane xSplit="2" ySplit="7" topLeftCell="C76" activePane="bottomRight" state="frozen"/>
      <selection pane="topRight" activeCell="C1" sqref="C1"/>
      <selection pane="bottomLeft" activeCell="A8" sqref="A8"/>
      <selection pane="bottomRight" activeCell="I39" sqref="I39"/>
    </sheetView>
  </sheetViews>
  <sheetFormatPr defaultRowHeight="15" x14ac:dyDescent="0.25"/>
  <cols>
    <col min="1" max="2" width="11.5703125" style="28" bestFit="1" customWidth="1"/>
    <col min="3" max="4" width="16.85546875" style="28" customWidth="1"/>
    <col min="5" max="16384" width="9.140625" style="28"/>
  </cols>
  <sheetData>
    <row r="1" spans="1:4" ht="15.75" thickBot="1" x14ac:dyDescent="0.3">
      <c r="A1" s="1164" t="s">
        <v>13</v>
      </c>
      <c r="B1" s="1165"/>
      <c r="C1" s="1211" t="s">
        <v>23</v>
      </c>
      <c r="D1" s="1213"/>
    </row>
    <row r="2" spans="1:4" ht="15" customHeight="1" x14ac:dyDescent="0.25">
      <c r="A2" s="1215"/>
      <c r="B2" s="1236"/>
      <c r="C2" s="1250" t="s">
        <v>36</v>
      </c>
      <c r="D2" s="1187" t="s">
        <v>184</v>
      </c>
    </row>
    <row r="3" spans="1:4" x14ac:dyDescent="0.25">
      <c r="A3" s="1215"/>
      <c r="B3" s="1236"/>
      <c r="C3" s="1188"/>
      <c r="D3" s="1176"/>
    </row>
    <row r="4" spans="1:4" x14ac:dyDescent="0.25">
      <c r="A4" s="1188" t="s">
        <v>16</v>
      </c>
      <c r="B4" s="1176" t="s">
        <v>17</v>
      </c>
      <c r="C4" s="1188"/>
      <c r="D4" s="1176"/>
    </row>
    <row r="5" spans="1:4" x14ac:dyDescent="0.25">
      <c r="A5" s="1188"/>
      <c r="B5" s="1176"/>
      <c r="C5" s="1188"/>
      <c r="D5" s="1176"/>
    </row>
    <row r="6" spans="1:4" ht="15.75" thickBot="1" x14ac:dyDescent="0.3">
      <c r="A6" s="1207"/>
      <c r="B6" s="1177"/>
      <c r="C6" s="1207"/>
      <c r="D6" s="1177"/>
    </row>
    <row r="7" spans="1:4" ht="15.75" thickBot="1" x14ac:dyDescent="0.3">
      <c r="A7" s="713" t="s">
        <v>550</v>
      </c>
      <c r="B7" s="714" t="s">
        <v>551</v>
      </c>
      <c r="C7" s="83" t="s">
        <v>387</v>
      </c>
      <c r="D7" s="84" t="s">
        <v>388</v>
      </c>
    </row>
    <row r="8" spans="1:4" x14ac:dyDescent="0.25">
      <c r="A8" s="161">
        <v>36708</v>
      </c>
      <c r="B8" s="162">
        <v>36788</v>
      </c>
      <c r="C8" s="92">
        <v>79.5</v>
      </c>
      <c r="D8" s="92"/>
    </row>
    <row r="9" spans="1:4" x14ac:dyDescent="0.25">
      <c r="A9" s="163">
        <v>36789</v>
      </c>
      <c r="B9" s="164">
        <v>36891</v>
      </c>
      <c r="C9" s="93">
        <v>79.5</v>
      </c>
      <c r="D9" s="93"/>
    </row>
    <row r="10" spans="1:4" x14ac:dyDescent="0.25">
      <c r="A10" s="163">
        <v>36892</v>
      </c>
      <c r="B10" s="164">
        <v>36969</v>
      </c>
      <c r="C10" s="93">
        <v>82</v>
      </c>
      <c r="D10" s="93"/>
    </row>
    <row r="11" spans="1:4" ht="15.75" thickBot="1" x14ac:dyDescent="0.3">
      <c r="A11" s="180">
        <v>36970</v>
      </c>
      <c r="B11" s="181">
        <v>37072</v>
      </c>
      <c r="C11" s="94">
        <v>82</v>
      </c>
      <c r="D11" s="94"/>
    </row>
    <row r="12" spans="1:4" x14ac:dyDescent="0.25">
      <c r="A12" s="161">
        <v>37073</v>
      </c>
      <c r="B12" s="162">
        <v>37153</v>
      </c>
      <c r="C12" s="92">
        <v>82</v>
      </c>
      <c r="D12" s="92"/>
    </row>
    <row r="13" spans="1:4" x14ac:dyDescent="0.25">
      <c r="A13" s="163">
        <v>37154</v>
      </c>
      <c r="B13" s="164">
        <v>37256</v>
      </c>
      <c r="C13" s="93">
        <v>82</v>
      </c>
      <c r="D13" s="93"/>
    </row>
    <row r="14" spans="1:4" x14ac:dyDescent="0.25">
      <c r="A14" s="163">
        <v>37257</v>
      </c>
      <c r="B14" s="164">
        <v>37334</v>
      </c>
      <c r="C14" s="93">
        <v>85.3</v>
      </c>
      <c r="D14" s="93"/>
    </row>
    <row r="15" spans="1:4" ht="15.75" thickBot="1" x14ac:dyDescent="0.3">
      <c r="A15" s="180">
        <v>37335</v>
      </c>
      <c r="B15" s="181">
        <v>37437</v>
      </c>
      <c r="C15" s="94">
        <v>85.3</v>
      </c>
      <c r="D15" s="94"/>
    </row>
    <row r="16" spans="1:4" x14ac:dyDescent="0.25">
      <c r="A16" s="161">
        <v>37438</v>
      </c>
      <c r="B16" s="162">
        <v>37518</v>
      </c>
      <c r="C16" s="92">
        <v>85.3</v>
      </c>
      <c r="D16" s="92"/>
    </row>
    <row r="17" spans="1:4" x14ac:dyDescent="0.25">
      <c r="A17" s="163">
        <v>37519</v>
      </c>
      <c r="B17" s="164">
        <v>37621</v>
      </c>
      <c r="C17" s="93">
        <v>85.3</v>
      </c>
      <c r="D17" s="93"/>
    </row>
    <row r="18" spans="1:4" x14ac:dyDescent="0.25">
      <c r="A18" s="163">
        <v>37622</v>
      </c>
      <c r="B18" s="164">
        <v>37699</v>
      </c>
      <c r="C18" s="93">
        <v>87.7</v>
      </c>
      <c r="D18" s="93"/>
    </row>
    <row r="19" spans="1:4" ht="15.75" thickBot="1" x14ac:dyDescent="0.3">
      <c r="A19" s="180">
        <v>37700</v>
      </c>
      <c r="B19" s="181">
        <v>37802</v>
      </c>
      <c r="C19" s="94">
        <v>87.7</v>
      </c>
      <c r="D19" s="94"/>
    </row>
    <row r="20" spans="1:4" x14ac:dyDescent="0.25">
      <c r="A20" s="161">
        <v>37803</v>
      </c>
      <c r="B20" s="162">
        <v>37883</v>
      </c>
      <c r="C20" s="92">
        <v>87.7</v>
      </c>
      <c r="D20" s="92"/>
    </row>
    <row r="21" spans="1:4" x14ac:dyDescent="0.25">
      <c r="A21" s="163">
        <v>37884</v>
      </c>
      <c r="B21" s="164">
        <v>37986</v>
      </c>
      <c r="C21" s="93">
        <v>87.7</v>
      </c>
      <c r="D21" s="93"/>
    </row>
    <row r="22" spans="1:4" x14ac:dyDescent="0.25">
      <c r="A22" s="163">
        <v>37987</v>
      </c>
      <c r="B22" s="164">
        <v>38065</v>
      </c>
      <c r="C22" s="93">
        <v>90.100000000000009</v>
      </c>
      <c r="D22" s="93"/>
    </row>
    <row r="23" spans="1:4" ht="15.75" thickBot="1" x14ac:dyDescent="0.3">
      <c r="A23" s="180">
        <v>38066</v>
      </c>
      <c r="B23" s="181">
        <v>38168</v>
      </c>
      <c r="C23" s="94">
        <v>90.100000000000009</v>
      </c>
      <c r="D23" s="94"/>
    </row>
    <row r="24" spans="1:4" x14ac:dyDescent="0.25">
      <c r="A24" s="161">
        <v>38169</v>
      </c>
      <c r="B24" s="162">
        <v>38249</v>
      </c>
      <c r="C24" s="92">
        <v>90.100000000000009</v>
      </c>
      <c r="D24" s="92"/>
    </row>
    <row r="25" spans="1:4" x14ac:dyDescent="0.25">
      <c r="A25" s="163">
        <v>38250</v>
      </c>
      <c r="B25" s="164">
        <v>38352</v>
      </c>
      <c r="C25" s="93">
        <v>90.100000000000009</v>
      </c>
      <c r="D25" s="93"/>
    </row>
    <row r="26" spans="1:4" x14ac:dyDescent="0.25">
      <c r="A26" s="163">
        <v>38353</v>
      </c>
      <c r="B26" s="164">
        <v>38430</v>
      </c>
      <c r="C26" s="93">
        <v>92.4</v>
      </c>
      <c r="D26" s="93"/>
    </row>
    <row r="27" spans="1:4" ht="15.75" thickBot="1" x14ac:dyDescent="0.3">
      <c r="A27" s="180">
        <v>38431</v>
      </c>
      <c r="B27" s="181">
        <v>38533</v>
      </c>
      <c r="C27" s="94">
        <v>92.4</v>
      </c>
      <c r="D27" s="94"/>
    </row>
    <row r="28" spans="1:4" x14ac:dyDescent="0.25">
      <c r="A28" s="161">
        <v>38534</v>
      </c>
      <c r="B28" s="162">
        <v>38614</v>
      </c>
      <c r="C28" s="92">
        <v>92.4</v>
      </c>
      <c r="D28" s="92"/>
    </row>
    <row r="29" spans="1:4" x14ac:dyDescent="0.25">
      <c r="A29" s="163">
        <v>38615</v>
      </c>
      <c r="B29" s="164">
        <v>38717</v>
      </c>
      <c r="C29" s="93">
        <v>92.4</v>
      </c>
      <c r="D29" s="93"/>
    </row>
    <row r="30" spans="1:4" x14ac:dyDescent="0.25">
      <c r="A30" s="163">
        <v>38718</v>
      </c>
      <c r="B30" s="164">
        <v>38795</v>
      </c>
      <c r="C30" s="93">
        <v>94.7</v>
      </c>
      <c r="D30" s="93"/>
    </row>
    <row r="31" spans="1:4" ht="15.75" thickBot="1" x14ac:dyDescent="0.3">
      <c r="A31" s="180">
        <v>38796</v>
      </c>
      <c r="B31" s="181">
        <v>38898</v>
      </c>
      <c r="C31" s="94">
        <v>94.7</v>
      </c>
      <c r="D31" s="94"/>
    </row>
    <row r="32" spans="1:4" x14ac:dyDescent="0.25">
      <c r="A32" s="161">
        <v>38899</v>
      </c>
      <c r="B32" s="162">
        <v>38979</v>
      </c>
      <c r="C32" s="92">
        <v>94.7</v>
      </c>
      <c r="D32" s="92"/>
    </row>
    <row r="33" spans="1:4" x14ac:dyDescent="0.25">
      <c r="A33" s="163">
        <v>38980</v>
      </c>
      <c r="B33" s="164">
        <v>39082</v>
      </c>
      <c r="C33" s="93">
        <v>94.7</v>
      </c>
      <c r="D33" s="93"/>
    </row>
    <row r="34" spans="1:4" x14ac:dyDescent="0.25">
      <c r="A34" s="163">
        <v>39083</v>
      </c>
      <c r="B34" s="164">
        <v>39160</v>
      </c>
      <c r="C34" s="93">
        <v>98.5</v>
      </c>
      <c r="D34" s="93"/>
    </row>
    <row r="35" spans="1:4" ht="15.75" thickBot="1" x14ac:dyDescent="0.3">
      <c r="A35" s="180">
        <v>39161</v>
      </c>
      <c r="B35" s="181">
        <v>39263</v>
      </c>
      <c r="C35" s="94">
        <v>98.5</v>
      </c>
      <c r="D35" s="94"/>
    </row>
    <row r="36" spans="1:4" x14ac:dyDescent="0.25">
      <c r="A36" s="161">
        <v>39264</v>
      </c>
      <c r="B36" s="162">
        <v>39344</v>
      </c>
      <c r="C36" s="92">
        <v>98.5</v>
      </c>
      <c r="D36" s="92"/>
    </row>
    <row r="37" spans="1:4" x14ac:dyDescent="0.25">
      <c r="A37" s="163">
        <v>39345</v>
      </c>
      <c r="B37" s="164">
        <v>39447</v>
      </c>
      <c r="C37" s="93">
        <v>98.5</v>
      </c>
      <c r="D37" s="93"/>
    </row>
    <row r="38" spans="1:4" x14ac:dyDescent="0.25">
      <c r="A38" s="163">
        <v>39448</v>
      </c>
      <c r="B38" s="164">
        <v>39526</v>
      </c>
      <c r="C38" s="93">
        <v>100.60000000000001</v>
      </c>
      <c r="D38" s="93"/>
    </row>
    <row r="39" spans="1:4" ht="15.75" thickBot="1" x14ac:dyDescent="0.3">
      <c r="A39" s="180">
        <v>39527</v>
      </c>
      <c r="B39" s="181">
        <v>39629</v>
      </c>
      <c r="C39" s="94">
        <v>100.60000000000001</v>
      </c>
      <c r="D39" s="94"/>
    </row>
    <row r="40" spans="1:4" x14ac:dyDescent="0.25">
      <c r="A40" s="161">
        <v>39630</v>
      </c>
      <c r="B40" s="162">
        <v>39710</v>
      </c>
      <c r="C40" s="92">
        <v>100.60000000000001</v>
      </c>
      <c r="D40" s="92"/>
    </row>
    <row r="41" spans="1:4" x14ac:dyDescent="0.25">
      <c r="A41" s="163">
        <v>39711</v>
      </c>
      <c r="B41" s="164">
        <v>39813</v>
      </c>
      <c r="C41" s="93">
        <v>100.60000000000001</v>
      </c>
      <c r="D41" s="93"/>
    </row>
    <row r="42" spans="1:4" x14ac:dyDescent="0.25">
      <c r="A42" s="163">
        <v>39814</v>
      </c>
      <c r="B42" s="164">
        <v>39891</v>
      </c>
      <c r="C42" s="93">
        <v>105.10000000000001</v>
      </c>
      <c r="D42" s="93"/>
    </row>
    <row r="43" spans="1:4" ht="15.75" thickBot="1" x14ac:dyDescent="0.3">
      <c r="A43" s="180">
        <v>39892</v>
      </c>
      <c r="B43" s="181">
        <v>39994</v>
      </c>
      <c r="C43" s="94">
        <v>105.10000000000001</v>
      </c>
      <c r="D43" s="94"/>
    </row>
    <row r="44" spans="1:4" x14ac:dyDescent="0.25">
      <c r="A44" s="161">
        <v>39995</v>
      </c>
      <c r="B44" s="162">
        <v>40075</v>
      </c>
      <c r="C44" s="92">
        <v>105.10000000000001</v>
      </c>
      <c r="D44" s="92">
        <v>600</v>
      </c>
    </row>
    <row r="45" spans="1:4" x14ac:dyDescent="0.25">
      <c r="A45" s="163">
        <v>40076</v>
      </c>
      <c r="B45" s="164">
        <v>40178</v>
      </c>
      <c r="C45" s="93">
        <v>105.10000000000001</v>
      </c>
      <c r="D45" s="93">
        <f>D44</f>
        <v>600</v>
      </c>
    </row>
    <row r="46" spans="1:4" x14ac:dyDescent="0.25">
      <c r="A46" s="163">
        <v>40179</v>
      </c>
      <c r="B46" s="164">
        <v>40256</v>
      </c>
      <c r="C46" s="93">
        <v>106.7</v>
      </c>
      <c r="D46" s="93">
        <f t="shared" ref="D46:D91" si="0">D45</f>
        <v>600</v>
      </c>
    </row>
    <row r="47" spans="1:4" ht="15.75" thickBot="1" x14ac:dyDescent="0.3">
      <c r="A47" s="180">
        <v>40257</v>
      </c>
      <c r="B47" s="181">
        <v>40359</v>
      </c>
      <c r="C47" s="94">
        <v>106.7</v>
      </c>
      <c r="D47" s="94">
        <f t="shared" si="0"/>
        <v>600</v>
      </c>
    </row>
    <row r="48" spans="1:4" x14ac:dyDescent="0.25">
      <c r="A48" s="161">
        <v>40360</v>
      </c>
      <c r="B48" s="162">
        <v>40440</v>
      </c>
      <c r="C48" s="92">
        <v>106.7</v>
      </c>
      <c r="D48" s="92">
        <f t="shared" si="0"/>
        <v>600</v>
      </c>
    </row>
    <row r="49" spans="1:4" x14ac:dyDescent="0.25">
      <c r="A49" s="163">
        <v>40441</v>
      </c>
      <c r="B49" s="164">
        <v>40543</v>
      </c>
      <c r="C49" s="93">
        <v>106.7</v>
      </c>
      <c r="D49" s="93">
        <f t="shared" si="0"/>
        <v>600</v>
      </c>
    </row>
    <row r="50" spans="1:4" x14ac:dyDescent="0.25">
      <c r="A50" s="163">
        <v>40544</v>
      </c>
      <c r="B50" s="164">
        <v>40621</v>
      </c>
      <c r="C50" s="93">
        <v>110</v>
      </c>
      <c r="D50" s="93">
        <f t="shared" si="0"/>
        <v>600</v>
      </c>
    </row>
    <row r="51" spans="1:4" ht="15.75" thickBot="1" x14ac:dyDescent="0.3">
      <c r="A51" s="180">
        <v>40622</v>
      </c>
      <c r="B51" s="181">
        <v>40724</v>
      </c>
      <c r="C51" s="94">
        <v>110</v>
      </c>
      <c r="D51" s="94">
        <f t="shared" si="0"/>
        <v>600</v>
      </c>
    </row>
    <row r="52" spans="1:4" x14ac:dyDescent="0.25">
      <c r="A52" s="161">
        <v>40725</v>
      </c>
      <c r="B52" s="162">
        <v>40805</v>
      </c>
      <c r="C52" s="92">
        <v>110</v>
      </c>
      <c r="D52" s="92">
        <f t="shared" si="0"/>
        <v>600</v>
      </c>
    </row>
    <row r="53" spans="1:4" x14ac:dyDescent="0.25">
      <c r="A53" s="163">
        <v>40806</v>
      </c>
      <c r="B53" s="164">
        <v>40908</v>
      </c>
      <c r="C53" s="93">
        <v>110</v>
      </c>
      <c r="D53" s="93">
        <f t="shared" si="0"/>
        <v>600</v>
      </c>
    </row>
    <row r="54" spans="1:4" x14ac:dyDescent="0.25">
      <c r="A54" s="163">
        <v>40909</v>
      </c>
      <c r="B54" s="164">
        <v>40987</v>
      </c>
      <c r="C54" s="93">
        <v>114</v>
      </c>
      <c r="D54" s="93">
        <f t="shared" si="0"/>
        <v>600</v>
      </c>
    </row>
    <row r="55" spans="1:4" ht="15.75" thickBot="1" x14ac:dyDescent="0.3">
      <c r="A55" s="180">
        <v>40988</v>
      </c>
      <c r="B55" s="181">
        <v>41090</v>
      </c>
      <c r="C55" s="94">
        <v>114</v>
      </c>
      <c r="D55" s="94">
        <f t="shared" si="0"/>
        <v>600</v>
      </c>
    </row>
    <row r="56" spans="1:4" x14ac:dyDescent="0.25">
      <c r="A56" s="161">
        <v>41091</v>
      </c>
      <c r="B56" s="162">
        <v>41171</v>
      </c>
      <c r="C56" s="92">
        <v>114</v>
      </c>
      <c r="D56" s="92">
        <v>600</v>
      </c>
    </row>
    <row r="57" spans="1:4" x14ac:dyDescent="0.25">
      <c r="A57" s="163">
        <v>41172</v>
      </c>
      <c r="B57" s="164">
        <v>41274</v>
      </c>
      <c r="C57" s="93">
        <v>114</v>
      </c>
      <c r="D57" s="93">
        <v>600</v>
      </c>
    </row>
    <row r="58" spans="1:4" s="5" customFormat="1" x14ac:dyDescent="0.25">
      <c r="A58" s="496">
        <v>41275</v>
      </c>
      <c r="B58" s="497">
        <v>41352</v>
      </c>
      <c r="C58" s="373">
        <v>115.4</v>
      </c>
      <c r="D58" s="373">
        <v>600</v>
      </c>
    </row>
    <row r="59" spans="1:4" s="5" customFormat="1" ht="15.75" thickBot="1" x14ac:dyDescent="0.3">
      <c r="A59" s="538">
        <v>41353</v>
      </c>
      <c r="B59" s="539">
        <v>41455</v>
      </c>
      <c r="C59" s="542">
        <v>115.4</v>
      </c>
      <c r="D59" s="542">
        <v>600</v>
      </c>
    </row>
    <row r="60" spans="1:4" s="5" customFormat="1" x14ac:dyDescent="0.25">
      <c r="A60" s="531">
        <v>41456</v>
      </c>
      <c r="B60" s="532">
        <v>41536</v>
      </c>
      <c r="C60" s="533">
        <v>115.4</v>
      </c>
      <c r="D60" s="533">
        <v>600</v>
      </c>
    </row>
    <row r="61" spans="1:4" s="5" customFormat="1" x14ac:dyDescent="0.25">
      <c r="A61" s="496">
        <v>41537</v>
      </c>
      <c r="B61" s="497">
        <v>41639</v>
      </c>
      <c r="C61" s="373">
        <v>115.4</v>
      </c>
      <c r="D61" s="373">
        <v>600</v>
      </c>
    </row>
    <row r="62" spans="1:4" x14ac:dyDescent="0.25">
      <c r="A62" s="496">
        <v>41640</v>
      </c>
      <c r="B62" s="497">
        <v>41717</v>
      </c>
      <c r="C62" s="373">
        <v>118.2</v>
      </c>
      <c r="D62" s="373">
        <v>600</v>
      </c>
    </row>
    <row r="63" spans="1:4" ht="15.75" thickBot="1" x14ac:dyDescent="0.3">
      <c r="A63" s="538">
        <v>41718</v>
      </c>
      <c r="B63" s="539">
        <v>41820</v>
      </c>
      <c r="C63" s="542">
        <v>118.2</v>
      </c>
      <c r="D63" s="542">
        <v>600</v>
      </c>
    </row>
    <row r="64" spans="1:4" x14ac:dyDescent="0.25">
      <c r="A64" s="531">
        <v>41821</v>
      </c>
      <c r="B64" s="532">
        <v>41901</v>
      </c>
      <c r="C64" s="533">
        <v>118.2</v>
      </c>
      <c r="D64" s="533">
        <v>600</v>
      </c>
    </row>
    <row r="65" spans="1:4" x14ac:dyDescent="0.25">
      <c r="A65" s="496">
        <v>41902</v>
      </c>
      <c r="B65" s="497">
        <v>42004</v>
      </c>
      <c r="C65" s="373">
        <v>118.2</v>
      </c>
      <c r="D65" s="373">
        <v>600</v>
      </c>
    </row>
    <row r="66" spans="1:4" x14ac:dyDescent="0.25">
      <c r="A66" s="496">
        <v>42005</v>
      </c>
      <c r="B66" s="497">
        <v>42082</v>
      </c>
      <c r="C66" s="373">
        <v>121.7</v>
      </c>
      <c r="D66" s="373">
        <v>600</v>
      </c>
    </row>
    <row r="67" spans="1:4" ht="15.75" thickBot="1" x14ac:dyDescent="0.3">
      <c r="A67" s="538">
        <v>42083</v>
      </c>
      <c r="B67" s="539">
        <v>42185</v>
      </c>
      <c r="C67" s="542">
        <v>121.7</v>
      </c>
      <c r="D67" s="542">
        <v>600</v>
      </c>
    </row>
    <row r="68" spans="1:4" x14ac:dyDescent="0.25">
      <c r="A68" s="531">
        <v>42186</v>
      </c>
      <c r="B68" s="532">
        <v>42266</v>
      </c>
      <c r="C68" s="533">
        <v>121.7</v>
      </c>
      <c r="D68" s="533">
        <v>600</v>
      </c>
    </row>
    <row r="69" spans="1:4" x14ac:dyDescent="0.25">
      <c r="A69" s="496">
        <v>42267</v>
      </c>
      <c r="B69" s="497">
        <v>42369</v>
      </c>
      <c r="C69" s="373">
        <v>121.7</v>
      </c>
      <c r="D69" s="373">
        <v>600</v>
      </c>
    </row>
    <row r="70" spans="1:4" x14ac:dyDescent="0.25">
      <c r="A70" s="496">
        <v>42370</v>
      </c>
      <c r="B70" s="497">
        <v>42448</v>
      </c>
      <c r="C70" s="373">
        <v>123.5</v>
      </c>
      <c r="D70" s="373">
        <v>600</v>
      </c>
    </row>
    <row r="71" spans="1:4" ht="15.75" thickBot="1" x14ac:dyDescent="0.3">
      <c r="A71" s="538">
        <v>42449</v>
      </c>
      <c r="B71" s="539">
        <v>42551</v>
      </c>
      <c r="C71" s="542">
        <v>123.5</v>
      </c>
      <c r="D71" s="542">
        <v>600</v>
      </c>
    </row>
    <row r="72" spans="1:4" x14ac:dyDescent="0.25">
      <c r="A72" s="1038">
        <v>42552</v>
      </c>
      <c r="B72" s="1039">
        <v>42632</v>
      </c>
      <c r="C72" s="1037">
        <v>123.5</v>
      </c>
      <c r="D72" s="1037">
        <v>600</v>
      </c>
    </row>
    <row r="73" spans="1:4" x14ac:dyDescent="0.25">
      <c r="A73" s="496">
        <v>42633</v>
      </c>
      <c r="B73" s="497">
        <v>42735</v>
      </c>
      <c r="C73" s="373">
        <f>C72</f>
        <v>123.5</v>
      </c>
      <c r="D73" s="373">
        <f t="shared" si="0"/>
        <v>600</v>
      </c>
    </row>
    <row r="74" spans="1:4" x14ac:dyDescent="0.25">
      <c r="A74" s="496">
        <v>42736</v>
      </c>
      <c r="B74" s="497">
        <v>42813</v>
      </c>
      <c r="C74" s="373">
        <f>IndexAmt(C73,"peCpiFp",A72,0.1,12)</f>
        <v>124.7</v>
      </c>
      <c r="D74" s="373">
        <f t="shared" si="0"/>
        <v>600</v>
      </c>
    </row>
    <row r="75" spans="1:4" ht="15.75" thickBot="1" x14ac:dyDescent="0.3">
      <c r="A75" s="538">
        <v>42814</v>
      </c>
      <c r="B75" s="539">
        <v>42916</v>
      </c>
      <c r="C75" s="542">
        <f>C74</f>
        <v>124.7</v>
      </c>
      <c r="D75" s="542">
        <f t="shared" si="0"/>
        <v>600</v>
      </c>
    </row>
    <row r="76" spans="1:4" x14ac:dyDescent="0.25">
      <c r="A76" s="531">
        <v>42917</v>
      </c>
      <c r="B76" s="532">
        <v>42997</v>
      </c>
      <c r="C76" s="533">
        <f>C75</f>
        <v>124.7</v>
      </c>
      <c r="D76" s="533">
        <f t="shared" si="0"/>
        <v>600</v>
      </c>
    </row>
    <row r="77" spans="1:4" x14ac:dyDescent="0.25">
      <c r="A77" s="165">
        <v>42998</v>
      </c>
      <c r="B77" s="166">
        <v>43100</v>
      </c>
      <c r="C77" s="107">
        <f>C76</f>
        <v>124.7</v>
      </c>
      <c r="D77" s="107">
        <f t="shared" si="0"/>
        <v>600</v>
      </c>
    </row>
    <row r="78" spans="1:4" x14ac:dyDescent="0.25">
      <c r="A78" s="165">
        <v>43101</v>
      </c>
      <c r="B78" s="166">
        <v>43178</v>
      </c>
      <c r="C78" s="107">
        <f>IndexAmt(C77,"peCpiFp",A76,0.1,12)</f>
        <v>127.10000000000001</v>
      </c>
      <c r="D78" s="107">
        <f t="shared" si="0"/>
        <v>600</v>
      </c>
    </row>
    <row r="79" spans="1:4" ht="15.75" thickBot="1" x14ac:dyDescent="0.3">
      <c r="A79" s="167">
        <v>43179</v>
      </c>
      <c r="B79" s="168">
        <v>43281</v>
      </c>
      <c r="C79" s="111">
        <f>C78</f>
        <v>127.10000000000001</v>
      </c>
      <c r="D79" s="111">
        <f t="shared" si="0"/>
        <v>600</v>
      </c>
    </row>
    <row r="80" spans="1:4" x14ac:dyDescent="0.25">
      <c r="A80" s="169">
        <v>43282</v>
      </c>
      <c r="B80" s="170">
        <v>43362</v>
      </c>
      <c r="C80" s="189">
        <f>C79</f>
        <v>127.10000000000001</v>
      </c>
      <c r="D80" s="189">
        <f t="shared" si="0"/>
        <v>600</v>
      </c>
    </row>
    <row r="81" spans="1:4" x14ac:dyDescent="0.25">
      <c r="A81" s="165">
        <v>43363</v>
      </c>
      <c r="B81" s="166">
        <v>43465</v>
      </c>
      <c r="C81" s="107">
        <f>C80</f>
        <v>127.10000000000001</v>
      </c>
      <c r="D81" s="107">
        <f t="shared" si="0"/>
        <v>600</v>
      </c>
    </row>
    <row r="82" spans="1:4" x14ac:dyDescent="0.25">
      <c r="A82" s="165">
        <v>43466</v>
      </c>
      <c r="B82" s="166">
        <v>43543</v>
      </c>
      <c r="C82" s="107">
        <f>IndexAmt(C81,"peCpiFp",A80,0.1,12)</f>
        <v>129.6</v>
      </c>
      <c r="D82" s="107">
        <f t="shared" si="0"/>
        <v>600</v>
      </c>
    </row>
    <row r="83" spans="1:4" ht="15.75" thickBot="1" x14ac:dyDescent="0.3">
      <c r="A83" s="167">
        <v>43544</v>
      </c>
      <c r="B83" s="168">
        <v>43646</v>
      </c>
      <c r="C83" s="111">
        <f>C82</f>
        <v>129.6</v>
      </c>
      <c r="D83" s="111">
        <f t="shared" si="0"/>
        <v>600</v>
      </c>
    </row>
    <row r="84" spans="1:4" x14ac:dyDescent="0.25">
      <c r="A84" s="169">
        <v>43647</v>
      </c>
      <c r="B84" s="170">
        <v>43727</v>
      </c>
      <c r="C84" s="189">
        <f>C83</f>
        <v>129.6</v>
      </c>
      <c r="D84" s="189">
        <f t="shared" si="0"/>
        <v>600</v>
      </c>
    </row>
    <row r="85" spans="1:4" x14ac:dyDescent="0.25">
      <c r="A85" s="165">
        <v>43728</v>
      </c>
      <c r="B85" s="166">
        <v>43830</v>
      </c>
      <c r="C85" s="107">
        <f>C84</f>
        <v>129.6</v>
      </c>
      <c r="D85" s="107">
        <f t="shared" si="0"/>
        <v>600</v>
      </c>
    </row>
    <row r="86" spans="1:4" x14ac:dyDescent="0.25">
      <c r="A86" s="165">
        <v>43831</v>
      </c>
      <c r="B86" s="166">
        <v>43909</v>
      </c>
      <c r="C86" s="107">
        <f>IndexAmt(C85,"peCpiFp",A84,0.1,12)</f>
        <v>132.5</v>
      </c>
      <c r="D86" s="107">
        <f t="shared" si="0"/>
        <v>600</v>
      </c>
    </row>
    <row r="87" spans="1:4" ht="15.75" thickBot="1" x14ac:dyDescent="0.3">
      <c r="A87" s="167">
        <v>43910</v>
      </c>
      <c r="B87" s="168">
        <v>44012</v>
      </c>
      <c r="C87" s="111">
        <f>C86</f>
        <v>132.5</v>
      </c>
      <c r="D87" s="111">
        <f t="shared" si="0"/>
        <v>600</v>
      </c>
    </row>
    <row r="88" spans="1:4" x14ac:dyDescent="0.25">
      <c r="A88" s="169">
        <v>44013</v>
      </c>
      <c r="B88" s="170">
        <v>44093</v>
      </c>
      <c r="C88" s="189">
        <f>C87</f>
        <v>132.5</v>
      </c>
      <c r="D88" s="189">
        <f t="shared" si="0"/>
        <v>600</v>
      </c>
    </row>
    <row r="89" spans="1:4" x14ac:dyDescent="0.25">
      <c r="A89" s="165">
        <v>44094</v>
      </c>
      <c r="B89" s="166">
        <v>44196</v>
      </c>
      <c r="C89" s="107">
        <f>C88</f>
        <v>132.5</v>
      </c>
      <c r="D89" s="107">
        <f t="shared" si="0"/>
        <v>600</v>
      </c>
    </row>
    <row r="90" spans="1:4" x14ac:dyDescent="0.25">
      <c r="A90" s="165">
        <v>44197</v>
      </c>
      <c r="B90" s="166">
        <v>44274</v>
      </c>
      <c r="C90" s="107">
        <f>IndexAmt(C89,"peCpiFp",A88,0.1,12)</f>
        <v>135.80000000000001</v>
      </c>
      <c r="D90" s="107">
        <f t="shared" si="0"/>
        <v>600</v>
      </c>
    </row>
    <row r="91" spans="1:4" ht="15.75" thickBot="1" x14ac:dyDescent="0.3">
      <c r="A91" s="167">
        <v>44275</v>
      </c>
      <c r="B91" s="168">
        <v>44377</v>
      </c>
      <c r="C91" s="111">
        <f>C90</f>
        <v>135.80000000000001</v>
      </c>
      <c r="D91" s="111">
        <f t="shared" si="0"/>
        <v>600</v>
      </c>
    </row>
  </sheetData>
  <customSheetViews>
    <customSheetView guid="{E49C2F27-B0B9-497E-BEC0-5B59561292FE}">
      <pane xSplit="2" ySplit="7" topLeftCell="C47" activePane="bottomRight" state="frozen"/>
      <selection pane="bottomRight" activeCell="C71" sqref="C68:C71"/>
      <pageMargins left="0.7" right="0.7" top="0.75" bottom="0.75" header="0.3" footer="0.3"/>
    </customSheetView>
    <customSheetView guid="{A5953138-1481-4137-BEAD-32FA4FDF03E6}">
      <pane xSplit="2" ySplit="7" topLeftCell="C47" activePane="bottomRight" state="frozen"/>
      <selection pane="bottomRight" activeCell="C71" sqref="C68:C71"/>
      <pageMargins left="0.7" right="0.7" top="0.75" bottom="0.75" header="0.3" footer="0.3"/>
    </customSheetView>
    <customSheetView guid="{2A1F94CA-1A34-4418-88FD-EABF7586C2B2}">
      <pane xSplit="2" ySplit="7" topLeftCell="C47" activePane="bottomRight" state="frozen"/>
      <selection pane="bottomRight" activeCell="C71" sqref="C68:C71"/>
      <pageMargins left="0.7" right="0.7" top="0.75" bottom="0.75" header="0.3" footer="0.3"/>
    </customSheetView>
  </customSheetViews>
  <mergeCells count="6">
    <mergeCell ref="C1:D1"/>
    <mergeCell ref="D2:D6"/>
    <mergeCell ref="C2:C6"/>
    <mergeCell ref="A4:A6"/>
    <mergeCell ref="B4:B6"/>
    <mergeCell ref="A1:B3"/>
  </mergeCells>
  <pageMargins left="0.7" right="0.7" top="0.75" bottom="0.75" header="0.3" footer="0.3"/>
  <legacyDrawing r:id="rId1"/>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sheetPr codeName="Sheet22">
    <tabColor rgb="FF00B0F0"/>
  </sheetPr>
  <dimension ref="A1:D28"/>
  <sheetViews>
    <sheetView zoomScale="70" workbookViewId="0">
      <selection activeCell="P50" sqref="O50:P50"/>
    </sheetView>
  </sheetViews>
  <sheetFormatPr defaultRowHeight="15" x14ac:dyDescent="0.25"/>
  <cols>
    <col min="1" max="1" width="10.42578125" style="28" bestFit="1" customWidth="1"/>
    <col min="2" max="2" width="15" style="28" customWidth="1"/>
    <col min="3" max="4" width="16.28515625" style="28" customWidth="1"/>
    <col min="5" max="16384" width="9.140625" style="28"/>
  </cols>
  <sheetData>
    <row r="1" spans="1:4" ht="15.75" thickBot="1" x14ac:dyDescent="0.3">
      <c r="A1" s="1164"/>
      <c r="B1" s="1165"/>
      <c r="C1" s="1211" t="s">
        <v>23</v>
      </c>
      <c r="D1" s="1213"/>
    </row>
    <row r="2" spans="1:4" ht="15" customHeight="1" x14ac:dyDescent="0.25">
      <c r="A2" s="1215" t="s">
        <v>13</v>
      </c>
      <c r="B2" s="1236"/>
      <c r="C2" s="1250" t="s">
        <v>36</v>
      </c>
      <c r="D2" s="1187" t="s">
        <v>184</v>
      </c>
    </row>
    <row r="3" spans="1:4" x14ac:dyDescent="0.25">
      <c r="A3" s="1215"/>
      <c r="B3" s="1236"/>
      <c r="C3" s="1188"/>
      <c r="D3" s="1176"/>
    </row>
    <row r="4" spans="1:4" x14ac:dyDescent="0.25">
      <c r="A4" s="1188" t="s">
        <v>16</v>
      </c>
      <c r="B4" s="1176" t="s">
        <v>17</v>
      </c>
      <c r="C4" s="1188"/>
      <c r="D4" s="1176"/>
    </row>
    <row r="5" spans="1:4" x14ac:dyDescent="0.25">
      <c r="A5" s="1188"/>
      <c r="B5" s="1176"/>
      <c r="C5" s="1188"/>
      <c r="D5" s="1176"/>
    </row>
    <row r="6" spans="1:4" ht="15.75" thickBot="1" x14ac:dyDescent="0.3">
      <c r="A6" s="1207"/>
      <c r="B6" s="1177"/>
      <c r="C6" s="1207"/>
      <c r="D6" s="1177"/>
    </row>
    <row r="7" spans="1:4" ht="15.75" thickBot="1" x14ac:dyDescent="0.3">
      <c r="A7" s="713" t="s">
        <v>550</v>
      </c>
      <c r="B7" s="714" t="s">
        <v>551</v>
      </c>
      <c r="C7" s="83" t="s">
        <v>387</v>
      </c>
      <c r="D7" s="84" t="s">
        <v>388</v>
      </c>
    </row>
    <row r="8" spans="1:4" x14ac:dyDescent="0.25">
      <c r="A8" s="161">
        <v>36708</v>
      </c>
      <c r="B8" s="162">
        <v>37072</v>
      </c>
      <c r="C8" s="92">
        <v>80.75</v>
      </c>
      <c r="D8" s="92">
        <v>0</v>
      </c>
    </row>
    <row r="9" spans="1:4" x14ac:dyDescent="0.25">
      <c r="A9" s="163">
        <v>37073</v>
      </c>
      <c r="B9" s="164">
        <v>37437</v>
      </c>
      <c r="C9" s="93">
        <v>83.65</v>
      </c>
      <c r="D9" s="93">
        <v>0</v>
      </c>
    </row>
    <row r="10" spans="1:4" x14ac:dyDescent="0.25">
      <c r="A10" s="163">
        <v>37438</v>
      </c>
      <c r="B10" s="164">
        <v>37802</v>
      </c>
      <c r="C10" s="93">
        <v>86.5</v>
      </c>
      <c r="D10" s="93">
        <v>0</v>
      </c>
    </row>
    <row r="11" spans="1:4" x14ac:dyDescent="0.25">
      <c r="A11" s="163">
        <v>37803</v>
      </c>
      <c r="B11" s="164">
        <v>38168</v>
      </c>
      <c r="C11" s="93">
        <v>88.9</v>
      </c>
      <c r="D11" s="93">
        <v>0</v>
      </c>
    </row>
    <row r="12" spans="1:4" x14ac:dyDescent="0.25">
      <c r="A12" s="163">
        <v>38169</v>
      </c>
      <c r="B12" s="164">
        <v>38533</v>
      </c>
      <c r="C12" s="93">
        <v>91.207407407407402</v>
      </c>
      <c r="D12" s="93">
        <v>0</v>
      </c>
    </row>
    <row r="13" spans="1:4" x14ac:dyDescent="0.25">
      <c r="A13" s="163">
        <v>38534</v>
      </c>
      <c r="B13" s="164">
        <v>38898</v>
      </c>
      <c r="C13" s="93">
        <v>93.550000000000011</v>
      </c>
      <c r="D13" s="93">
        <v>0</v>
      </c>
    </row>
    <row r="14" spans="1:4" x14ac:dyDescent="0.25">
      <c r="A14" s="163">
        <v>38899</v>
      </c>
      <c r="B14" s="164">
        <v>39263</v>
      </c>
      <c r="C14" s="93">
        <v>96.6</v>
      </c>
      <c r="D14" s="93">
        <v>0</v>
      </c>
    </row>
    <row r="15" spans="1:4" x14ac:dyDescent="0.25">
      <c r="A15" s="163">
        <v>39264</v>
      </c>
      <c r="B15" s="164">
        <v>39629</v>
      </c>
      <c r="C15" s="93">
        <v>99.55</v>
      </c>
      <c r="D15" s="93">
        <v>0</v>
      </c>
    </row>
    <row r="16" spans="1:4" x14ac:dyDescent="0.25">
      <c r="A16" s="163">
        <v>39630</v>
      </c>
      <c r="B16" s="164">
        <v>39994</v>
      </c>
      <c r="C16" s="93">
        <v>102.85</v>
      </c>
      <c r="D16" s="93">
        <v>0</v>
      </c>
    </row>
    <row r="17" spans="1:4" x14ac:dyDescent="0.25">
      <c r="A17" s="163">
        <v>39995</v>
      </c>
      <c r="B17" s="164">
        <v>40359</v>
      </c>
      <c r="C17" s="93">
        <v>105.9</v>
      </c>
      <c r="D17" s="93">
        <v>600</v>
      </c>
    </row>
    <row r="18" spans="1:4" x14ac:dyDescent="0.25">
      <c r="A18" s="163">
        <v>40360</v>
      </c>
      <c r="B18" s="164">
        <v>40724</v>
      </c>
      <c r="C18" s="93">
        <v>108.35</v>
      </c>
      <c r="D18" s="93">
        <v>600</v>
      </c>
    </row>
    <row r="19" spans="1:4" x14ac:dyDescent="0.25">
      <c r="A19" s="163">
        <v>40725</v>
      </c>
      <c r="B19" s="164">
        <v>41090</v>
      </c>
      <c r="C19" s="93">
        <v>112</v>
      </c>
      <c r="D19" s="93">
        <v>600</v>
      </c>
    </row>
    <row r="20" spans="1:4" x14ac:dyDescent="0.25">
      <c r="A20" s="163">
        <v>41091</v>
      </c>
      <c r="B20" s="164">
        <v>41455</v>
      </c>
      <c r="C20" s="93">
        <v>114.7</v>
      </c>
      <c r="D20" s="93">
        <v>600</v>
      </c>
    </row>
    <row r="21" spans="1:4" x14ac:dyDescent="0.25">
      <c r="A21" s="496">
        <v>41456</v>
      </c>
      <c r="B21" s="497">
        <v>41820</v>
      </c>
      <c r="C21" s="373">
        <v>116.80000000000001</v>
      </c>
      <c r="D21" s="373">
        <v>600</v>
      </c>
    </row>
    <row r="22" spans="1:4" x14ac:dyDescent="0.25">
      <c r="A22" s="496">
        <v>41821</v>
      </c>
      <c r="B22" s="497">
        <v>42185</v>
      </c>
      <c r="C22" s="373">
        <v>119.95</v>
      </c>
      <c r="D22" s="373">
        <v>600</v>
      </c>
    </row>
    <row r="23" spans="1:4" x14ac:dyDescent="0.25">
      <c r="A23" s="496">
        <v>42186</v>
      </c>
      <c r="B23" s="497">
        <v>42551</v>
      </c>
      <c r="C23" s="373">
        <v>122.56666666666666</v>
      </c>
      <c r="D23" s="373">
        <v>600</v>
      </c>
    </row>
    <row r="24" spans="1:4" x14ac:dyDescent="0.25">
      <c r="A24" s="496">
        <v>42552</v>
      </c>
      <c r="B24" s="497">
        <v>42916</v>
      </c>
      <c r="C24" s="373">
        <f>AnnualAverage($A24,C$7,CarersParms,CarersDates,CarersNames)</f>
        <v>124.1</v>
      </c>
      <c r="D24" s="373">
        <f t="shared" ref="C24:D27" si="0">AnnualAverage($A24,D$7,CarersParms,CarersDates,CarersNames)</f>
        <v>600</v>
      </c>
    </row>
    <row r="25" spans="1:4" x14ac:dyDescent="0.25">
      <c r="A25" s="165">
        <v>42917</v>
      </c>
      <c r="B25" s="166">
        <v>43281</v>
      </c>
      <c r="C25" s="107">
        <f t="shared" si="0"/>
        <v>125.9</v>
      </c>
      <c r="D25" s="107">
        <f t="shared" si="0"/>
        <v>600</v>
      </c>
    </row>
    <row r="26" spans="1:4" x14ac:dyDescent="0.25">
      <c r="A26" s="165">
        <v>43282</v>
      </c>
      <c r="B26" s="166">
        <v>43646</v>
      </c>
      <c r="C26" s="107">
        <f t="shared" si="0"/>
        <v>128.35</v>
      </c>
      <c r="D26" s="107">
        <f t="shared" si="0"/>
        <v>600</v>
      </c>
    </row>
    <row r="27" spans="1:4" x14ac:dyDescent="0.25">
      <c r="A27" s="165">
        <v>43647</v>
      </c>
      <c r="B27" s="166">
        <v>44012</v>
      </c>
      <c r="C27" s="107">
        <f t="shared" si="0"/>
        <v>131.05000000000001</v>
      </c>
      <c r="D27" s="107">
        <f t="shared" si="0"/>
        <v>600</v>
      </c>
    </row>
    <row r="28" spans="1:4" x14ac:dyDescent="0.25">
      <c r="A28" s="165">
        <v>44013</v>
      </c>
      <c r="B28" s="166">
        <v>44377</v>
      </c>
      <c r="C28" s="107">
        <f>AnnualAverage($A28,C$7,CarersParms,CarersDates,CarersNames)</f>
        <v>134.15</v>
      </c>
      <c r="D28" s="107">
        <f>AnnualAverage($A28,D$7,CarersParms,CarersDates,CarersNames)</f>
        <v>600</v>
      </c>
    </row>
  </sheetData>
  <customSheetViews>
    <customSheetView guid="{E49C2F27-B0B9-497E-BEC0-5B59561292FE}" scale="70">
      <selection activeCell="C23" sqref="C23"/>
      <pageMargins left="0.7" right="0.7" top="0.75" bottom="0.75" header="0.3" footer="0.3"/>
    </customSheetView>
    <customSheetView guid="{A5953138-1481-4137-BEAD-32FA4FDF03E6}" scale="70">
      <selection activeCell="C23" sqref="C23"/>
      <pageMargins left="0.7" right="0.7" top="0.75" bottom="0.75" header="0.3" footer="0.3"/>
    </customSheetView>
    <customSheetView guid="{2A1F94CA-1A34-4418-88FD-EABF7586C2B2}" scale="70">
      <selection activeCell="C23" sqref="C23"/>
      <pageMargins left="0.7" right="0.7" top="0.75" bottom="0.75" header="0.3" footer="0.3"/>
    </customSheetView>
  </customSheetViews>
  <mergeCells count="6">
    <mergeCell ref="C1:D1"/>
    <mergeCell ref="C2:C6"/>
    <mergeCell ref="D2:D6"/>
    <mergeCell ref="A4:A6"/>
    <mergeCell ref="B4:B6"/>
    <mergeCell ref="A1:B3"/>
  </mergeCells>
  <pageMargins left="0.7" right="0.7" top="0.75" bottom="0.75" header="0.3" footer="0.3"/>
  <legacyDrawing r:id="rId1"/>
</worksheet>
</file>

<file path=xl/worksheets/sheet1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sheetPr codeName="Sheet23">
    <tabColor rgb="FF00B0F0"/>
  </sheetPr>
  <dimension ref="A1:N91"/>
  <sheetViews>
    <sheetView workbookViewId="0">
      <pane xSplit="2" ySplit="7" topLeftCell="C77" activePane="bottomRight" state="frozen"/>
      <selection pane="topRight" activeCell="C1" sqref="C1"/>
      <selection pane="bottomLeft" activeCell="A8" sqref="A8"/>
      <selection pane="bottomRight" activeCell="H41" sqref="H41"/>
    </sheetView>
  </sheetViews>
  <sheetFormatPr defaultRowHeight="15" x14ac:dyDescent="0.25"/>
  <cols>
    <col min="1" max="2" width="12.42578125" style="28" bestFit="1" customWidth="1"/>
    <col min="3" max="6" width="17" style="12" customWidth="1"/>
    <col min="7" max="7" width="20.140625" style="12" bestFit="1" customWidth="1"/>
    <col min="8" max="8" width="22.28515625" style="12" bestFit="1" customWidth="1"/>
    <col min="9" max="9" width="20.85546875" style="28" bestFit="1" customWidth="1"/>
    <col min="10" max="10" width="18.28515625" style="12" bestFit="1" customWidth="1"/>
    <col min="11" max="11" width="19.5703125" style="12" bestFit="1" customWidth="1"/>
    <col min="12" max="12" width="15.5703125" style="670" bestFit="1" customWidth="1"/>
    <col min="13" max="16384" width="9.140625" style="28"/>
  </cols>
  <sheetData>
    <row r="1" spans="1:12" ht="15.75" thickBot="1" x14ac:dyDescent="0.3">
      <c r="A1" s="87"/>
      <c r="B1" s="87"/>
      <c r="C1" s="1160" t="s">
        <v>23</v>
      </c>
      <c r="D1" s="1161"/>
      <c r="E1" s="1161"/>
      <c r="F1" s="1162"/>
      <c r="G1" s="1160" t="s">
        <v>192</v>
      </c>
      <c r="H1" s="1161"/>
      <c r="I1" s="1161"/>
      <c r="J1" s="1161"/>
      <c r="K1" s="1162"/>
      <c r="L1" s="1251" t="s">
        <v>356</v>
      </c>
    </row>
    <row r="2" spans="1:12" ht="15.75" customHeight="1" thickBot="1" x14ac:dyDescent="0.3">
      <c r="A2" s="1164" t="s">
        <v>13</v>
      </c>
      <c r="B2" s="1165"/>
      <c r="C2" s="1211" t="s">
        <v>188</v>
      </c>
      <c r="D2" s="1212"/>
      <c r="E2" s="1212"/>
      <c r="F2" s="1224" t="s">
        <v>201</v>
      </c>
      <c r="G2" s="1211" t="s">
        <v>26</v>
      </c>
      <c r="H2" s="1212"/>
      <c r="I2" s="1212"/>
      <c r="J2" s="1164" t="s">
        <v>202</v>
      </c>
      <c r="K2" s="1165"/>
      <c r="L2" s="1252"/>
    </row>
    <row r="3" spans="1:12" ht="15.75" customHeight="1" thickBot="1" x14ac:dyDescent="0.3">
      <c r="A3" s="1215"/>
      <c r="B3" s="1236"/>
      <c r="C3" s="1218" t="s">
        <v>181</v>
      </c>
      <c r="D3" s="1240" t="s">
        <v>25</v>
      </c>
      <c r="E3" s="1227" t="s">
        <v>605</v>
      </c>
      <c r="F3" s="1225"/>
      <c r="G3" s="1218" t="s">
        <v>27</v>
      </c>
      <c r="H3" s="1240" t="s">
        <v>37</v>
      </c>
      <c r="I3" s="1187" t="s">
        <v>35</v>
      </c>
      <c r="J3" s="1217"/>
      <c r="K3" s="1167"/>
      <c r="L3" s="1252"/>
    </row>
    <row r="4" spans="1:12" ht="15" customHeight="1" x14ac:dyDescent="0.25">
      <c r="A4" s="1188" t="s">
        <v>16</v>
      </c>
      <c r="B4" s="1176" t="s">
        <v>17</v>
      </c>
      <c r="C4" s="1219"/>
      <c r="D4" s="1241"/>
      <c r="E4" s="1237"/>
      <c r="F4" s="1225"/>
      <c r="G4" s="1219"/>
      <c r="H4" s="1241"/>
      <c r="I4" s="1176"/>
      <c r="J4" s="1218" t="s">
        <v>203</v>
      </c>
      <c r="K4" s="1227" t="s">
        <v>204</v>
      </c>
      <c r="L4" s="1252"/>
    </row>
    <row r="5" spans="1:12" x14ac:dyDescent="0.25">
      <c r="A5" s="1188"/>
      <c r="B5" s="1176"/>
      <c r="C5" s="1219"/>
      <c r="D5" s="1241"/>
      <c r="E5" s="1237"/>
      <c r="F5" s="1225"/>
      <c r="G5" s="1219"/>
      <c r="H5" s="1241"/>
      <c r="I5" s="1176"/>
      <c r="J5" s="1219"/>
      <c r="K5" s="1237"/>
      <c r="L5" s="1252"/>
    </row>
    <row r="6" spans="1:12" ht="15.75" thickBot="1" x14ac:dyDescent="0.3">
      <c r="A6" s="1207"/>
      <c r="B6" s="1177"/>
      <c r="C6" s="1220"/>
      <c r="D6" s="1242"/>
      <c r="E6" s="1228"/>
      <c r="F6" s="1226"/>
      <c r="G6" s="1220"/>
      <c r="H6" s="1242"/>
      <c r="I6" s="1177"/>
      <c r="J6" s="1220"/>
      <c r="K6" s="1228"/>
      <c r="L6" s="1253"/>
    </row>
    <row r="7" spans="1:12" ht="15.75" thickBot="1" x14ac:dyDescent="0.3">
      <c r="A7" s="713" t="s">
        <v>550</v>
      </c>
      <c r="B7" s="714" t="s">
        <v>551</v>
      </c>
      <c r="C7" s="55" t="s">
        <v>389</v>
      </c>
      <c r="D7" s="185" t="s">
        <v>390</v>
      </c>
      <c r="E7" s="56" t="s">
        <v>613</v>
      </c>
      <c r="F7" s="184" t="s">
        <v>768</v>
      </c>
      <c r="G7" s="55" t="s">
        <v>391</v>
      </c>
      <c r="H7" s="185" t="s">
        <v>392</v>
      </c>
      <c r="I7" s="84" t="s">
        <v>393</v>
      </c>
      <c r="J7" s="55" t="s">
        <v>769</v>
      </c>
      <c r="K7" s="56" t="s">
        <v>770</v>
      </c>
      <c r="L7" s="661" t="s">
        <v>357</v>
      </c>
    </row>
    <row r="8" spans="1:12" x14ac:dyDescent="0.25">
      <c r="A8" s="161">
        <v>36708</v>
      </c>
      <c r="B8" s="162">
        <v>36788</v>
      </c>
      <c r="C8" s="18">
        <v>372</v>
      </c>
      <c r="D8" s="20">
        <f>Pensions!D8</f>
        <v>14.9</v>
      </c>
      <c r="E8" s="60"/>
      <c r="F8" s="92">
        <f>SUM(C8:E8)</f>
        <v>386.9</v>
      </c>
      <c r="G8" s="18">
        <v>106</v>
      </c>
      <c r="H8" s="20">
        <f>Pensions!R8</f>
        <v>24.6</v>
      </c>
      <c r="I8" s="4">
        <f>Pensions!U8</f>
        <v>0.4</v>
      </c>
      <c r="J8" s="18">
        <f>Pensions!AA8</f>
        <v>133250</v>
      </c>
      <c r="K8" s="60">
        <f>Pensions!AB8</f>
        <v>228750</v>
      </c>
      <c r="L8" s="662">
        <v>16</v>
      </c>
    </row>
    <row r="9" spans="1:12" x14ac:dyDescent="0.25">
      <c r="A9" s="163">
        <v>36789</v>
      </c>
      <c r="B9" s="164">
        <v>36891</v>
      </c>
      <c r="C9" s="17">
        <v>378.90000000000003</v>
      </c>
      <c r="D9" s="19">
        <f>Pensions!D9</f>
        <v>15.2</v>
      </c>
      <c r="E9" s="35"/>
      <c r="F9" s="93">
        <f t="shared" ref="F9:F72" si="0">SUM(C9:E9)</f>
        <v>394.1</v>
      </c>
      <c r="G9" s="17">
        <v>106</v>
      </c>
      <c r="H9" s="19">
        <f>Pensions!R9</f>
        <v>24.6</v>
      </c>
      <c r="I9" s="1">
        <f>Pensions!U9</f>
        <v>0.4</v>
      </c>
      <c r="J9" s="17">
        <f>Pensions!AA9</f>
        <v>133250</v>
      </c>
      <c r="K9" s="35">
        <f>Pensions!AB9</f>
        <v>228750</v>
      </c>
      <c r="L9" s="663">
        <v>16</v>
      </c>
    </row>
    <row r="10" spans="1:12" x14ac:dyDescent="0.25">
      <c r="A10" s="163">
        <v>36892</v>
      </c>
      <c r="B10" s="164">
        <v>36969</v>
      </c>
      <c r="C10" s="17">
        <v>378.90000000000003</v>
      </c>
      <c r="D10" s="19">
        <f>Pensions!D10</f>
        <v>15.2</v>
      </c>
      <c r="E10" s="35"/>
      <c r="F10" s="93">
        <f t="shared" si="0"/>
        <v>394.1</v>
      </c>
      <c r="G10" s="17">
        <v>106</v>
      </c>
      <c r="H10" s="19">
        <f>Pensions!R10</f>
        <v>24.6</v>
      </c>
      <c r="I10" s="1">
        <f>Pensions!U10</f>
        <v>0.4</v>
      </c>
      <c r="J10" s="17">
        <f>Pensions!AA10</f>
        <v>133250</v>
      </c>
      <c r="K10" s="35">
        <f>Pensions!AB10</f>
        <v>228750</v>
      </c>
      <c r="L10" s="663">
        <v>16</v>
      </c>
    </row>
    <row r="11" spans="1:12" ht="15.75" thickBot="1" x14ac:dyDescent="0.3">
      <c r="A11" s="180">
        <v>36970</v>
      </c>
      <c r="B11" s="181">
        <v>37072</v>
      </c>
      <c r="C11" s="65">
        <v>386.5</v>
      </c>
      <c r="D11" s="68">
        <f>Pensions!D11</f>
        <v>15.5</v>
      </c>
      <c r="E11" s="69"/>
      <c r="F11" s="94">
        <f t="shared" si="0"/>
        <v>402</v>
      </c>
      <c r="G11" s="65">
        <v>106</v>
      </c>
      <c r="H11" s="68">
        <f>Pensions!R11</f>
        <v>24.6</v>
      </c>
      <c r="I11" s="70">
        <f>Pensions!U11</f>
        <v>0.4</v>
      </c>
      <c r="J11" s="65">
        <f>Pensions!AA11</f>
        <v>133250</v>
      </c>
      <c r="K11" s="69">
        <f>Pensions!AB11</f>
        <v>228750</v>
      </c>
      <c r="L11" s="664">
        <v>16</v>
      </c>
    </row>
    <row r="12" spans="1:12" x14ac:dyDescent="0.25">
      <c r="A12" s="161">
        <v>37073</v>
      </c>
      <c r="B12" s="162">
        <v>37153</v>
      </c>
      <c r="C12" s="18">
        <v>386.5</v>
      </c>
      <c r="D12" s="20">
        <f>Pensions!D12</f>
        <v>15.5</v>
      </c>
      <c r="E12" s="60"/>
      <c r="F12" s="92">
        <f t="shared" si="0"/>
        <v>402</v>
      </c>
      <c r="G12" s="18">
        <v>112</v>
      </c>
      <c r="H12" s="20">
        <f>Pensions!R12</f>
        <v>24.6</v>
      </c>
      <c r="I12" s="4">
        <f>Pensions!U12</f>
        <v>0.4</v>
      </c>
      <c r="J12" s="18">
        <f>Pensions!AA12</f>
        <v>141000</v>
      </c>
      <c r="K12" s="60">
        <f>Pensions!AB12</f>
        <v>242000</v>
      </c>
      <c r="L12" s="662">
        <v>16</v>
      </c>
    </row>
    <row r="13" spans="1:12" x14ac:dyDescent="0.25">
      <c r="A13" s="163">
        <v>37154</v>
      </c>
      <c r="B13" s="164">
        <v>37256</v>
      </c>
      <c r="C13" s="17">
        <v>394.70000000000005</v>
      </c>
      <c r="D13" s="19">
        <f>Pensions!D13</f>
        <v>15.8</v>
      </c>
      <c r="E13" s="35"/>
      <c r="F13" s="93">
        <f t="shared" si="0"/>
        <v>410.50000000000006</v>
      </c>
      <c r="G13" s="17">
        <v>112</v>
      </c>
      <c r="H13" s="19">
        <f>Pensions!R13</f>
        <v>24.6</v>
      </c>
      <c r="I13" s="1">
        <f>Pensions!U13</f>
        <v>0.4</v>
      </c>
      <c r="J13" s="17">
        <f>Pensions!AA13</f>
        <v>141000</v>
      </c>
      <c r="K13" s="35">
        <f>Pensions!AB13</f>
        <v>242000</v>
      </c>
      <c r="L13" s="663">
        <v>16</v>
      </c>
    </row>
    <row r="14" spans="1:12" x14ac:dyDescent="0.25">
      <c r="A14" s="163">
        <v>37257</v>
      </c>
      <c r="B14" s="164">
        <v>37334</v>
      </c>
      <c r="C14" s="17">
        <v>394.70000000000005</v>
      </c>
      <c r="D14" s="19">
        <f>Pensions!D14</f>
        <v>15.8</v>
      </c>
      <c r="E14" s="35"/>
      <c r="F14" s="93">
        <f t="shared" si="0"/>
        <v>410.50000000000006</v>
      </c>
      <c r="G14" s="17">
        <v>112</v>
      </c>
      <c r="H14" s="19">
        <f>Pensions!R14</f>
        <v>24.6</v>
      </c>
      <c r="I14" s="1">
        <f>Pensions!U14</f>
        <v>0.4</v>
      </c>
      <c r="J14" s="17">
        <f>Pensions!AA14</f>
        <v>141000</v>
      </c>
      <c r="K14" s="35">
        <f>Pensions!AB14</f>
        <v>242000</v>
      </c>
      <c r="L14" s="663">
        <v>16</v>
      </c>
    </row>
    <row r="15" spans="1:12" ht="15.75" thickBot="1" x14ac:dyDescent="0.3">
      <c r="A15" s="180">
        <v>37335</v>
      </c>
      <c r="B15" s="181">
        <v>37437</v>
      </c>
      <c r="C15" s="65">
        <v>405.8</v>
      </c>
      <c r="D15" s="68">
        <f>Pensions!D15</f>
        <v>16</v>
      </c>
      <c r="E15" s="69"/>
      <c r="F15" s="94">
        <f t="shared" si="0"/>
        <v>421.8</v>
      </c>
      <c r="G15" s="65">
        <v>112</v>
      </c>
      <c r="H15" s="68">
        <f>Pensions!R15</f>
        <v>24.6</v>
      </c>
      <c r="I15" s="70">
        <f>Pensions!U15</f>
        <v>0.4</v>
      </c>
      <c r="J15" s="65">
        <f>Pensions!AA15</f>
        <v>141000</v>
      </c>
      <c r="K15" s="69">
        <f>Pensions!AB15</f>
        <v>242000</v>
      </c>
      <c r="L15" s="664">
        <v>16</v>
      </c>
    </row>
    <row r="16" spans="1:12" x14ac:dyDescent="0.25">
      <c r="A16" s="161">
        <v>37438</v>
      </c>
      <c r="B16" s="162">
        <v>37518</v>
      </c>
      <c r="C16" s="18">
        <v>405.8</v>
      </c>
      <c r="D16" s="20">
        <f>Pensions!D16</f>
        <v>16</v>
      </c>
      <c r="E16" s="60"/>
      <c r="F16" s="92">
        <f t="shared" si="0"/>
        <v>421.8</v>
      </c>
      <c r="G16" s="18">
        <v>116</v>
      </c>
      <c r="H16" s="20">
        <f>Pensions!R16</f>
        <v>24.6</v>
      </c>
      <c r="I16" s="4">
        <f>Pensions!U16</f>
        <v>0.4</v>
      </c>
      <c r="J16" s="18">
        <f>Pensions!AA16</f>
        <v>145250</v>
      </c>
      <c r="K16" s="60">
        <f>Pensions!AB16</f>
        <v>249750</v>
      </c>
      <c r="L16" s="662">
        <v>16</v>
      </c>
    </row>
    <row r="17" spans="1:12" x14ac:dyDescent="0.25">
      <c r="A17" s="163">
        <v>37519</v>
      </c>
      <c r="B17" s="164">
        <v>37621</v>
      </c>
      <c r="C17" s="17">
        <v>413.1</v>
      </c>
      <c r="D17" s="19">
        <f>Pensions!D17</f>
        <v>16.3</v>
      </c>
      <c r="E17" s="35"/>
      <c r="F17" s="93">
        <f t="shared" si="0"/>
        <v>429.40000000000003</v>
      </c>
      <c r="G17" s="17">
        <v>116</v>
      </c>
      <c r="H17" s="19">
        <f>Pensions!R17</f>
        <v>24.6</v>
      </c>
      <c r="I17" s="1">
        <f>Pensions!U17</f>
        <v>0.4</v>
      </c>
      <c r="J17" s="17">
        <f>Pensions!AA17</f>
        <v>145250</v>
      </c>
      <c r="K17" s="35">
        <f>Pensions!AB17</f>
        <v>249750</v>
      </c>
      <c r="L17" s="663">
        <v>16</v>
      </c>
    </row>
    <row r="18" spans="1:12" x14ac:dyDescent="0.25">
      <c r="A18" s="163">
        <v>37622</v>
      </c>
      <c r="B18" s="164">
        <v>37699</v>
      </c>
      <c r="C18" s="17">
        <v>413.1</v>
      </c>
      <c r="D18" s="19">
        <f>Pensions!D18</f>
        <v>16.3</v>
      </c>
      <c r="E18" s="35"/>
      <c r="F18" s="93">
        <f t="shared" si="0"/>
        <v>429.40000000000003</v>
      </c>
      <c r="G18" s="17">
        <v>116</v>
      </c>
      <c r="H18" s="19">
        <f>Pensions!R18</f>
        <v>24.6</v>
      </c>
      <c r="I18" s="1">
        <f>Pensions!U18</f>
        <v>0.4</v>
      </c>
      <c r="J18" s="17">
        <f>Pensions!AA18</f>
        <v>145250</v>
      </c>
      <c r="K18" s="35">
        <f>Pensions!AB18</f>
        <v>249750</v>
      </c>
      <c r="L18" s="663">
        <v>16</v>
      </c>
    </row>
    <row r="19" spans="1:12" ht="15.75" thickBot="1" x14ac:dyDescent="0.3">
      <c r="A19" s="180">
        <v>37700</v>
      </c>
      <c r="B19" s="181">
        <v>37802</v>
      </c>
      <c r="C19" s="65">
        <v>423.8</v>
      </c>
      <c r="D19" s="68">
        <f>Pensions!D19</f>
        <v>16.5</v>
      </c>
      <c r="E19" s="69"/>
      <c r="F19" s="94">
        <f t="shared" si="0"/>
        <v>440.3</v>
      </c>
      <c r="G19" s="65">
        <v>116</v>
      </c>
      <c r="H19" s="68">
        <f>Pensions!R19</f>
        <v>24.6</v>
      </c>
      <c r="I19" s="70">
        <f>Pensions!U19</f>
        <v>0.4</v>
      </c>
      <c r="J19" s="65">
        <f>Pensions!AA19</f>
        <v>145250</v>
      </c>
      <c r="K19" s="69">
        <f>Pensions!AB19</f>
        <v>249750</v>
      </c>
      <c r="L19" s="664">
        <v>16</v>
      </c>
    </row>
    <row r="20" spans="1:12" x14ac:dyDescent="0.25">
      <c r="A20" s="161">
        <v>37803</v>
      </c>
      <c r="B20" s="162">
        <v>37883</v>
      </c>
      <c r="C20" s="18">
        <v>423.8</v>
      </c>
      <c r="D20" s="20">
        <f>Pensions!D20</f>
        <v>16.5</v>
      </c>
      <c r="E20" s="60"/>
      <c r="F20" s="92">
        <f t="shared" si="0"/>
        <v>440.3</v>
      </c>
      <c r="G20" s="18">
        <v>120</v>
      </c>
      <c r="H20" s="20">
        <f>Pensions!R20</f>
        <v>24.6</v>
      </c>
      <c r="I20" s="4">
        <f>Pensions!U20</f>
        <v>0.4</v>
      </c>
      <c r="J20" s="18">
        <f>Pensions!AA20</f>
        <v>149500</v>
      </c>
      <c r="K20" s="60">
        <f>Pensions!AB20</f>
        <v>257500</v>
      </c>
      <c r="L20" s="662">
        <v>16</v>
      </c>
    </row>
    <row r="21" spans="1:12" ht="15" customHeight="1" x14ac:dyDescent="0.25">
      <c r="A21" s="163">
        <v>37884</v>
      </c>
      <c r="B21" s="164">
        <v>37986</v>
      </c>
      <c r="C21" s="17">
        <v>436.1</v>
      </c>
      <c r="D21" s="19">
        <f>Pensions!D21</f>
        <v>16.7</v>
      </c>
      <c r="E21" s="35"/>
      <c r="F21" s="93">
        <f t="shared" si="0"/>
        <v>452.8</v>
      </c>
      <c r="G21" s="17">
        <v>120</v>
      </c>
      <c r="H21" s="19">
        <f>Pensions!R21</f>
        <v>24.6</v>
      </c>
      <c r="I21" s="1">
        <f>Pensions!U21</f>
        <v>0.4</v>
      </c>
      <c r="J21" s="17">
        <f>Pensions!AA21</f>
        <v>149500</v>
      </c>
      <c r="K21" s="35">
        <f>Pensions!AB21</f>
        <v>257500</v>
      </c>
      <c r="L21" s="663">
        <v>16</v>
      </c>
    </row>
    <row r="22" spans="1:12" x14ac:dyDescent="0.25">
      <c r="A22" s="163">
        <v>37987</v>
      </c>
      <c r="B22" s="164">
        <v>38065</v>
      </c>
      <c r="C22" s="17">
        <v>436.1</v>
      </c>
      <c r="D22" s="19">
        <f>Pensions!D22</f>
        <v>16.7</v>
      </c>
      <c r="E22" s="35"/>
      <c r="F22" s="93">
        <f t="shared" si="0"/>
        <v>452.8</v>
      </c>
      <c r="G22" s="17">
        <v>120</v>
      </c>
      <c r="H22" s="19">
        <f>Pensions!R22</f>
        <v>24.6</v>
      </c>
      <c r="I22" s="1">
        <f>Pensions!U22</f>
        <v>0.4</v>
      </c>
      <c r="J22" s="17">
        <f>Pensions!AA22</f>
        <v>149500</v>
      </c>
      <c r="K22" s="35">
        <f>Pensions!AB22</f>
        <v>257500</v>
      </c>
      <c r="L22" s="663">
        <v>16</v>
      </c>
    </row>
    <row r="23" spans="1:12" ht="15.75" thickBot="1" x14ac:dyDescent="0.3">
      <c r="A23" s="180">
        <v>38066</v>
      </c>
      <c r="B23" s="181">
        <v>38168</v>
      </c>
      <c r="C23" s="65">
        <v>447.3</v>
      </c>
      <c r="D23" s="68">
        <f>Pensions!D23</f>
        <v>16.900000000000002</v>
      </c>
      <c r="E23" s="69"/>
      <c r="F23" s="94">
        <f t="shared" si="0"/>
        <v>464.2</v>
      </c>
      <c r="G23" s="65">
        <v>120</v>
      </c>
      <c r="H23" s="68">
        <f>Pensions!R23</f>
        <v>24.6</v>
      </c>
      <c r="I23" s="70">
        <f>Pensions!U23</f>
        <v>0.4</v>
      </c>
      <c r="J23" s="65">
        <f>Pensions!AA23</f>
        <v>149500</v>
      </c>
      <c r="K23" s="69">
        <f>Pensions!AB23</f>
        <v>257500</v>
      </c>
      <c r="L23" s="664">
        <v>16</v>
      </c>
    </row>
    <row r="24" spans="1:12" x14ac:dyDescent="0.25">
      <c r="A24" s="161">
        <v>38169</v>
      </c>
      <c r="B24" s="162">
        <v>38249</v>
      </c>
      <c r="C24" s="18">
        <v>447.3</v>
      </c>
      <c r="D24" s="20">
        <f>Pensions!D24</f>
        <v>16.900000000000002</v>
      </c>
      <c r="E24" s="60"/>
      <c r="F24" s="92">
        <f t="shared" si="0"/>
        <v>464.2</v>
      </c>
      <c r="G24" s="18">
        <v>122</v>
      </c>
      <c r="H24" s="20">
        <f>Pensions!R24</f>
        <v>24.6</v>
      </c>
      <c r="I24" s="4">
        <f>Pensions!U24</f>
        <v>0.4</v>
      </c>
      <c r="J24" s="18">
        <f>Pensions!AA24</f>
        <v>153000</v>
      </c>
      <c r="K24" s="60">
        <f>Pensions!AB24</f>
        <v>263500</v>
      </c>
      <c r="L24" s="662">
        <v>16</v>
      </c>
    </row>
    <row r="25" spans="1:12" x14ac:dyDescent="0.25">
      <c r="A25" s="163">
        <v>38250</v>
      </c>
      <c r="B25" s="164">
        <v>38352</v>
      </c>
      <c r="C25" s="17">
        <v>453.6</v>
      </c>
      <c r="D25" s="19">
        <f>Pensions!D25</f>
        <v>17.100000000000001</v>
      </c>
      <c r="E25" s="35"/>
      <c r="F25" s="93">
        <f t="shared" si="0"/>
        <v>470.70000000000005</v>
      </c>
      <c r="G25" s="17">
        <v>122</v>
      </c>
      <c r="H25" s="19">
        <f>Pensions!R25</f>
        <v>24.6</v>
      </c>
      <c r="I25" s="1">
        <f>Pensions!U25</f>
        <v>0.4</v>
      </c>
      <c r="J25" s="17">
        <f>Pensions!AA25</f>
        <v>153000</v>
      </c>
      <c r="K25" s="35">
        <f>Pensions!AB25</f>
        <v>263500</v>
      </c>
      <c r="L25" s="663">
        <v>16</v>
      </c>
    </row>
    <row r="26" spans="1:12" x14ac:dyDescent="0.25">
      <c r="A26" s="163">
        <v>38353</v>
      </c>
      <c r="B26" s="164">
        <v>38430</v>
      </c>
      <c r="C26" s="17">
        <v>453.6</v>
      </c>
      <c r="D26" s="19">
        <f>Pensions!D26</f>
        <v>17.100000000000001</v>
      </c>
      <c r="E26" s="35"/>
      <c r="F26" s="93">
        <f t="shared" si="0"/>
        <v>470.70000000000005</v>
      </c>
      <c r="G26" s="17">
        <v>122</v>
      </c>
      <c r="H26" s="19">
        <f>Pensions!R26</f>
        <v>24.6</v>
      </c>
      <c r="I26" s="1">
        <f>Pensions!U26</f>
        <v>0.4</v>
      </c>
      <c r="J26" s="17">
        <f>Pensions!AA26</f>
        <v>153000</v>
      </c>
      <c r="K26" s="35">
        <f>Pensions!AB26</f>
        <v>263500</v>
      </c>
      <c r="L26" s="663">
        <v>16</v>
      </c>
    </row>
    <row r="27" spans="1:12" ht="15.75" thickBot="1" x14ac:dyDescent="0.3">
      <c r="A27" s="180">
        <v>38431</v>
      </c>
      <c r="B27" s="181">
        <v>38533</v>
      </c>
      <c r="C27" s="65">
        <v>459</v>
      </c>
      <c r="D27" s="68">
        <f>Pensions!D27</f>
        <v>17.3</v>
      </c>
      <c r="E27" s="69"/>
      <c r="F27" s="94">
        <f t="shared" si="0"/>
        <v>476.3</v>
      </c>
      <c r="G27" s="65">
        <v>122</v>
      </c>
      <c r="H27" s="68">
        <f>Pensions!R27</f>
        <v>24.6</v>
      </c>
      <c r="I27" s="70">
        <f>Pensions!U27</f>
        <v>0.4</v>
      </c>
      <c r="J27" s="65">
        <f>Pensions!AA27</f>
        <v>153000</v>
      </c>
      <c r="K27" s="69">
        <f>Pensions!AB27</f>
        <v>263500</v>
      </c>
      <c r="L27" s="664">
        <v>16</v>
      </c>
    </row>
    <row r="28" spans="1:12" x14ac:dyDescent="0.25">
      <c r="A28" s="161">
        <v>38534</v>
      </c>
      <c r="B28" s="162">
        <v>38614</v>
      </c>
      <c r="C28" s="18">
        <v>459</v>
      </c>
      <c r="D28" s="20">
        <f>Pensions!D28</f>
        <v>17.3</v>
      </c>
      <c r="E28" s="60"/>
      <c r="F28" s="92">
        <f t="shared" si="0"/>
        <v>476.3</v>
      </c>
      <c r="G28" s="18">
        <v>124</v>
      </c>
      <c r="H28" s="20">
        <f>Pensions!R28</f>
        <v>24.6</v>
      </c>
      <c r="I28" s="4">
        <f>Pensions!U28</f>
        <v>0.4</v>
      </c>
      <c r="J28" s="18">
        <f>Pensions!AA28</f>
        <v>157000</v>
      </c>
      <c r="K28" s="60">
        <f>Pensions!AB28</f>
        <v>270500</v>
      </c>
      <c r="L28" s="662">
        <v>16</v>
      </c>
    </row>
    <row r="29" spans="1:12" x14ac:dyDescent="0.25">
      <c r="A29" s="163">
        <v>38615</v>
      </c>
      <c r="B29" s="164">
        <v>38717</v>
      </c>
      <c r="C29" s="17">
        <v>471.40000000000003</v>
      </c>
      <c r="D29" s="19">
        <f>Pensions!D29</f>
        <v>17.5</v>
      </c>
      <c r="E29" s="35"/>
      <c r="F29" s="93">
        <f t="shared" si="0"/>
        <v>488.90000000000003</v>
      </c>
      <c r="G29" s="17">
        <v>124</v>
      </c>
      <c r="H29" s="19">
        <f>Pensions!R29</f>
        <v>24.6</v>
      </c>
      <c r="I29" s="1">
        <f>Pensions!U29</f>
        <v>0.4</v>
      </c>
      <c r="J29" s="17">
        <f>Pensions!AA29</f>
        <v>157000</v>
      </c>
      <c r="K29" s="35">
        <f>Pensions!AB29</f>
        <v>270500</v>
      </c>
      <c r="L29" s="663">
        <v>16</v>
      </c>
    </row>
    <row r="30" spans="1:12" x14ac:dyDescent="0.25">
      <c r="A30" s="163">
        <v>38718</v>
      </c>
      <c r="B30" s="164">
        <v>38795</v>
      </c>
      <c r="C30" s="17">
        <v>471.40000000000003</v>
      </c>
      <c r="D30" s="19">
        <f>Pensions!D30</f>
        <v>17.5</v>
      </c>
      <c r="E30" s="35"/>
      <c r="F30" s="93">
        <f t="shared" si="0"/>
        <v>488.90000000000003</v>
      </c>
      <c r="G30" s="17">
        <v>124</v>
      </c>
      <c r="H30" s="19">
        <f>Pensions!R30</f>
        <v>24.6</v>
      </c>
      <c r="I30" s="1">
        <f>Pensions!U30</f>
        <v>0.4</v>
      </c>
      <c r="J30" s="17">
        <f>Pensions!AA30</f>
        <v>157000</v>
      </c>
      <c r="K30" s="35">
        <f>Pensions!AB30</f>
        <v>270500</v>
      </c>
      <c r="L30" s="663">
        <v>16</v>
      </c>
    </row>
    <row r="31" spans="1:12" ht="15.75" thickBot="1" x14ac:dyDescent="0.3">
      <c r="A31" s="180">
        <v>38796</v>
      </c>
      <c r="B31" s="181">
        <v>38898</v>
      </c>
      <c r="C31" s="65">
        <v>481.90000000000003</v>
      </c>
      <c r="D31" s="68">
        <f>Pensions!D31</f>
        <v>17.8</v>
      </c>
      <c r="E31" s="69"/>
      <c r="F31" s="94">
        <f t="shared" si="0"/>
        <v>499.70000000000005</v>
      </c>
      <c r="G31" s="65">
        <v>124</v>
      </c>
      <c r="H31" s="68">
        <f>Pensions!R31</f>
        <v>24.6</v>
      </c>
      <c r="I31" s="70">
        <f>Pensions!U31</f>
        <v>0.4</v>
      </c>
      <c r="J31" s="65">
        <f>Pensions!AA31</f>
        <v>157000</v>
      </c>
      <c r="K31" s="69">
        <f>Pensions!AB31</f>
        <v>270500</v>
      </c>
      <c r="L31" s="664">
        <v>16</v>
      </c>
    </row>
    <row r="32" spans="1:12" x14ac:dyDescent="0.25">
      <c r="A32" s="161">
        <v>38899</v>
      </c>
      <c r="B32" s="162">
        <v>38979</v>
      </c>
      <c r="C32" s="18">
        <v>481.90000000000003</v>
      </c>
      <c r="D32" s="20">
        <f>Pensions!D32</f>
        <v>17.8</v>
      </c>
      <c r="E32" s="60"/>
      <c r="F32" s="92">
        <f t="shared" si="0"/>
        <v>499.70000000000005</v>
      </c>
      <c r="G32" s="18">
        <v>128</v>
      </c>
      <c r="H32" s="20">
        <f>Pensions!R32</f>
        <v>24.6</v>
      </c>
      <c r="I32" s="4">
        <f>Pensions!U32</f>
        <v>0.4</v>
      </c>
      <c r="J32" s="18">
        <f>Pensions!AA32</f>
        <v>161500</v>
      </c>
      <c r="K32" s="60">
        <f>Pensions!AB32</f>
        <v>278500</v>
      </c>
      <c r="L32" s="662">
        <v>8</v>
      </c>
    </row>
    <row r="33" spans="1:12" x14ac:dyDescent="0.25">
      <c r="A33" s="163">
        <v>38980</v>
      </c>
      <c r="B33" s="164">
        <v>39082</v>
      </c>
      <c r="C33" s="17">
        <v>493.90000000000003</v>
      </c>
      <c r="D33" s="19">
        <f>Pensions!D33</f>
        <v>18.2</v>
      </c>
      <c r="E33" s="35"/>
      <c r="F33" s="93">
        <f t="shared" si="0"/>
        <v>512.1</v>
      </c>
      <c r="G33" s="17">
        <v>128</v>
      </c>
      <c r="H33" s="19">
        <f>Pensions!R33</f>
        <v>24.6</v>
      </c>
      <c r="I33" s="1">
        <f>Pensions!U33</f>
        <v>0.4</v>
      </c>
      <c r="J33" s="17">
        <f>Pensions!AA33</f>
        <v>161500</v>
      </c>
      <c r="K33" s="35">
        <f>Pensions!AB33</f>
        <v>278500</v>
      </c>
      <c r="L33" s="663">
        <v>8</v>
      </c>
    </row>
    <row r="34" spans="1:12" x14ac:dyDescent="0.25">
      <c r="A34" s="163">
        <v>39083</v>
      </c>
      <c r="B34" s="164">
        <v>39160</v>
      </c>
      <c r="C34" s="17">
        <v>493.90000000000003</v>
      </c>
      <c r="D34" s="19">
        <f>Pensions!D34</f>
        <v>18.2</v>
      </c>
      <c r="E34" s="35"/>
      <c r="F34" s="93">
        <f t="shared" si="0"/>
        <v>512.1</v>
      </c>
      <c r="G34" s="17">
        <v>128</v>
      </c>
      <c r="H34" s="19">
        <f>Pensions!R34</f>
        <v>24.6</v>
      </c>
      <c r="I34" s="1">
        <f>Pensions!U34</f>
        <v>0.4</v>
      </c>
      <c r="J34" s="17">
        <f>Pensions!AA34</f>
        <v>161500</v>
      </c>
      <c r="K34" s="35">
        <f>Pensions!AB34</f>
        <v>278500</v>
      </c>
      <c r="L34" s="663">
        <v>8</v>
      </c>
    </row>
    <row r="35" spans="1:12" ht="15.75" thickBot="1" x14ac:dyDescent="0.3">
      <c r="A35" s="180">
        <v>39161</v>
      </c>
      <c r="B35" s="181">
        <v>39263</v>
      </c>
      <c r="C35" s="65">
        <v>506.8</v>
      </c>
      <c r="D35" s="68">
        <f>Pensions!D35</f>
        <v>18.3</v>
      </c>
      <c r="E35" s="69"/>
      <c r="F35" s="94">
        <f t="shared" si="0"/>
        <v>525.1</v>
      </c>
      <c r="G35" s="65">
        <v>128</v>
      </c>
      <c r="H35" s="68">
        <f>Pensions!R35</f>
        <v>24.6</v>
      </c>
      <c r="I35" s="70">
        <f>Pensions!U35</f>
        <v>0.4</v>
      </c>
      <c r="J35" s="65">
        <f>Pensions!AA35</f>
        <v>161500</v>
      </c>
      <c r="K35" s="69">
        <f>Pensions!AB35</f>
        <v>278500</v>
      </c>
      <c r="L35" s="664">
        <v>8</v>
      </c>
    </row>
    <row r="36" spans="1:12" x14ac:dyDescent="0.25">
      <c r="A36" s="161">
        <v>39264</v>
      </c>
      <c r="B36" s="162">
        <v>39344</v>
      </c>
      <c r="C36" s="18">
        <v>506.8</v>
      </c>
      <c r="D36" s="20">
        <f>Pensions!D36</f>
        <v>18.3</v>
      </c>
      <c r="E36" s="60"/>
      <c r="F36" s="92">
        <f t="shared" si="0"/>
        <v>525.1</v>
      </c>
      <c r="G36" s="18">
        <v>132</v>
      </c>
      <c r="H36" s="20">
        <f>Pensions!R36</f>
        <v>24.6</v>
      </c>
      <c r="I36" s="4">
        <f>Pensions!U36</f>
        <v>0.4</v>
      </c>
      <c r="J36" s="18">
        <f>Pensions!AA36</f>
        <v>166750</v>
      </c>
      <c r="K36" s="60">
        <f>Pensions!AB36</f>
        <v>287750</v>
      </c>
      <c r="L36" s="662">
        <v>8</v>
      </c>
    </row>
    <row r="37" spans="1:12" x14ac:dyDescent="0.25">
      <c r="A37" s="163">
        <v>39345</v>
      </c>
      <c r="B37" s="164">
        <v>39447</v>
      </c>
      <c r="C37" s="17">
        <v>519.20000000000005</v>
      </c>
      <c r="D37" s="19">
        <f>Pensions!D37</f>
        <v>18.5</v>
      </c>
      <c r="E37" s="35"/>
      <c r="F37" s="93">
        <f t="shared" si="0"/>
        <v>537.70000000000005</v>
      </c>
      <c r="G37" s="17">
        <v>132</v>
      </c>
      <c r="H37" s="19">
        <f>Pensions!R37</f>
        <v>24.6</v>
      </c>
      <c r="I37" s="1">
        <f>Pensions!U37</f>
        <v>0.4</v>
      </c>
      <c r="J37" s="17">
        <f>Pensions!AA37</f>
        <v>166750</v>
      </c>
      <c r="K37" s="35">
        <f>Pensions!AB37</f>
        <v>287750</v>
      </c>
      <c r="L37" s="663">
        <v>8</v>
      </c>
    </row>
    <row r="38" spans="1:12" x14ac:dyDescent="0.25">
      <c r="A38" s="163">
        <v>39448</v>
      </c>
      <c r="B38" s="164">
        <v>39526</v>
      </c>
      <c r="C38" s="17">
        <v>519.20000000000005</v>
      </c>
      <c r="D38" s="19">
        <f>Pensions!D38</f>
        <v>18.5</v>
      </c>
      <c r="E38" s="35"/>
      <c r="F38" s="93">
        <f t="shared" si="0"/>
        <v>537.70000000000005</v>
      </c>
      <c r="G38" s="17">
        <v>132</v>
      </c>
      <c r="H38" s="19">
        <f>Pensions!R38</f>
        <v>24.6</v>
      </c>
      <c r="I38" s="1">
        <f>Pensions!U38</f>
        <v>0.4</v>
      </c>
      <c r="J38" s="17">
        <f>Pensions!AA38</f>
        <v>166750</v>
      </c>
      <c r="K38" s="35">
        <f>Pensions!AB38</f>
        <v>287750</v>
      </c>
      <c r="L38" s="663">
        <v>8</v>
      </c>
    </row>
    <row r="39" spans="1:12" ht="15.75" thickBot="1" x14ac:dyDescent="0.3">
      <c r="A39" s="180">
        <v>39527</v>
      </c>
      <c r="B39" s="181">
        <v>39629</v>
      </c>
      <c r="C39" s="65">
        <v>528</v>
      </c>
      <c r="D39" s="68">
        <f>Pensions!D39</f>
        <v>18.8</v>
      </c>
      <c r="E39" s="69"/>
      <c r="F39" s="94">
        <f t="shared" si="0"/>
        <v>546.79999999999995</v>
      </c>
      <c r="G39" s="65">
        <v>132</v>
      </c>
      <c r="H39" s="68">
        <f>Pensions!R39</f>
        <v>24.6</v>
      </c>
      <c r="I39" s="70">
        <f>Pensions!U39</f>
        <v>0.4</v>
      </c>
      <c r="J39" s="65">
        <f>Pensions!AA39</f>
        <v>166750</v>
      </c>
      <c r="K39" s="69">
        <f>Pensions!AB39</f>
        <v>287750</v>
      </c>
      <c r="L39" s="664">
        <v>8</v>
      </c>
    </row>
    <row r="40" spans="1:12" x14ac:dyDescent="0.25">
      <c r="A40" s="161">
        <v>39630</v>
      </c>
      <c r="B40" s="162">
        <v>39710</v>
      </c>
      <c r="C40" s="18">
        <v>528</v>
      </c>
      <c r="D40" s="20">
        <f>Pensions!D40</f>
        <v>18.8</v>
      </c>
      <c r="E40" s="60"/>
      <c r="F40" s="92">
        <f t="shared" si="0"/>
        <v>546.79999999999995</v>
      </c>
      <c r="G40" s="18">
        <v>138</v>
      </c>
      <c r="H40" s="20">
        <f>Pensions!R40</f>
        <v>24.6</v>
      </c>
      <c r="I40" s="4">
        <f>Pensions!U40</f>
        <v>0.4</v>
      </c>
      <c r="J40" s="18">
        <f>Pensions!AA40</f>
        <v>171750</v>
      </c>
      <c r="K40" s="60">
        <f>Pensions!AB40</f>
        <v>296250</v>
      </c>
      <c r="L40" s="662">
        <v>8</v>
      </c>
    </row>
    <row r="41" spans="1:12" x14ac:dyDescent="0.25">
      <c r="A41" s="163">
        <v>39711</v>
      </c>
      <c r="B41" s="164">
        <v>39813</v>
      </c>
      <c r="C41" s="17">
        <v>542.80000000000007</v>
      </c>
      <c r="D41" s="19">
        <f>Pensions!D41</f>
        <v>19.3</v>
      </c>
      <c r="E41" s="35"/>
      <c r="F41" s="93">
        <f t="shared" si="0"/>
        <v>562.1</v>
      </c>
      <c r="G41" s="17">
        <v>138</v>
      </c>
      <c r="H41" s="19">
        <f>Pensions!R41</f>
        <v>24.6</v>
      </c>
      <c r="I41" s="1">
        <f>Pensions!U41</f>
        <v>0.4</v>
      </c>
      <c r="J41" s="17">
        <f>Pensions!AA41</f>
        <v>171750</v>
      </c>
      <c r="K41" s="35">
        <f>Pensions!AB41</f>
        <v>296250</v>
      </c>
      <c r="L41" s="663">
        <v>8</v>
      </c>
    </row>
    <row r="42" spans="1:12" x14ac:dyDescent="0.25">
      <c r="A42" s="163">
        <v>39814</v>
      </c>
      <c r="B42" s="164">
        <v>39891</v>
      </c>
      <c r="C42" s="17">
        <v>542.80000000000007</v>
      </c>
      <c r="D42" s="19">
        <f>Pensions!D42</f>
        <v>19.3</v>
      </c>
      <c r="E42" s="35"/>
      <c r="F42" s="93">
        <f t="shared" si="0"/>
        <v>562.1</v>
      </c>
      <c r="G42" s="17">
        <v>138</v>
      </c>
      <c r="H42" s="19">
        <f>Pensions!R42</f>
        <v>24.6</v>
      </c>
      <c r="I42" s="1">
        <f>Pensions!U42</f>
        <v>0.4</v>
      </c>
      <c r="J42" s="17">
        <f>Pensions!AA42</f>
        <v>171750</v>
      </c>
      <c r="K42" s="35">
        <f>Pensions!AB42</f>
        <v>296250</v>
      </c>
      <c r="L42" s="663">
        <v>8</v>
      </c>
    </row>
    <row r="43" spans="1:12" ht="15.75" thickBot="1" x14ac:dyDescent="0.3">
      <c r="A43" s="180">
        <v>39892</v>
      </c>
      <c r="B43" s="181">
        <v>39994</v>
      </c>
      <c r="C43" s="65">
        <v>550.30000000000007</v>
      </c>
      <c r="D43" s="68">
        <f>Pensions!D43</f>
        <v>19.5</v>
      </c>
      <c r="E43" s="69"/>
      <c r="F43" s="94">
        <f t="shared" si="0"/>
        <v>569.80000000000007</v>
      </c>
      <c r="G43" s="65">
        <v>138</v>
      </c>
      <c r="H43" s="68">
        <f>Pensions!R43</f>
        <v>24.6</v>
      </c>
      <c r="I43" s="70">
        <f>Pensions!U43</f>
        <v>0.4</v>
      </c>
      <c r="J43" s="65">
        <f>Pensions!AA43</f>
        <v>171750</v>
      </c>
      <c r="K43" s="69">
        <f>Pensions!AB43</f>
        <v>296250</v>
      </c>
      <c r="L43" s="664">
        <v>8</v>
      </c>
    </row>
    <row r="44" spans="1:12" x14ac:dyDescent="0.25">
      <c r="A44" s="161">
        <v>39995</v>
      </c>
      <c r="B44" s="162">
        <v>40075</v>
      </c>
      <c r="C44" s="18">
        <v>550.30000000000007</v>
      </c>
      <c r="D44" s="20">
        <f>Pensions!D44</f>
        <v>19.5</v>
      </c>
      <c r="E44" s="60"/>
      <c r="F44" s="92">
        <f t="shared" si="0"/>
        <v>569.80000000000007</v>
      </c>
      <c r="G44" s="18">
        <v>142</v>
      </c>
      <c r="H44" s="20">
        <f>Pensions!R44</f>
        <v>24.6</v>
      </c>
      <c r="I44" s="4">
        <f>Pensions!U44</f>
        <v>0.4</v>
      </c>
      <c r="J44" s="18">
        <f>Pensions!AA44</f>
        <v>178000</v>
      </c>
      <c r="K44" s="60">
        <f>Pensions!AB44</f>
        <v>307000</v>
      </c>
      <c r="L44" s="662">
        <v>8</v>
      </c>
    </row>
    <row r="45" spans="1:12" x14ac:dyDescent="0.25">
      <c r="A45" s="163">
        <v>40076</v>
      </c>
      <c r="B45" s="164">
        <v>40178</v>
      </c>
      <c r="C45" s="17">
        <v>554.9</v>
      </c>
      <c r="D45" s="19">
        <f>Pensions!D45</f>
        <v>19.600000000000001</v>
      </c>
      <c r="E45" s="35"/>
      <c r="F45" s="93">
        <f t="shared" si="0"/>
        <v>574.5</v>
      </c>
      <c r="G45" s="17">
        <v>142</v>
      </c>
      <c r="H45" s="19">
        <f t="shared" ref="H45:I59" si="1">H44</f>
        <v>24.6</v>
      </c>
      <c r="I45" s="1">
        <f t="shared" si="1"/>
        <v>0.4</v>
      </c>
      <c r="J45" s="17">
        <f>Pensions!AA45</f>
        <v>178000</v>
      </c>
      <c r="K45" s="35">
        <f>Pensions!AB45</f>
        <v>307000</v>
      </c>
      <c r="L45" s="663">
        <v>8</v>
      </c>
    </row>
    <row r="46" spans="1:12" x14ac:dyDescent="0.25">
      <c r="A46" s="163">
        <v>40179</v>
      </c>
      <c r="B46" s="164">
        <v>40256</v>
      </c>
      <c r="C46" s="17">
        <v>554.9</v>
      </c>
      <c r="D46" s="19">
        <f>Pensions!D46</f>
        <v>19.600000000000001</v>
      </c>
      <c r="E46" s="35"/>
      <c r="F46" s="93">
        <f t="shared" si="0"/>
        <v>574.5</v>
      </c>
      <c r="G46" s="17">
        <v>142</v>
      </c>
      <c r="H46" s="19">
        <f t="shared" si="1"/>
        <v>24.6</v>
      </c>
      <c r="I46" s="1">
        <f t="shared" si="1"/>
        <v>0.4</v>
      </c>
      <c r="J46" s="17">
        <f>Pensions!AA46</f>
        <v>178000</v>
      </c>
      <c r="K46" s="35">
        <f>Pensions!AB46</f>
        <v>307000</v>
      </c>
      <c r="L46" s="663">
        <v>8</v>
      </c>
    </row>
    <row r="47" spans="1:12" ht="15.75" thickBot="1" x14ac:dyDescent="0.3">
      <c r="A47" s="180">
        <v>40257</v>
      </c>
      <c r="B47" s="181">
        <v>40359</v>
      </c>
      <c r="C47" s="65">
        <v>581.4</v>
      </c>
      <c r="D47" s="68">
        <f>Pensions!D47</f>
        <v>19.899999999999999</v>
      </c>
      <c r="E47" s="69"/>
      <c r="F47" s="94">
        <f t="shared" si="0"/>
        <v>601.29999999999995</v>
      </c>
      <c r="G47" s="65">
        <v>142</v>
      </c>
      <c r="H47" s="68">
        <f t="shared" si="1"/>
        <v>24.6</v>
      </c>
      <c r="I47" s="70">
        <f t="shared" si="1"/>
        <v>0.4</v>
      </c>
      <c r="J47" s="65">
        <f>Pensions!AA47</f>
        <v>178000</v>
      </c>
      <c r="K47" s="69">
        <f>Pensions!AB47</f>
        <v>307000</v>
      </c>
      <c r="L47" s="664">
        <v>8</v>
      </c>
    </row>
    <row r="48" spans="1:12" x14ac:dyDescent="0.25">
      <c r="A48" s="161">
        <v>40360</v>
      </c>
      <c r="B48" s="162">
        <v>40440</v>
      </c>
      <c r="C48" s="18">
        <v>581.4</v>
      </c>
      <c r="D48" s="20">
        <f>Pensions!D48</f>
        <v>19.899999999999999</v>
      </c>
      <c r="E48" s="60"/>
      <c r="F48" s="92">
        <f t="shared" si="0"/>
        <v>601.29999999999995</v>
      </c>
      <c r="G48" s="18">
        <v>146</v>
      </c>
      <c r="H48" s="20">
        <v>24.6</v>
      </c>
      <c r="I48" s="4">
        <f>I47</f>
        <v>0.4</v>
      </c>
      <c r="J48" s="18">
        <f>Pensions!AA48</f>
        <v>181750</v>
      </c>
      <c r="K48" s="60">
        <f>Pensions!AB48</f>
        <v>313250</v>
      </c>
      <c r="L48" s="662">
        <v>8</v>
      </c>
    </row>
    <row r="49" spans="1:12" x14ac:dyDescent="0.25">
      <c r="A49" s="163">
        <v>40441</v>
      </c>
      <c r="B49" s="164">
        <v>40543</v>
      </c>
      <c r="C49" s="17">
        <v>591.70000000000005</v>
      </c>
      <c r="D49" s="19">
        <f>Pensions!D49</f>
        <v>20.200000000000003</v>
      </c>
      <c r="E49" s="35"/>
      <c r="F49" s="93">
        <f t="shared" si="0"/>
        <v>611.90000000000009</v>
      </c>
      <c r="G49" s="17">
        <v>146</v>
      </c>
      <c r="H49" s="19">
        <v>24.6</v>
      </c>
      <c r="I49" s="1">
        <f t="shared" si="1"/>
        <v>0.4</v>
      </c>
      <c r="J49" s="17">
        <f>Pensions!AA49</f>
        <v>181750</v>
      </c>
      <c r="K49" s="35">
        <f>Pensions!AB49</f>
        <v>313250</v>
      </c>
      <c r="L49" s="663">
        <v>8</v>
      </c>
    </row>
    <row r="50" spans="1:12" x14ac:dyDescent="0.25">
      <c r="A50" s="163">
        <v>40544</v>
      </c>
      <c r="B50" s="164">
        <v>40621</v>
      </c>
      <c r="C50" s="17">
        <v>591.70000000000005</v>
      </c>
      <c r="D50" s="19">
        <f>Pensions!D50</f>
        <v>20.200000000000003</v>
      </c>
      <c r="E50" s="35"/>
      <c r="F50" s="93">
        <f t="shared" si="0"/>
        <v>611.90000000000009</v>
      </c>
      <c r="G50" s="17">
        <v>146</v>
      </c>
      <c r="H50" s="19">
        <v>24.6</v>
      </c>
      <c r="I50" s="1">
        <f t="shared" si="1"/>
        <v>0.4</v>
      </c>
      <c r="J50" s="17">
        <f>Pensions!AA50</f>
        <v>181750</v>
      </c>
      <c r="K50" s="35">
        <f>Pensions!AB50</f>
        <v>313250</v>
      </c>
      <c r="L50" s="663">
        <v>8</v>
      </c>
    </row>
    <row r="51" spans="1:12" ht="15.75" thickBot="1" x14ac:dyDescent="0.3">
      <c r="A51" s="180">
        <v>40622</v>
      </c>
      <c r="B51" s="181">
        <v>40724</v>
      </c>
      <c r="C51" s="65">
        <v>605.5</v>
      </c>
      <c r="D51" s="68">
        <f>Pensions!D51</f>
        <v>20.399999999999999</v>
      </c>
      <c r="E51" s="69"/>
      <c r="F51" s="94">
        <f t="shared" si="0"/>
        <v>625.9</v>
      </c>
      <c r="G51" s="65">
        <v>146</v>
      </c>
      <c r="H51" s="68">
        <v>24.6</v>
      </c>
      <c r="I51" s="70">
        <f t="shared" si="1"/>
        <v>0.4</v>
      </c>
      <c r="J51" s="65">
        <f>Pensions!AA51</f>
        <v>181750</v>
      </c>
      <c r="K51" s="69">
        <f>Pensions!AB51</f>
        <v>313250</v>
      </c>
      <c r="L51" s="664">
        <v>8</v>
      </c>
    </row>
    <row r="52" spans="1:12" x14ac:dyDescent="0.25">
      <c r="A52" s="161">
        <v>40725</v>
      </c>
      <c r="B52" s="162">
        <v>40805</v>
      </c>
      <c r="C52" s="18">
        <v>605.5</v>
      </c>
      <c r="D52" s="20">
        <f>Pensions!D52</f>
        <v>20.399999999999999</v>
      </c>
      <c r="E52" s="60"/>
      <c r="F52" s="92">
        <f t="shared" si="0"/>
        <v>625.9</v>
      </c>
      <c r="G52" s="18">
        <v>150</v>
      </c>
      <c r="H52" s="20">
        <v>24.6</v>
      </c>
      <c r="I52" s="4">
        <f t="shared" si="1"/>
        <v>0.4</v>
      </c>
      <c r="J52" s="18">
        <f>Pensions!AA52</f>
        <v>186750</v>
      </c>
      <c r="K52" s="60">
        <f>Pensions!AB52</f>
        <v>321750</v>
      </c>
      <c r="L52" s="662">
        <v>8</v>
      </c>
    </row>
    <row r="53" spans="1:12" x14ac:dyDescent="0.25">
      <c r="A53" s="163">
        <v>40806</v>
      </c>
      <c r="B53" s="164">
        <v>40908</v>
      </c>
      <c r="C53" s="17">
        <v>620.6</v>
      </c>
      <c r="D53" s="19">
        <f>Pensions!D53</f>
        <v>20.9</v>
      </c>
      <c r="E53" s="35"/>
      <c r="F53" s="93">
        <f t="shared" si="0"/>
        <v>641.5</v>
      </c>
      <c r="G53" s="17">
        <v>150</v>
      </c>
      <c r="H53" s="19">
        <v>24.6</v>
      </c>
      <c r="I53" s="1">
        <f t="shared" si="1"/>
        <v>0.4</v>
      </c>
      <c r="J53" s="17">
        <f>Pensions!AA53</f>
        <v>186750</v>
      </c>
      <c r="K53" s="35">
        <f>Pensions!AB53</f>
        <v>321750</v>
      </c>
      <c r="L53" s="663">
        <v>8</v>
      </c>
    </row>
    <row r="54" spans="1:12" x14ac:dyDescent="0.25">
      <c r="A54" s="163">
        <v>40909</v>
      </c>
      <c r="B54" s="164">
        <v>40987</v>
      </c>
      <c r="C54" s="17">
        <v>620.6</v>
      </c>
      <c r="D54" s="19">
        <f>Pensions!D54</f>
        <v>20.9</v>
      </c>
      <c r="E54" s="35"/>
      <c r="F54" s="93">
        <f t="shared" si="0"/>
        <v>641.5</v>
      </c>
      <c r="G54" s="17">
        <v>150</v>
      </c>
      <c r="H54" s="19">
        <v>24.6</v>
      </c>
      <c r="I54" s="1">
        <f t="shared" si="1"/>
        <v>0.4</v>
      </c>
      <c r="J54" s="17">
        <f>Pensions!AA54</f>
        <v>186750</v>
      </c>
      <c r="K54" s="35">
        <f>Pensions!AB54</f>
        <v>321750</v>
      </c>
      <c r="L54" s="663">
        <v>8</v>
      </c>
    </row>
    <row r="55" spans="1:12" ht="15.75" thickBot="1" x14ac:dyDescent="0.3">
      <c r="A55" s="180">
        <v>40988</v>
      </c>
      <c r="B55" s="181">
        <v>41090</v>
      </c>
      <c r="C55" s="65">
        <v>627.5</v>
      </c>
      <c r="D55" s="68">
        <f>Pensions!D55</f>
        <v>21</v>
      </c>
      <c r="E55" s="69"/>
      <c r="F55" s="94">
        <f t="shared" si="0"/>
        <v>648.5</v>
      </c>
      <c r="G55" s="65">
        <v>150</v>
      </c>
      <c r="H55" s="68">
        <v>24.6</v>
      </c>
      <c r="I55" s="70">
        <f t="shared" si="1"/>
        <v>0.4</v>
      </c>
      <c r="J55" s="65">
        <f>Pensions!AA55</f>
        <v>186750</v>
      </c>
      <c r="K55" s="69">
        <f>Pensions!AB55</f>
        <v>321750</v>
      </c>
      <c r="L55" s="664">
        <v>8</v>
      </c>
    </row>
    <row r="56" spans="1:12" x14ac:dyDescent="0.25">
      <c r="A56" s="161">
        <v>41091</v>
      </c>
      <c r="B56" s="162">
        <v>41171</v>
      </c>
      <c r="C56" s="18">
        <v>627.5</v>
      </c>
      <c r="D56" s="20">
        <f>Pensions!D56</f>
        <v>21</v>
      </c>
      <c r="E56" s="60"/>
      <c r="F56" s="92">
        <f t="shared" si="0"/>
        <v>648.5</v>
      </c>
      <c r="G56" s="18">
        <v>152</v>
      </c>
      <c r="H56" s="20">
        <v>24.6</v>
      </c>
      <c r="I56" s="4">
        <f t="shared" si="1"/>
        <v>0.4</v>
      </c>
      <c r="J56" s="18">
        <f>Pensions!AA56</f>
        <v>192500</v>
      </c>
      <c r="K56" s="60">
        <f>Pensions!AB56</f>
        <v>332000</v>
      </c>
      <c r="L56" s="662">
        <v>8</v>
      </c>
    </row>
    <row r="57" spans="1:12" x14ac:dyDescent="0.25">
      <c r="A57" s="163">
        <v>41172</v>
      </c>
      <c r="B57" s="164">
        <v>41274</v>
      </c>
      <c r="C57" s="375">
        <v>642.60000000000014</v>
      </c>
      <c r="D57" s="242">
        <f>Pensions!D57</f>
        <v>21.1</v>
      </c>
      <c r="E57" s="374"/>
      <c r="F57" s="93">
        <f t="shared" si="0"/>
        <v>663.70000000000016</v>
      </c>
      <c r="G57" s="17">
        <v>152</v>
      </c>
      <c r="H57" s="19">
        <v>24.6</v>
      </c>
      <c r="I57" s="1">
        <f t="shared" si="1"/>
        <v>0.4</v>
      </c>
      <c r="J57" s="17">
        <f>Pensions!AA57</f>
        <v>192500</v>
      </c>
      <c r="K57" s="35">
        <f>Pensions!AB57</f>
        <v>332000</v>
      </c>
      <c r="L57" s="663">
        <v>8</v>
      </c>
    </row>
    <row r="58" spans="1:12" s="5" customFormat="1" x14ac:dyDescent="0.25">
      <c r="A58" s="496">
        <v>41275</v>
      </c>
      <c r="B58" s="497">
        <v>41352</v>
      </c>
      <c r="C58" s="375">
        <v>642.60000000000014</v>
      </c>
      <c r="D58" s="242">
        <f>Pensions!D58</f>
        <v>21.1</v>
      </c>
      <c r="E58" s="374"/>
      <c r="F58" s="373">
        <f t="shared" si="0"/>
        <v>663.70000000000016</v>
      </c>
      <c r="G58" s="375">
        <v>152</v>
      </c>
      <c r="H58" s="242">
        <v>24.6</v>
      </c>
      <c r="I58" s="397">
        <f t="shared" si="1"/>
        <v>0.4</v>
      </c>
      <c r="J58" s="375">
        <f>Pensions!AA58</f>
        <v>192500</v>
      </c>
      <c r="K58" s="374">
        <f>Pensions!AB58</f>
        <v>332000</v>
      </c>
      <c r="L58" s="599">
        <v>8</v>
      </c>
    </row>
    <row r="59" spans="1:12" s="5" customFormat="1" ht="15.75" thickBot="1" x14ac:dyDescent="0.3">
      <c r="A59" s="538">
        <v>41353</v>
      </c>
      <c r="B59" s="539">
        <v>41455</v>
      </c>
      <c r="C59" s="540">
        <v>662.2</v>
      </c>
      <c r="D59" s="543">
        <f>Pensions!D59</f>
        <v>21.300000000000004</v>
      </c>
      <c r="E59" s="541">
        <v>11.6</v>
      </c>
      <c r="F59" s="542">
        <f t="shared" si="0"/>
        <v>695.1</v>
      </c>
      <c r="G59" s="540">
        <v>152</v>
      </c>
      <c r="H59" s="543">
        <v>24.6</v>
      </c>
      <c r="I59" s="549">
        <f t="shared" si="1"/>
        <v>0.4</v>
      </c>
      <c r="J59" s="540">
        <f>Pensions!AA59</f>
        <v>192500</v>
      </c>
      <c r="K59" s="541">
        <f>Pensions!AB59</f>
        <v>332000</v>
      </c>
      <c r="L59" s="665">
        <v>8</v>
      </c>
    </row>
    <row r="60" spans="1:12" s="5" customFormat="1" x14ac:dyDescent="0.25">
      <c r="A60" s="531">
        <v>41456</v>
      </c>
      <c r="B60" s="532">
        <v>41536</v>
      </c>
      <c r="C60" s="534">
        <v>662.2</v>
      </c>
      <c r="D60" s="536">
        <v>21.300000000000004</v>
      </c>
      <c r="E60" s="535">
        <v>11.6</v>
      </c>
      <c r="F60" s="533">
        <v>695.1</v>
      </c>
      <c r="G60" s="534">
        <v>156</v>
      </c>
      <c r="H60" s="536">
        <v>24.6</v>
      </c>
      <c r="I60" s="537">
        <v>0.4</v>
      </c>
      <c r="J60" s="534">
        <v>196750</v>
      </c>
      <c r="K60" s="535">
        <v>339250</v>
      </c>
      <c r="L60" s="666">
        <v>8</v>
      </c>
    </row>
    <row r="61" spans="1:12" s="5" customFormat="1" x14ac:dyDescent="0.25">
      <c r="A61" s="496">
        <v>41537</v>
      </c>
      <c r="B61" s="497">
        <v>41639</v>
      </c>
      <c r="C61" s="375">
        <v>678.4</v>
      </c>
      <c r="D61" s="242">
        <v>21.5</v>
      </c>
      <c r="E61" s="374">
        <v>11.7</v>
      </c>
      <c r="F61" s="373">
        <v>711.6</v>
      </c>
      <c r="G61" s="375">
        <v>156</v>
      </c>
      <c r="H61" s="242">
        <v>24.6</v>
      </c>
      <c r="I61" s="397">
        <v>0.4</v>
      </c>
      <c r="J61" s="375">
        <v>196750</v>
      </c>
      <c r="K61" s="374">
        <v>339250</v>
      </c>
      <c r="L61" s="599">
        <v>8</v>
      </c>
    </row>
    <row r="62" spans="1:12" x14ac:dyDescent="0.25">
      <c r="A62" s="496">
        <v>41640</v>
      </c>
      <c r="B62" s="497">
        <v>41717</v>
      </c>
      <c r="C62" s="375">
        <v>678.4</v>
      </c>
      <c r="D62" s="242">
        <v>21.5</v>
      </c>
      <c r="E62" s="374">
        <v>11.7</v>
      </c>
      <c r="F62" s="373">
        <v>711.6</v>
      </c>
      <c r="G62" s="375">
        <v>156</v>
      </c>
      <c r="H62" s="242">
        <v>24.6</v>
      </c>
      <c r="I62" s="397">
        <v>0.4</v>
      </c>
      <c r="J62" s="375">
        <v>196750</v>
      </c>
      <c r="K62" s="374">
        <v>339250</v>
      </c>
      <c r="L62" s="599">
        <v>8</v>
      </c>
    </row>
    <row r="63" spans="1:12" ht="15.75" thickBot="1" x14ac:dyDescent="0.3">
      <c r="A63" s="538">
        <v>41718</v>
      </c>
      <c r="B63" s="539">
        <v>41820</v>
      </c>
      <c r="C63" s="540">
        <v>691.3</v>
      </c>
      <c r="D63" s="543">
        <v>21.9</v>
      </c>
      <c r="E63" s="541">
        <v>11.9</v>
      </c>
      <c r="F63" s="542">
        <v>725.09999999999991</v>
      </c>
      <c r="G63" s="540">
        <v>156</v>
      </c>
      <c r="H63" s="543">
        <v>24.6</v>
      </c>
      <c r="I63" s="549">
        <v>0.4</v>
      </c>
      <c r="J63" s="540">
        <v>196750</v>
      </c>
      <c r="K63" s="541">
        <v>339250</v>
      </c>
      <c r="L63" s="665">
        <v>8</v>
      </c>
    </row>
    <row r="64" spans="1:12" x14ac:dyDescent="0.25">
      <c r="A64" s="531">
        <v>41821</v>
      </c>
      <c r="B64" s="532">
        <v>41901</v>
      </c>
      <c r="C64" s="375">
        <v>691.3</v>
      </c>
      <c r="D64" s="536">
        <v>21.9</v>
      </c>
      <c r="E64" s="535">
        <v>11.9</v>
      </c>
      <c r="F64" s="533">
        <v>725.09999999999991</v>
      </c>
      <c r="G64" s="534">
        <v>160</v>
      </c>
      <c r="H64" s="536">
        <v>24.6</v>
      </c>
      <c r="I64" s="537">
        <v>0.4</v>
      </c>
      <c r="J64" s="534">
        <v>202000</v>
      </c>
      <c r="K64" s="535">
        <v>348500</v>
      </c>
      <c r="L64" s="666">
        <v>8</v>
      </c>
    </row>
    <row r="65" spans="1:14" x14ac:dyDescent="0.25">
      <c r="A65" s="496">
        <v>41902</v>
      </c>
      <c r="B65" s="497">
        <v>42004</v>
      </c>
      <c r="C65" s="375">
        <v>698.2</v>
      </c>
      <c r="D65" s="242">
        <v>22.1</v>
      </c>
      <c r="E65" s="374">
        <v>12</v>
      </c>
      <c r="F65" s="373">
        <v>732.30000000000007</v>
      </c>
      <c r="G65" s="375">
        <v>160</v>
      </c>
      <c r="H65" s="242">
        <v>24.6</v>
      </c>
      <c r="I65" s="397">
        <v>0.4</v>
      </c>
      <c r="J65" s="375">
        <v>202000</v>
      </c>
      <c r="K65" s="374">
        <v>348500</v>
      </c>
      <c r="L65" s="599">
        <v>8</v>
      </c>
    </row>
    <row r="66" spans="1:14" x14ac:dyDescent="0.25">
      <c r="A66" s="496">
        <v>42005</v>
      </c>
      <c r="B66" s="497">
        <v>42082</v>
      </c>
      <c r="C66" s="375">
        <v>698.2</v>
      </c>
      <c r="D66" s="242">
        <v>22.1</v>
      </c>
      <c r="E66" s="374">
        <v>12</v>
      </c>
      <c r="F66" s="373">
        <v>732.30000000000007</v>
      </c>
      <c r="G66" s="375">
        <v>160</v>
      </c>
      <c r="H66" s="242">
        <v>24.6</v>
      </c>
      <c r="I66" s="397">
        <v>0.4</v>
      </c>
      <c r="J66" s="375">
        <v>202000</v>
      </c>
      <c r="K66" s="374">
        <v>348500</v>
      </c>
      <c r="L66" s="599">
        <v>8</v>
      </c>
      <c r="M66"/>
      <c r="N66"/>
    </row>
    <row r="67" spans="1:14" ht="15.75" thickBot="1" x14ac:dyDescent="0.3">
      <c r="A67" s="538">
        <v>42083</v>
      </c>
      <c r="B67" s="539">
        <v>42185</v>
      </c>
      <c r="C67" s="540">
        <v>703.10000000000014</v>
      </c>
      <c r="D67" s="543">
        <v>22.300000000000004</v>
      </c>
      <c r="E67" s="541">
        <v>12</v>
      </c>
      <c r="F67" s="542">
        <v>737.40000000000009</v>
      </c>
      <c r="G67" s="540">
        <v>160</v>
      </c>
      <c r="H67" s="543">
        <v>24.6</v>
      </c>
      <c r="I67" s="549">
        <v>0.4</v>
      </c>
      <c r="J67" s="375">
        <v>202000</v>
      </c>
      <c r="K67" s="541">
        <v>348500</v>
      </c>
      <c r="L67" s="665">
        <v>8</v>
      </c>
      <c r="M67"/>
      <c r="N67"/>
    </row>
    <row r="68" spans="1:14" x14ac:dyDescent="0.25">
      <c r="A68" s="531">
        <v>42186</v>
      </c>
      <c r="B68" s="532">
        <v>42266</v>
      </c>
      <c r="C68" s="534">
        <v>703.1</v>
      </c>
      <c r="D68" s="536">
        <v>22.300000000000004</v>
      </c>
      <c r="E68" s="535">
        <v>12</v>
      </c>
      <c r="F68" s="533">
        <v>737.40000000000009</v>
      </c>
      <c r="G68" s="534">
        <v>162</v>
      </c>
      <c r="H68" s="536">
        <v>24.6</v>
      </c>
      <c r="I68" s="919">
        <v>0.4</v>
      </c>
      <c r="J68" s="534">
        <f t="shared" ref="I68:J91" si="2">J67</f>
        <v>202000</v>
      </c>
      <c r="K68" s="535">
        <f>Unemployment!P68</f>
        <v>348500</v>
      </c>
      <c r="L68" s="666">
        <v>8</v>
      </c>
      <c r="M68"/>
    </row>
    <row r="69" spans="1:14" x14ac:dyDescent="0.25">
      <c r="A69" s="496">
        <v>42267</v>
      </c>
      <c r="B69" s="497">
        <v>42369</v>
      </c>
      <c r="C69" s="375">
        <v>708.7</v>
      </c>
      <c r="D69" s="242">
        <v>22.5</v>
      </c>
      <c r="E69" s="374">
        <v>12</v>
      </c>
      <c r="F69" s="373">
        <v>743.2</v>
      </c>
      <c r="G69" s="375">
        <v>162</v>
      </c>
      <c r="H69" s="242">
        <v>24.6</v>
      </c>
      <c r="I69" s="397">
        <v>0.4</v>
      </c>
      <c r="J69" s="375">
        <v>202000</v>
      </c>
      <c r="K69" s="374">
        <v>348500</v>
      </c>
      <c r="L69" s="599">
        <v>8</v>
      </c>
    </row>
    <row r="70" spans="1:14" x14ac:dyDescent="0.25">
      <c r="A70" s="496">
        <v>42370</v>
      </c>
      <c r="B70" s="497">
        <v>42448</v>
      </c>
      <c r="C70" s="375">
        <f>C69</f>
        <v>708.7</v>
      </c>
      <c r="D70" s="242">
        <f>Pensions!D70</f>
        <v>22.5</v>
      </c>
      <c r="E70" s="374">
        <f t="shared" ref="E70:E91" si="3">E69</f>
        <v>12</v>
      </c>
      <c r="F70" s="373">
        <f>SUM(C70:E70)</f>
        <v>743.2</v>
      </c>
      <c r="G70" s="375">
        <f t="shared" ref="G70:G75" si="4">G69</f>
        <v>162</v>
      </c>
      <c r="H70" s="242">
        <f t="shared" ref="H70:H91" si="5">H69</f>
        <v>24.6</v>
      </c>
      <c r="I70" s="397">
        <f t="shared" si="2"/>
        <v>0.4</v>
      </c>
      <c r="J70" s="375">
        <f t="shared" si="2"/>
        <v>202000</v>
      </c>
      <c r="K70" s="374">
        <f>Unemployment!P70</f>
        <v>348500</v>
      </c>
      <c r="L70" s="599">
        <v>8</v>
      </c>
    </row>
    <row r="71" spans="1:14" ht="15.75" thickBot="1" x14ac:dyDescent="0.3">
      <c r="A71" s="538">
        <v>42449</v>
      </c>
      <c r="B71" s="539">
        <v>42551</v>
      </c>
      <c r="C71" s="540">
        <f>MAX(CEILING(52*0.25*getEcoPar($B69,"peMTAWE"),2.6)/26,IndexAmt(C70*26,"peCpiFp",$B69,2.6,6)/26)</f>
        <v>714.40000000000009</v>
      </c>
      <c r="D71" s="543">
        <f>Pensions!D71</f>
        <v>22.700000000000003</v>
      </c>
      <c r="E71" s="541">
        <f t="shared" si="3"/>
        <v>12</v>
      </c>
      <c r="F71" s="542">
        <f>SUM(C71:E71)</f>
        <v>749.10000000000014</v>
      </c>
      <c r="G71" s="540">
        <f t="shared" si="4"/>
        <v>162</v>
      </c>
      <c r="H71" s="543">
        <f t="shared" si="5"/>
        <v>24.6</v>
      </c>
      <c r="I71" s="549">
        <f t="shared" si="2"/>
        <v>0.4</v>
      </c>
      <c r="J71" s="540">
        <f t="shared" si="2"/>
        <v>202000</v>
      </c>
      <c r="K71" s="541">
        <f>Unemployment!P71</f>
        <v>348500</v>
      </c>
      <c r="L71" s="665">
        <v>8</v>
      </c>
    </row>
    <row r="72" spans="1:14" x14ac:dyDescent="0.25">
      <c r="A72" s="1038">
        <v>42552</v>
      </c>
      <c r="B72" s="1039">
        <v>42632</v>
      </c>
      <c r="C72" s="1035">
        <f>C71</f>
        <v>714.40000000000009</v>
      </c>
      <c r="D72" s="1034">
        <f>Pensions!D72</f>
        <v>22.700000000000003</v>
      </c>
      <c r="E72" s="1036">
        <f t="shared" si="3"/>
        <v>12</v>
      </c>
      <c r="F72" s="1037">
        <f t="shared" si="0"/>
        <v>749.10000000000014</v>
      </c>
      <c r="G72" s="534">
        <v>164</v>
      </c>
      <c r="H72" s="1034">
        <f t="shared" si="5"/>
        <v>24.6</v>
      </c>
      <c r="I72" s="1040">
        <f t="shared" si="2"/>
        <v>0.4</v>
      </c>
      <c r="J72" s="1035">
        <f t="shared" si="2"/>
        <v>202000</v>
      </c>
      <c r="K72" s="1036">
        <f>Unemployment!P72</f>
        <v>348500</v>
      </c>
      <c r="L72" s="1041">
        <v>8</v>
      </c>
      <c r="N72" s="12"/>
    </row>
    <row r="73" spans="1:14" x14ac:dyDescent="0.25">
      <c r="A73" s="496">
        <v>42633</v>
      </c>
      <c r="B73" s="497">
        <v>42735</v>
      </c>
      <c r="C73" s="375">
        <f>MAX(CEILING(52*0.25*getEcoPar($B71,"peMTAWE"),2.6)/26,IndexAmt(C72*26,"peCpiFp",$B71,2.6,6)/26)</f>
        <v>715.8</v>
      </c>
      <c r="D73" s="242">
        <f>Pensions!D73</f>
        <v>22.700000000000003</v>
      </c>
      <c r="E73" s="374">
        <f t="shared" si="3"/>
        <v>12</v>
      </c>
      <c r="F73" s="373">
        <f>SUM(C73:E73)</f>
        <v>750.5</v>
      </c>
      <c r="G73" s="242">
        <f t="shared" si="4"/>
        <v>164</v>
      </c>
      <c r="H73" s="242">
        <f t="shared" si="5"/>
        <v>24.6</v>
      </c>
      <c r="I73" s="397">
        <f t="shared" si="2"/>
        <v>0.4</v>
      </c>
      <c r="J73" s="375">
        <f t="shared" si="2"/>
        <v>202000</v>
      </c>
      <c r="K73" s="374">
        <f>Unemployment!P73</f>
        <v>348500</v>
      </c>
      <c r="L73" s="599">
        <v>8</v>
      </c>
    </row>
    <row r="74" spans="1:14" x14ac:dyDescent="0.25">
      <c r="A74" s="496">
        <v>42736</v>
      </c>
      <c r="B74" s="497">
        <v>42813</v>
      </c>
      <c r="C74" s="375">
        <f>C73</f>
        <v>715.8</v>
      </c>
      <c r="D74" s="242">
        <f>Pensions!D74</f>
        <v>22.700000000000003</v>
      </c>
      <c r="E74" s="374">
        <f t="shared" si="3"/>
        <v>12</v>
      </c>
      <c r="F74" s="373">
        <f t="shared" ref="F74:F91" si="6">SUM(C74:E74)</f>
        <v>750.5</v>
      </c>
      <c r="G74" s="242">
        <f>G73</f>
        <v>164</v>
      </c>
      <c r="H74" s="242">
        <f>H73</f>
        <v>24.6</v>
      </c>
      <c r="I74" s="397">
        <f t="shared" si="2"/>
        <v>0.4</v>
      </c>
      <c r="J74" s="375">
        <v>250000</v>
      </c>
      <c r="K74" s="374">
        <f>Unemployment!P74</f>
        <v>450000</v>
      </c>
      <c r="L74" s="599">
        <v>8</v>
      </c>
    </row>
    <row r="75" spans="1:14" ht="15.75" thickBot="1" x14ac:dyDescent="0.3">
      <c r="A75" s="538">
        <v>42814</v>
      </c>
      <c r="B75" s="539">
        <v>42916</v>
      </c>
      <c r="C75" s="540">
        <f>MAX(CEILING(52*0.25*getEcoPar($B73,"peMTAWE"),2.6)/26,IndexAmt(C74*26,"peCpiFp",$B73,2.6,6)/26)</f>
        <v>725.10000000000014</v>
      </c>
      <c r="D75" s="543">
        <f>Pensions!D75</f>
        <v>23</v>
      </c>
      <c r="E75" s="541">
        <f t="shared" si="3"/>
        <v>12</v>
      </c>
      <c r="F75" s="542">
        <f t="shared" si="6"/>
        <v>760.10000000000014</v>
      </c>
      <c r="G75" s="543">
        <f t="shared" si="4"/>
        <v>164</v>
      </c>
      <c r="H75" s="543">
        <f t="shared" si="5"/>
        <v>24.6</v>
      </c>
      <c r="I75" s="549">
        <f t="shared" si="2"/>
        <v>0.4</v>
      </c>
      <c r="J75" s="540">
        <f t="shared" si="2"/>
        <v>250000</v>
      </c>
      <c r="K75" s="541">
        <f>Unemployment!P75</f>
        <v>450000</v>
      </c>
      <c r="L75" s="665">
        <v>8</v>
      </c>
    </row>
    <row r="76" spans="1:14" x14ac:dyDescent="0.25">
      <c r="A76" s="531">
        <v>42917</v>
      </c>
      <c r="B76" s="532">
        <v>42997</v>
      </c>
      <c r="C76" s="534">
        <f>C75</f>
        <v>725.10000000000014</v>
      </c>
      <c r="D76" s="536">
        <f>Pensions!D76</f>
        <v>23</v>
      </c>
      <c r="E76" s="535">
        <f t="shared" si="3"/>
        <v>12</v>
      </c>
      <c r="F76" s="533">
        <f t="shared" si="6"/>
        <v>760.10000000000014</v>
      </c>
      <c r="G76" s="534">
        <f t="shared" ref="G76:G87" si="7">G75</f>
        <v>164</v>
      </c>
      <c r="H76" s="536">
        <f t="shared" si="5"/>
        <v>24.6</v>
      </c>
      <c r="I76" s="537">
        <f t="shared" si="2"/>
        <v>0.4</v>
      </c>
      <c r="J76" s="534">
        <f>Unemployment!O76</f>
        <v>253750</v>
      </c>
      <c r="K76" s="535">
        <f>Unemployment!P76</f>
        <v>456750</v>
      </c>
      <c r="L76" s="666">
        <v>8</v>
      </c>
    </row>
    <row r="77" spans="1:14" x14ac:dyDescent="0.25">
      <c r="A77" s="165">
        <v>42998</v>
      </c>
      <c r="B77" s="166">
        <v>43100</v>
      </c>
      <c r="C77" s="33">
        <f>MAX(CEILING(52*0.25*getEcoPar($B75,"peMTAWE"),2.6)/26,IndexAmt(C76*26,"peCpiFp",$B75,2.6,6)/26)</f>
        <v>729.5</v>
      </c>
      <c r="D77" s="34">
        <f>Pensions!D77</f>
        <v>23.1</v>
      </c>
      <c r="E77" s="862">
        <f t="shared" si="3"/>
        <v>12</v>
      </c>
      <c r="F77" s="107">
        <f t="shared" si="6"/>
        <v>764.6</v>
      </c>
      <c r="G77" s="33">
        <f t="shared" si="7"/>
        <v>164</v>
      </c>
      <c r="H77" s="34">
        <f t="shared" si="5"/>
        <v>24.6</v>
      </c>
      <c r="I77" s="15">
        <f t="shared" si="2"/>
        <v>0.4</v>
      </c>
      <c r="J77" s="33">
        <f>J76</f>
        <v>253750</v>
      </c>
      <c r="K77" s="75">
        <f>Unemployment!P77</f>
        <v>456750</v>
      </c>
      <c r="L77" s="667">
        <v>8</v>
      </c>
    </row>
    <row r="78" spans="1:14" x14ac:dyDescent="0.25">
      <c r="A78" s="165">
        <v>43101</v>
      </c>
      <c r="B78" s="166">
        <v>43178</v>
      </c>
      <c r="C78" s="33">
        <f>C77</f>
        <v>729.5</v>
      </c>
      <c r="D78" s="34">
        <f>Pensions!D78</f>
        <v>23.1</v>
      </c>
      <c r="E78" s="75">
        <f t="shared" si="3"/>
        <v>12</v>
      </c>
      <c r="F78" s="107">
        <f t="shared" si="6"/>
        <v>764.6</v>
      </c>
      <c r="G78" s="33">
        <f t="shared" si="7"/>
        <v>164</v>
      </c>
      <c r="H78" s="34">
        <f t="shared" si="5"/>
        <v>24.6</v>
      </c>
      <c r="I78" s="15">
        <f t="shared" si="2"/>
        <v>0.4</v>
      </c>
      <c r="J78" s="33">
        <f>J77</f>
        <v>253750</v>
      </c>
      <c r="K78" s="75">
        <f>Unemployment!P78</f>
        <v>456750</v>
      </c>
      <c r="L78" s="667">
        <v>8</v>
      </c>
    </row>
    <row r="79" spans="1:14" ht="15.75" thickBot="1" x14ac:dyDescent="0.3">
      <c r="A79" s="167">
        <v>43179</v>
      </c>
      <c r="B79" s="168">
        <v>43281</v>
      </c>
      <c r="C79" s="77">
        <f>MAX(CEILING(52*0.25*getEcoPar($B77,"peMTAWE"),2.6)/26,IndexAmt(C78*26,"peCpiFp",$B77,2.6,6)/26)</f>
        <v>736.8</v>
      </c>
      <c r="D79" s="78">
        <f>Pensions!D79</f>
        <v>23.300000000000004</v>
      </c>
      <c r="E79" s="79">
        <f t="shared" si="3"/>
        <v>12</v>
      </c>
      <c r="F79" s="111">
        <f t="shared" si="6"/>
        <v>772.09999999999991</v>
      </c>
      <c r="G79" s="77">
        <f t="shared" si="7"/>
        <v>164</v>
      </c>
      <c r="H79" s="78">
        <f t="shared" si="5"/>
        <v>24.6</v>
      </c>
      <c r="I79" s="81">
        <f t="shared" si="2"/>
        <v>0.4</v>
      </c>
      <c r="J79" s="77">
        <f>J78</f>
        <v>253750</v>
      </c>
      <c r="K79" s="79">
        <f>Unemployment!P79</f>
        <v>456750</v>
      </c>
      <c r="L79" s="668">
        <v>8</v>
      </c>
    </row>
    <row r="80" spans="1:14" x14ac:dyDescent="0.25">
      <c r="A80" s="169">
        <v>43282</v>
      </c>
      <c r="B80" s="170">
        <v>43362</v>
      </c>
      <c r="C80" s="860">
        <f>C79</f>
        <v>736.8</v>
      </c>
      <c r="D80" s="171">
        <f>Pensions!D80</f>
        <v>23.300000000000004</v>
      </c>
      <c r="E80" s="172">
        <f t="shared" si="3"/>
        <v>12</v>
      </c>
      <c r="F80" s="189">
        <f t="shared" si="6"/>
        <v>772.09999999999991</v>
      </c>
      <c r="G80" s="860">
        <f t="shared" si="7"/>
        <v>164</v>
      </c>
      <c r="H80" s="171">
        <f t="shared" si="5"/>
        <v>24.6</v>
      </c>
      <c r="I80" s="197">
        <f t="shared" si="2"/>
        <v>0.4</v>
      </c>
      <c r="J80" s="860">
        <f>IndexAmt(J79,"peCpiFp",$B77,250,12)</f>
        <v>257750</v>
      </c>
      <c r="K80" s="172">
        <f>Unemployment!P80</f>
        <v>464250</v>
      </c>
      <c r="L80" s="669">
        <v>8</v>
      </c>
    </row>
    <row r="81" spans="1:12" x14ac:dyDescent="0.25">
      <c r="A81" s="165">
        <v>43363</v>
      </c>
      <c r="B81" s="166">
        <v>43465</v>
      </c>
      <c r="C81" s="33">
        <f>MAX(CEILING(52*0.25*getEcoPar($B79,"peMTAWE"),2.6)/26,IndexAmt(C80*26,"peCpiFp",$B79,2.6,6)/26)</f>
        <v>744.2</v>
      </c>
      <c r="D81" s="34">
        <f>Pensions!D81</f>
        <v>23.5</v>
      </c>
      <c r="E81" s="75">
        <f t="shared" si="3"/>
        <v>12</v>
      </c>
      <c r="F81" s="107">
        <f t="shared" si="6"/>
        <v>779.7</v>
      </c>
      <c r="G81" s="33">
        <f t="shared" si="7"/>
        <v>164</v>
      </c>
      <c r="H81" s="34">
        <f t="shared" si="5"/>
        <v>24.6</v>
      </c>
      <c r="I81" s="15">
        <f t="shared" si="2"/>
        <v>0.4</v>
      </c>
      <c r="J81" s="33">
        <f t="shared" si="2"/>
        <v>257750</v>
      </c>
      <c r="K81" s="75">
        <f>Unemployment!P81</f>
        <v>464250</v>
      </c>
      <c r="L81" s="667">
        <v>8</v>
      </c>
    </row>
    <row r="82" spans="1:12" x14ac:dyDescent="0.25">
      <c r="A82" s="165">
        <v>43466</v>
      </c>
      <c r="B82" s="166">
        <v>43543</v>
      </c>
      <c r="C82" s="33">
        <f>C81</f>
        <v>744.2</v>
      </c>
      <c r="D82" s="34">
        <f>Pensions!D82</f>
        <v>23.5</v>
      </c>
      <c r="E82" s="75">
        <f t="shared" si="3"/>
        <v>12</v>
      </c>
      <c r="F82" s="107">
        <f t="shared" si="6"/>
        <v>779.7</v>
      </c>
      <c r="G82" s="33">
        <f t="shared" si="7"/>
        <v>164</v>
      </c>
      <c r="H82" s="34">
        <f t="shared" si="5"/>
        <v>24.6</v>
      </c>
      <c r="I82" s="15">
        <f t="shared" si="2"/>
        <v>0.4</v>
      </c>
      <c r="J82" s="33">
        <f t="shared" si="2"/>
        <v>257750</v>
      </c>
      <c r="K82" s="75">
        <f>Unemployment!P82</f>
        <v>464250</v>
      </c>
      <c r="L82" s="667">
        <v>8</v>
      </c>
    </row>
    <row r="83" spans="1:12" ht="15.75" thickBot="1" x14ac:dyDescent="0.3">
      <c r="A83" s="167">
        <v>43544</v>
      </c>
      <c r="B83" s="168">
        <v>43646</v>
      </c>
      <c r="C83" s="77">
        <f>MAX(CEILING(52*0.25*getEcoPar($B81,"peMTAWE"),2.6)/26,IndexAmt(C82*26,"peCpiFp",$B81,2.6,6)/26)</f>
        <v>752.40000000000009</v>
      </c>
      <c r="D83" s="78">
        <f>Pensions!D83</f>
        <v>23.800000000000004</v>
      </c>
      <c r="E83" s="79">
        <f t="shared" si="3"/>
        <v>12</v>
      </c>
      <c r="F83" s="111">
        <f t="shared" si="6"/>
        <v>788.2</v>
      </c>
      <c r="G83" s="77">
        <f t="shared" si="7"/>
        <v>164</v>
      </c>
      <c r="H83" s="78">
        <f t="shared" si="5"/>
        <v>24.6</v>
      </c>
      <c r="I83" s="81">
        <f t="shared" si="2"/>
        <v>0.4</v>
      </c>
      <c r="J83" s="77">
        <f t="shared" si="2"/>
        <v>257750</v>
      </c>
      <c r="K83" s="79">
        <f>Unemployment!P83</f>
        <v>464250</v>
      </c>
      <c r="L83" s="668">
        <v>8</v>
      </c>
    </row>
    <row r="84" spans="1:12" x14ac:dyDescent="0.25">
      <c r="A84" s="169">
        <v>43647</v>
      </c>
      <c r="B84" s="170">
        <v>43727</v>
      </c>
      <c r="C84" s="860">
        <f>C83</f>
        <v>752.40000000000009</v>
      </c>
      <c r="D84" s="171">
        <f>Pensions!D84</f>
        <v>23.800000000000004</v>
      </c>
      <c r="E84" s="172">
        <f t="shared" si="3"/>
        <v>12</v>
      </c>
      <c r="F84" s="189">
        <f t="shared" si="6"/>
        <v>788.2</v>
      </c>
      <c r="G84" s="860">
        <f t="shared" si="7"/>
        <v>164</v>
      </c>
      <c r="H84" s="171">
        <f t="shared" si="5"/>
        <v>24.6</v>
      </c>
      <c r="I84" s="197">
        <f t="shared" si="2"/>
        <v>0.4</v>
      </c>
      <c r="J84" s="188">
        <f>IndexAmt(J83,"peCpiFp",$B81,250,12)</f>
        <v>263250</v>
      </c>
      <c r="K84" s="172">
        <f>Unemployment!P84</f>
        <v>474250</v>
      </c>
      <c r="L84" s="669">
        <v>8</v>
      </c>
    </row>
    <row r="85" spans="1:12" x14ac:dyDescent="0.25">
      <c r="A85" s="165">
        <v>43728</v>
      </c>
      <c r="B85" s="166">
        <v>43830</v>
      </c>
      <c r="C85" s="33">
        <f>MAX(CEILING(52*0.25*getEcoPar($B83,"peMTAWE"),2.6)/26,IndexAmt(C84*26,"peCpiFp",$B83,2.6,6)/26)</f>
        <v>760.7</v>
      </c>
      <c r="D85" s="34">
        <f>Pensions!D85</f>
        <v>24.1</v>
      </c>
      <c r="E85" s="75">
        <f t="shared" si="3"/>
        <v>12</v>
      </c>
      <c r="F85" s="107">
        <f t="shared" si="6"/>
        <v>796.80000000000007</v>
      </c>
      <c r="G85" s="33">
        <f t="shared" si="7"/>
        <v>164</v>
      </c>
      <c r="H85" s="34">
        <f t="shared" si="5"/>
        <v>24.6</v>
      </c>
      <c r="I85" s="15">
        <f t="shared" si="2"/>
        <v>0.4</v>
      </c>
      <c r="J85" s="33">
        <f t="shared" si="2"/>
        <v>263250</v>
      </c>
      <c r="K85" s="75">
        <f>Unemployment!P85</f>
        <v>474250</v>
      </c>
      <c r="L85" s="667">
        <v>8</v>
      </c>
    </row>
    <row r="86" spans="1:12" x14ac:dyDescent="0.25">
      <c r="A86" s="165">
        <v>43831</v>
      </c>
      <c r="B86" s="166">
        <v>43909</v>
      </c>
      <c r="C86" s="33">
        <f>C85</f>
        <v>760.7</v>
      </c>
      <c r="D86" s="34">
        <f>Pensions!D86</f>
        <v>24.1</v>
      </c>
      <c r="E86" s="75">
        <f t="shared" si="3"/>
        <v>12</v>
      </c>
      <c r="F86" s="107">
        <f t="shared" si="6"/>
        <v>796.80000000000007</v>
      </c>
      <c r="G86" s="33">
        <f t="shared" si="7"/>
        <v>164</v>
      </c>
      <c r="H86" s="34">
        <f t="shared" si="5"/>
        <v>24.6</v>
      </c>
      <c r="I86" s="15">
        <f t="shared" si="2"/>
        <v>0.4</v>
      </c>
      <c r="J86" s="33">
        <f t="shared" si="2"/>
        <v>263250</v>
      </c>
      <c r="K86" s="75">
        <f>Unemployment!P86</f>
        <v>474250</v>
      </c>
      <c r="L86" s="667">
        <v>8</v>
      </c>
    </row>
    <row r="87" spans="1:12" ht="15.75" thickBot="1" x14ac:dyDescent="0.3">
      <c r="A87" s="167">
        <v>43910</v>
      </c>
      <c r="B87" s="168">
        <v>44012</v>
      </c>
      <c r="C87" s="77">
        <f>MAX(CEILING(52*0.25*getEcoPar($B85,"peMTAWE"),2.6)/26,IndexAmt(C86*26,"peCpiFp",$B85,2.6,6)/26)</f>
        <v>769.8</v>
      </c>
      <c r="D87" s="78">
        <f>Pensions!D87</f>
        <v>24.4</v>
      </c>
      <c r="E87" s="79">
        <f t="shared" si="3"/>
        <v>12</v>
      </c>
      <c r="F87" s="111">
        <f t="shared" si="6"/>
        <v>806.19999999999993</v>
      </c>
      <c r="G87" s="77">
        <f t="shared" si="7"/>
        <v>164</v>
      </c>
      <c r="H87" s="78">
        <f t="shared" si="5"/>
        <v>24.6</v>
      </c>
      <c r="I87" s="81">
        <f t="shared" si="2"/>
        <v>0.4</v>
      </c>
      <c r="J87" s="77">
        <f t="shared" si="2"/>
        <v>263250</v>
      </c>
      <c r="K87" s="79">
        <f>Unemployment!P87</f>
        <v>474250</v>
      </c>
      <c r="L87" s="668">
        <v>8</v>
      </c>
    </row>
    <row r="88" spans="1:12" x14ac:dyDescent="0.25">
      <c r="A88" s="169">
        <v>44013</v>
      </c>
      <c r="B88" s="170">
        <v>44093</v>
      </c>
      <c r="C88" s="860">
        <f>C87</f>
        <v>769.8</v>
      </c>
      <c r="D88" s="171">
        <f>Pensions!D88</f>
        <v>24.4</v>
      </c>
      <c r="E88" s="172">
        <f t="shared" si="3"/>
        <v>12</v>
      </c>
      <c r="F88" s="189">
        <f t="shared" si="6"/>
        <v>806.19999999999993</v>
      </c>
      <c r="G88" s="860">
        <f>IndexAmt(G87,"peCpiFp",$B86,2,12)</f>
        <v>168</v>
      </c>
      <c r="H88" s="171">
        <f t="shared" si="5"/>
        <v>24.6</v>
      </c>
      <c r="I88" s="197">
        <f t="shared" si="2"/>
        <v>0.4</v>
      </c>
      <c r="J88" s="188">
        <f>IndexAmt(J87,"peCpiFp",$B85,250,12)</f>
        <v>269500</v>
      </c>
      <c r="K88" s="172">
        <f>Unemployment!P88</f>
        <v>485500</v>
      </c>
      <c r="L88" s="669">
        <v>8</v>
      </c>
    </row>
    <row r="89" spans="1:12" x14ac:dyDescent="0.25">
      <c r="A89" s="165">
        <v>44094</v>
      </c>
      <c r="B89" s="166">
        <v>44196</v>
      </c>
      <c r="C89" s="33">
        <f>MAX(CEILING(52*0.25*getEcoPar($B87,"peMTAWE"),2.6)/26,IndexAmt(C88*26,"peCpiFp",$B87,2.6,6)/26)</f>
        <v>779.8</v>
      </c>
      <c r="D89" s="34">
        <f>Pensions!D89</f>
        <v>24.700000000000003</v>
      </c>
      <c r="E89" s="75">
        <f t="shared" si="3"/>
        <v>12</v>
      </c>
      <c r="F89" s="107">
        <f t="shared" si="6"/>
        <v>816.5</v>
      </c>
      <c r="G89" s="33">
        <f>G88</f>
        <v>168</v>
      </c>
      <c r="H89" s="34">
        <f t="shared" si="5"/>
        <v>24.6</v>
      </c>
      <c r="I89" s="15">
        <f t="shared" si="2"/>
        <v>0.4</v>
      </c>
      <c r="J89" s="33">
        <f t="shared" si="2"/>
        <v>269500</v>
      </c>
      <c r="K89" s="75">
        <f>Unemployment!P89</f>
        <v>485500</v>
      </c>
      <c r="L89" s="667">
        <v>8</v>
      </c>
    </row>
    <row r="90" spans="1:12" x14ac:dyDescent="0.25">
      <c r="A90" s="165">
        <v>44197</v>
      </c>
      <c r="B90" s="166">
        <v>44274</v>
      </c>
      <c r="C90" s="33">
        <f>C89</f>
        <v>779.8</v>
      </c>
      <c r="D90" s="34">
        <f>Pensions!D90</f>
        <v>24.700000000000003</v>
      </c>
      <c r="E90" s="75">
        <f t="shared" si="3"/>
        <v>12</v>
      </c>
      <c r="F90" s="107">
        <f t="shared" si="6"/>
        <v>816.5</v>
      </c>
      <c r="G90" s="33">
        <f>G89</f>
        <v>168</v>
      </c>
      <c r="H90" s="34">
        <f t="shared" si="5"/>
        <v>24.6</v>
      </c>
      <c r="I90" s="15">
        <f t="shared" si="2"/>
        <v>0.4</v>
      </c>
      <c r="J90" s="33">
        <f t="shared" si="2"/>
        <v>269500</v>
      </c>
      <c r="K90" s="75">
        <f>Unemployment!P90</f>
        <v>485500</v>
      </c>
      <c r="L90" s="667">
        <v>8</v>
      </c>
    </row>
    <row r="91" spans="1:12" ht="15.75" thickBot="1" x14ac:dyDescent="0.3">
      <c r="A91" s="167">
        <v>44275</v>
      </c>
      <c r="B91" s="168">
        <v>44377</v>
      </c>
      <c r="C91" s="77">
        <f>MAX(CEILING(52*0.25*getEcoPar($B89,"peMTAWE"),2.6)/26,IndexAmt(C90*26,"peCpiFp",$B89,2.6,6)/26)</f>
        <v>789.90000000000009</v>
      </c>
      <c r="D91" s="78">
        <f>Pensions!D91</f>
        <v>25</v>
      </c>
      <c r="E91" s="79">
        <f t="shared" si="3"/>
        <v>12</v>
      </c>
      <c r="F91" s="111">
        <f t="shared" si="6"/>
        <v>826.90000000000009</v>
      </c>
      <c r="G91" s="77">
        <f>G90</f>
        <v>168</v>
      </c>
      <c r="H91" s="78">
        <f t="shared" si="5"/>
        <v>24.6</v>
      </c>
      <c r="I91" s="81">
        <f t="shared" si="2"/>
        <v>0.4</v>
      </c>
      <c r="J91" s="77">
        <f t="shared" si="2"/>
        <v>269500</v>
      </c>
      <c r="K91" s="79">
        <f>Unemployment!P91</f>
        <v>485500</v>
      </c>
      <c r="L91" s="668">
        <v>8</v>
      </c>
    </row>
  </sheetData>
  <customSheetViews>
    <customSheetView guid="{E49C2F27-B0B9-497E-BEC0-5B59561292FE}">
      <pane xSplit="2" ySplit="7" topLeftCell="C59" activePane="bottomRight" state="frozen"/>
      <selection pane="bottomRight" activeCell="G72" sqref="G72"/>
      <pageMargins left="0.7" right="0.7" top="0.75" bottom="0.75" header="0.3" footer="0.3"/>
      <pageSetup paperSize="9" orientation="portrait" r:id="rId1"/>
    </customSheetView>
    <customSheetView guid="{A5953138-1481-4137-BEAD-32FA4FDF03E6}">
      <pane xSplit="2" ySplit="7" topLeftCell="C59" activePane="bottomRight" state="frozen"/>
      <selection pane="bottomRight" activeCell="G72" sqref="G72"/>
      <pageMargins left="0.7" right="0.7" top="0.75" bottom="0.75" header="0.3" footer="0.3"/>
      <pageSetup paperSize="9" orientation="portrait" r:id="rId2"/>
    </customSheetView>
    <customSheetView guid="{2A1F94CA-1A34-4418-88FD-EABF7586C2B2}">
      <pane xSplit="2" ySplit="7" topLeftCell="C59" activePane="bottomRight" state="frozen"/>
      <selection pane="bottomRight" activeCell="G72" sqref="G72"/>
      <pageMargins left="0.7" right="0.7" top="0.75" bottom="0.75" header="0.3" footer="0.3"/>
      <pageSetup paperSize="9" orientation="portrait" r:id="rId3"/>
    </customSheetView>
  </customSheetViews>
  <mergeCells count="18">
    <mergeCell ref="I3:I6"/>
    <mergeCell ref="G2:I2"/>
    <mergeCell ref="G3:G6"/>
    <mergeCell ref="H3:H6"/>
    <mergeCell ref="L1:L6"/>
    <mergeCell ref="G1:K1"/>
    <mergeCell ref="J2:K3"/>
    <mergeCell ref="J4:J6"/>
    <mergeCell ref="K4:K6"/>
    <mergeCell ref="A2:B3"/>
    <mergeCell ref="A4:A6"/>
    <mergeCell ref="B4:B6"/>
    <mergeCell ref="C1:F1"/>
    <mergeCell ref="E3:E6"/>
    <mergeCell ref="D3:D6"/>
    <mergeCell ref="C3:C6"/>
    <mergeCell ref="C2:E2"/>
    <mergeCell ref="F2:F6"/>
  </mergeCells>
  <pageMargins left="0.7" right="0.7" top="0.75" bottom="0.75" header="0.3" footer="0.3"/>
  <pageSetup paperSize="9" orientation="portrait" r:id="rId4"/>
  <legacyDrawing r:id="rId5"/>
</worksheet>
</file>

<file path=xl/worksheets/sheet1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sheetPr codeName="Sheet24">
    <tabColor rgb="FF00B0F0"/>
  </sheetPr>
  <dimension ref="A1:N28"/>
  <sheetViews>
    <sheetView workbookViewId="0">
      <selection activeCell="I12" sqref="I12"/>
    </sheetView>
  </sheetViews>
  <sheetFormatPr defaultRowHeight="15" x14ac:dyDescent="0.25"/>
  <cols>
    <col min="1" max="1" width="10.7109375" style="28" customWidth="1"/>
    <col min="2" max="2" width="11.140625" style="28" customWidth="1"/>
    <col min="3" max="6" width="17" style="12" customWidth="1"/>
    <col min="7" max="7" width="20.140625" style="12" bestFit="1" customWidth="1"/>
    <col min="8" max="8" width="22.28515625" style="12" bestFit="1" customWidth="1"/>
    <col min="9" max="9" width="20.85546875" style="28" bestFit="1" customWidth="1"/>
    <col min="10" max="10" width="18.28515625" style="12" bestFit="1" customWidth="1"/>
    <col min="11" max="11" width="19.5703125" style="12" bestFit="1" customWidth="1"/>
    <col min="12" max="12" width="13.85546875" style="16" bestFit="1" customWidth="1"/>
    <col min="13" max="16384" width="9.140625" style="28"/>
  </cols>
  <sheetData>
    <row r="1" spans="1:12" ht="15.75" thickBot="1" x14ac:dyDescent="0.3">
      <c r="A1" s="87"/>
      <c r="B1" s="87"/>
      <c r="C1" s="1160" t="s">
        <v>23</v>
      </c>
      <c r="D1" s="1161"/>
      <c r="E1" s="1161"/>
      <c r="F1" s="1162"/>
      <c r="G1" s="1160" t="s">
        <v>192</v>
      </c>
      <c r="H1" s="1161"/>
      <c r="I1" s="1161"/>
      <c r="J1" s="1161"/>
      <c r="K1" s="1162"/>
      <c r="L1" s="1251" t="s">
        <v>356</v>
      </c>
    </row>
    <row r="2" spans="1:12" ht="15.75" customHeight="1" thickBot="1" x14ac:dyDescent="0.3">
      <c r="A2" s="1164" t="s">
        <v>13</v>
      </c>
      <c r="B2" s="1165"/>
      <c r="C2" s="1211" t="s">
        <v>188</v>
      </c>
      <c r="D2" s="1212"/>
      <c r="E2" s="1212"/>
      <c r="F2" s="1224" t="s">
        <v>201</v>
      </c>
      <c r="G2" s="1211" t="s">
        <v>26</v>
      </c>
      <c r="H2" s="1212"/>
      <c r="I2" s="1212"/>
      <c r="J2" s="1164" t="s">
        <v>202</v>
      </c>
      <c r="K2" s="1165"/>
      <c r="L2" s="1252"/>
    </row>
    <row r="3" spans="1:12" ht="15.75" customHeight="1" thickBot="1" x14ac:dyDescent="0.3">
      <c r="A3" s="1215"/>
      <c r="B3" s="1236"/>
      <c r="C3" s="1218" t="s">
        <v>181</v>
      </c>
      <c r="D3" s="1240" t="s">
        <v>25</v>
      </c>
      <c r="E3" s="1227" t="s">
        <v>605</v>
      </c>
      <c r="F3" s="1225"/>
      <c r="G3" s="1218" t="s">
        <v>27</v>
      </c>
      <c r="H3" s="1240" t="s">
        <v>37</v>
      </c>
      <c r="I3" s="1187" t="s">
        <v>35</v>
      </c>
      <c r="J3" s="1217"/>
      <c r="K3" s="1167"/>
      <c r="L3" s="1252"/>
    </row>
    <row r="4" spans="1:12" ht="15" customHeight="1" x14ac:dyDescent="0.25">
      <c r="A4" s="1188" t="s">
        <v>16</v>
      </c>
      <c r="B4" s="1176" t="s">
        <v>17</v>
      </c>
      <c r="C4" s="1219"/>
      <c r="D4" s="1241"/>
      <c r="E4" s="1237"/>
      <c r="F4" s="1225"/>
      <c r="G4" s="1219"/>
      <c r="H4" s="1241"/>
      <c r="I4" s="1176"/>
      <c r="J4" s="1218" t="s">
        <v>203</v>
      </c>
      <c r="K4" s="1227" t="s">
        <v>204</v>
      </c>
      <c r="L4" s="1252"/>
    </row>
    <row r="5" spans="1:12" x14ac:dyDescent="0.25">
      <c r="A5" s="1188"/>
      <c r="B5" s="1176"/>
      <c r="C5" s="1219"/>
      <c r="D5" s="1241"/>
      <c r="E5" s="1237"/>
      <c r="F5" s="1225"/>
      <c r="G5" s="1219"/>
      <c r="H5" s="1241"/>
      <c r="I5" s="1176"/>
      <c r="J5" s="1219"/>
      <c r="K5" s="1237"/>
      <c r="L5" s="1252"/>
    </row>
    <row r="6" spans="1:12" ht="15.75" thickBot="1" x14ac:dyDescent="0.3">
      <c r="A6" s="1207"/>
      <c r="B6" s="1177"/>
      <c r="C6" s="1220"/>
      <c r="D6" s="1242"/>
      <c r="E6" s="1228"/>
      <c r="F6" s="1226"/>
      <c r="G6" s="1220"/>
      <c r="H6" s="1242"/>
      <c r="I6" s="1177"/>
      <c r="J6" s="1220"/>
      <c r="K6" s="1228"/>
      <c r="L6" s="1253"/>
    </row>
    <row r="7" spans="1:12" ht="15.75" thickBot="1" x14ac:dyDescent="0.3">
      <c r="A7" s="713" t="s">
        <v>550</v>
      </c>
      <c r="B7" s="714" t="s">
        <v>551</v>
      </c>
      <c r="C7" s="55" t="s">
        <v>389</v>
      </c>
      <c r="D7" s="185" t="s">
        <v>390</v>
      </c>
      <c r="E7" s="56" t="s">
        <v>613</v>
      </c>
      <c r="F7" s="184" t="s">
        <v>768</v>
      </c>
      <c r="G7" s="55" t="s">
        <v>391</v>
      </c>
      <c r="H7" s="185" t="s">
        <v>392</v>
      </c>
      <c r="I7" s="84" t="s">
        <v>393</v>
      </c>
      <c r="J7" s="55" t="s">
        <v>769</v>
      </c>
      <c r="K7" s="56" t="s">
        <v>770</v>
      </c>
      <c r="L7" s="854" t="s">
        <v>357</v>
      </c>
    </row>
    <row r="8" spans="1:12" x14ac:dyDescent="0.25">
      <c r="A8" s="161">
        <v>36708</v>
      </c>
      <c r="B8" s="162">
        <v>37072</v>
      </c>
      <c r="C8" s="18">
        <v>379.35384615384612</v>
      </c>
      <c r="D8" s="20">
        <v>15.211538461538462</v>
      </c>
      <c r="E8" s="60">
        <v>0</v>
      </c>
      <c r="F8" s="92">
        <v>394.56538461538463</v>
      </c>
      <c r="G8" s="18">
        <v>106</v>
      </c>
      <c r="H8" s="20">
        <v>24.6</v>
      </c>
      <c r="I8" s="4">
        <v>0.4</v>
      </c>
      <c r="J8" s="18">
        <v>133250</v>
      </c>
      <c r="K8" s="60">
        <v>228750</v>
      </c>
      <c r="L8" s="599">
        <v>16</v>
      </c>
    </row>
    <row r="9" spans="1:12" x14ac:dyDescent="0.25">
      <c r="A9" s="163">
        <v>37073</v>
      </c>
      <c r="B9" s="164">
        <v>37437</v>
      </c>
      <c r="C9" s="17">
        <v>395.79615384615386</v>
      </c>
      <c r="D9" s="19">
        <v>15.784615384615385</v>
      </c>
      <c r="E9" s="35">
        <v>0</v>
      </c>
      <c r="F9" s="93">
        <v>411.58076923076925</v>
      </c>
      <c r="G9" s="17">
        <v>112</v>
      </c>
      <c r="H9" s="19">
        <v>24.6</v>
      </c>
      <c r="I9" s="1">
        <v>0.4</v>
      </c>
      <c r="J9" s="17">
        <v>141000</v>
      </c>
      <c r="K9" s="35">
        <v>242000</v>
      </c>
      <c r="L9" s="599">
        <v>16</v>
      </c>
    </row>
    <row r="10" spans="1:12" x14ac:dyDescent="0.25">
      <c r="A10" s="163">
        <v>37438</v>
      </c>
      <c r="B10" s="164">
        <v>37802</v>
      </c>
      <c r="C10" s="17">
        <v>414.29615384615386</v>
      </c>
      <c r="D10" s="19">
        <v>16.284615384615385</v>
      </c>
      <c r="E10" s="35">
        <v>0</v>
      </c>
      <c r="F10" s="93">
        <v>430.58076923076925</v>
      </c>
      <c r="G10" s="17">
        <v>116</v>
      </c>
      <c r="H10" s="19">
        <v>24.6</v>
      </c>
      <c r="I10" s="1">
        <v>0.4</v>
      </c>
      <c r="J10" s="17">
        <v>145250</v>
      </c>
      <c r="K10" s="35">
        <v>249750</v>
      </c>
      <c r="L10" s="599">
        <v>16</v>
      </c>
    </row>
    <row r="11" spans="1:12" x14ac:dyDescent="0.25">
      <c r="A11" s="163">
        <v>37803</v>
      </c>
      <c r="B11" s="164">
        <v>38168</v>
      </c>
      <c r="C11" s="17">
        <v>436.27692307692308</v>
      </c>
      <c r="D11" s="19">
        <v>16.707692307692305</v>
      </c>
      <c r="E11" s="35">
        <v>0</v>
      </c>
      <c r="F11" s="93">
        <v>452.98461538461538</v>
      </c>
      <c r="G11" s="17">
        <v>120</v>
      </c>
      <c r="H11" s="19">
        <v>24.6</v>
      </c>
      <c r="I11" s="1">
        <v>0.4</v>
      </c>
      <c r="J11" s="17">
        <v>149500</v>
      </c>
      <c r="K11" s="35">
        <v>257500</v>
      </c>
      <c r="L11" s="599">
        <v>16</v>
      </c>
    </row>
    <row r="12" spans="1:12" x14ac:dyDescent="0.25">
      <c r="A12" s="163">
        <v>38169</v>
      </c>
      <c r="B12" s="164">
        <v>38533</v>
      </c>
      <c r="C12" s="17">
        <v>453.8</v>
      </c>
      <c r="D12" s="19">
        <v>17.114814814814814</v>
      </c>
      <c r="E12" s="35">
        <v>0</v>
      </c>
      <c r="F12" s="93">
        <v>470.9148148148148</v>
      </c>
      <c r="G12" s="17">
        <v>122</v>
      </c>
      <c r="H12" s="19">
        <v>24.6</v>
      </c>
      <c r="I12" s="1">
        <v>0.4</v>
      </c>
      <c r="J12" s="17">
        <v>153000</v>
      </c>
      <c r="K12" s="35">
        <v>263500</v>
      </c>
      <c r="L12" s="599">
        <v>16</v>
      </c>
    </row>
    <row r="13" spans="1:12" x14ac:dyDescent="0.25">
      <c r="A13" s="163">
        <v>38534</v>
      </c>
      <c r="B13" s="164">
        <v>38898</v>
      </c>
      <c r="C13" s="17">
        <v>472.24615384615385</v>
      </c>
      <c r="D13" s="19">
        <v>17.553846153846155</v>
      </c>
      <c r="E13" s="35">
        <v>0</v>
      </c>
      <c r="F13" s="93">
        <v>489.8</v>
      </c>
      <c r="G13" s="17">
        <v>124</v>
      </c>
      <c r="H13" s="19">
        <v>24.6</v>
      </c>
      <c r="I13" s="1">
        <v>0.4</v>
      </c>
      <c r="J13" s="17">
        <v>157000</v>
      </c>
      <c r="K13" s="35">
        <v>270500</v>
      </c>
      <c r="L13" s="599">
        <v>16</v>
      </c>
    </row>
    <row r="14" spans="1:12" x14ac:dyDescent="0.25">
      <c r="A14" s="163">
        <v>38899</v>
      </c>
      <c r="B14" s="164">
        <v>39263</v>
      </c>
      <c r="C14" s="17">
        <v>495.56153846153848</v>
      </c>
      <c r="D14" s="19">
        <v>18.153846153846153</v>
      </c>
      <c r="E14" s="35">
        <v>0</v>
      </c>
      <c r="F14" s="93">
        <v>513.71538461538466</v>
      </c>
      <c r="G14" s="17">
        <v>128</v>
      </c>
      <c r="H14" s="19">
        <v>24.6</v>
      </c>
      <c r="I14" s="1">
        <v>0.4</v>
      </c>
      <c r="J14" s="17">
        <v>161500</v>
      </c>
      <c r="K14" s="35">
        <v>278500</v>
      </c>
      <c r="L14" s="599">
        <v>8</v>
      </c>
    </row>
    <row r="15" spans="1:12" x14ac:dyDescent="0.25">
      <c r="A15" s="163">
        <v>39264</v>
      </c>
      <c r="B15" s="164">
        <v>39629</v>
      </c>
      <c r="C15" s="17">
        <v>519.52307692307693</v>
      </c>
      <c r="D15" s="19">
        <v>18.553846153846155</v>
      </c>
      <c r="E15" s="35">
        <v>0</v>
      </c>
      <c r="F15" s="93">
        <v>538.07692307692309</v>
      </c>
      <c r="G15" s="17">
        <v>132</v>
      </c>
      <c r="H15" s="19">
        <v>24.6</v>
      </c>
      <c r="I15" s="1">
        <v>0.4</v>
      </c>
      <c r="J15" s="17">
        <v>166750</v>
      </c>
      <c r="K15" s="35">
        <v>287750</v>
      </c>
      <c r="L15" s="599">
        <v>8</v>
      </c>
    </row>
    <row r="16" spans="1:12" x14ac:dyDescent="0.25">
      <c r="A16" s="163">
        <v>39630</v>
      </c>
      <c r="B16" s="164">
        <v>39994</v>
      </c>
      <c r="C16" s="17">
        <v>541.40384615384608</v>
      </c>
      <c r="D16" s="19">
        <v>19.238461538461539</v>
      </c>
      <c r="E16" s="35">
        <v>0</v>
      </c>
      <c r="F16" s="93">
        <v>560.64230769230767</v>
      </c>
      <c r="G16" s="17">
        <v>138</v>
      </c>
      <c r="H16" s="19">
        <v>24.6</v>
      </c>
      <c r="I16" s="1">
        <v>0.4</v>
      </c>
      <c r="J16" s="17">
        <v>171750</v>
      </c>
      <c r="K16" s="35">
        <v>296250</v>
      </c>
      <c r="L16" s="599">
        <v>8</v>
      </c>
    </row>
    <row r="17" spans="1:14" x14ac:dyDescent="0.25">
      <c r="A17" s="163">
        <v>39995</v>
      </c>
      <c r="B17" s="164">
        <v>40359</v>
      </c>
      <c r="C17" s="17">
        <v>560.97307692307686</v>
      </c>
      <c r="D17" s="19">
        <v>19.657692307692308</v>
      </c>
      <c r="E17" s="35">
        <v>0</v>
      </c>
      <c r="F17" s="93">
        <v>580.63076923076926</v>
      </c>
      <c r="G17" s="17">
        <v>142</v>
      </c>
      <c r="H17" s="19">
        <v>24.6</v>
      </c>
      <c r="I17" s="1">
        <v>0.4</v>
      </c>
      <c r="J17" s="17">
        <v>178000</v>
      </c>
      <c r="K17" s="35">
        <v>307000</v>
      </c>
      <c r="L17" s="599">
        <v>8</v>
      </c>
    </row>
    <row r="18" spans="1:14" x14ac:dyDescent="0.25">
      <c r="A18" s="163">
        <v>40360</v>
      </c>
      <c r="B18" s="164">
        <v>40724</v>
      </c>
      <c r="C18" s="17">
        <v>593.03846153846155</v>
      </c>
      <c r="D18" s="19">
        <v>20.184615384615384</v>
      </c>
      <c r="E18" s="35">
        <v>0</v>
      </c>
      <c r="F18" s="93">
        <v>613.22307692307686</v>
      </c>
      <c r="G18" s="17">
        <v>146</v>
      </c>
      <c r="H18" s="19">
        <v>24.6</v>
      </c>
      <c r="I18" s="1">
        <v>0.4</v>
      </c>
      <c r="J18" s="17">
        <v>181750</v>
      </c>
      <c r="K18" s="35">
        <v>313250</v>
      </c>
      <c r="L18" s="599">
        <v>8</v>
      </c>
    </row>
    <row r="19" spans="1:14" x14ac:dyDescent="0.25">
      <c r="A19" s="163">
        <v>40725</v>
      </c>
      <c r="B19" s="164">
        <v>41090</v>
      </c>
      <c r="C19" s="17">
        <v>618.97307692307697</v>
      </c>
      <c r="D19" s="19">
        <v>20.811538461538461</v>
      </c>
      <c r="E19" s="35">
        <v>0</v>
      </c>
      <c r="F19" s="93">
        <v>639.78461538461534</v>
      </c>
      <c r="G19" s="17">
        <v>150</v>
      </c>
      <c r="H19" s="19">
        <v>24.6</v>
      </c>
      <c r="I19" s="1">
        <v>0.4</v>
      </c>
      <c r="J19" s="17">
        <v>186750</v>
      </c>
      <c r="K19" s="35">
        <v>321750</v>
      </c>
      <c r="L19" s="599">
        <v>8</v>
      </c>
    </row>
    <row r="20" spans="1:14" s="5" customFormat="1" x14ac:dyDescent="0.25">
      <c r="A20" s="496">
        <v>41091</v>
      </c>
      <c r="B20" s="497">
        <v>41455</v>
      </c>
      <c r="C20" s="375">
        <v>644.39230769230767</v>
      </c>
      <c r="D20" s="242">
        <v>21.130769230769232</v>
      </c>
      <c r="E20" s="374">
        <v>3.1230769230769231</v>
      </c>
      <c r="F20" s="373">
        <v>668.64615384615388</v>
      </c>
      <c r="G20" s="375">
        <v>152</v>
      </c>
      <c r="H20" s="242">
        <v>24.6</v>
      </c>
      <c r="I20" s="397">
        <v>0.4</v>
      </c>
      <c r="J20" s="375">
        <v>192500</v>
      </c>
      <c r="K20" s="374">
        <v>332000</v>
      </c>
      <c r="L20" s="599">
        <v>8</v>
      </c>
    </row>
    <row r="21" spans="1:14" x14ac:dyDescent="0.25">
      <c r="A21" s="496">
        <v>41456</v>
      </c>
      <c r="B21" s="497">
        <v>41820</v>
      </c>
      <c r="C21" s="375">
        <v>678.13461538461536</v>
      </c>
      <c r="D21" s="242">
        <v>21.561538461538461</v>
      </c>
      <c r="E21" s="374">
        <v>11.73076923076923</v>
      </c>
      <c r="F21" s="373">
        <v>711.42692307692312</v>
      </c>
      <c r="G21" s="375">
        <v>156</v>
      </c>
      <c r="H21" s="242">
        <v>24.6</v>
      </c>
      <c r="I21" s="397">
        <v>0.4</v>
      </c>
      <c r="J21" s="375">
        <v>196750</v>
      </c>
      <c r="K21" s="374">
        <v>339250</v>
      </c>
      <c r="L21" s="397">
        <v>8</v>
      </c>
      <c r="M21"/>
      <c r="N21"/>
    </row>
    <row r="22" spans="1:14" x14ac:dyDescent="0.25">
      <c r="A22" s="496">
        <v>41821</v>
      </c>
      <c r="B22" s="497">
        <v>42185</v>
      </c>
      <c r="C22" s="375">
        <v>697.92692307692312</v>
      </c>
      <c r="D22" s="242">
        <v>22.107692307692307</v>
      </c>
      <c r="E22" s="374">
        <v>11.976923076923077</v>
      </c>
      <c r="F22" s="373">
        <v>732.01153846153841</v>
      </c>
      <c r="G22" s="375">
        <v>160</v>
      </c>
      <c r="H22" s="242">
        <v>24.6</v>
      </c>
      <c r="I22" s="397">
        <v>0.4</v>
      </c>
      <c r="J22" s="375">
        <v>202000</v>
      </c>
      <c r="K22" s="374">
        <v>348500</v>
      </c>
      <c r="L22" s="397">
        <v>8</v>
      </c>
      <c r="M22"/>
      <c r="N22"/>
    </row>
    <row r="23" spans="1:14" x14ac:dyDescent="0.25">
      <c r="A23" s="496">
        <v>42186</v>
      </c>
      <c r="B23" s="497">
        <v>42551</v>
      </c>
      <c r="C23" s="375">
        <f t="shared" ref="C23:L28" si="0">AnnualAverage($A23,C$7,PPSParms,PPSDates,PPSNames)</f>
        <v>709.1444444444445</v>
      </c>
      <c r="D23" s="242">
        <f t="shared" si="0"/>
        <v>22.514814814814816</v>
      </c>
      <c r="E23" s="374">
        <f t="shared" si="0"/>
        <v>12</v>
      </c>
      <c r="F23" s="373">
        <f t="shared" si="0"/>
        <v>743.65925925925933</v>
      </c>
      <c r="G23" s="375">
        <f t="shared" si="0"/>
        <v>162</v>
      </c>
      <c r="H23" s="242">
        <f t="shared" si="0"/>
        <v>24.6</v>
      </c>
      <c r="I23" s="397">
        <f t="shared" si="0"/>
        <v>0.4</v>
      </c>
      <c r="J23" s="375">
        <f t="shared" si="0"/>
        <v>202000</v>
      </c>
      <c r="K23" s="374">
        <f t="shared" si="0"/>
        <v>348500</v>
      </c>
      <c r="L23" s="397">
        <f>AnnualAverage($A23,L$7,PPSParms,PPSDates,PPSNames)</f>
        <v>8</v>
      </c>
      <c r="M23"/>
      <c r="N23"/>
    </row>
    <row r="24" spans="1:14" x14ac:dyDescent="0.25">
      <c r="A24" s="496">
        <v>42552</v>
      </c>
      <c r="B24" s="497">
        <v>42916</v>
      </c>
      <c r="C24" s="375">
        <f t="shared" si="0"/>
        <v>718.39230769230767</v>
      </c>
      <c r="D24" s="242">
        <f t="shared" si="0"/>
        <v>22.792307692307691</v>
      </c>
      <c r="E24" s="374">
        <f t="shared" si="0"/>
        <v>12</v>
      </c>
      <c r="F24" s="373">
        <f t="shared" si="0"/>
        <v>753.18461538461543</v>
      </c>
      <c r="G24" s="375">
        <f t="shared" si="0"/>
        <v>164</v>
      </c>
      <c r="H24" s="242">
        <f t="shared" si="0"/>
        <v>24.6</v>
      </c>
      <c r="I24" s="397">
        <f t="shared" si="0"/>
        <v>0.4</v>
      </c>
      <c r="J24" s="375">
        <f t="shared" si="0"/>
        <v>226000</v>
      </c>
      <c r="K24" s="374">
        <f t="shared" si="0"/>
        <v>399250</v>
      </c>
      <c r="L24" s="397">
        <f t="shared" si="0"/>
        <v>8</v>
      </c>
      <c r="M24"/>
      <c r="N24"/>
    </row>
    <row r="25" spans="1:14" x14ac:dyDescent="0.25">
      <c r="A25" s="165">
        <v>42917</v>
      </c>
      <c r="B25" s="166">
        <v>43281</v>
      </c>
      <c r="C25" s="33">
        <f t="shared" si="0"/>
        <v>730.9</v>
      </c>
      <c r="D25" s="34">
        <f t="shared" si="0"/>
        <v>23.142307692307693</v>
      </c>
      <c r="E25" s="75">
        <f t="shared" si="0"/>
        <v>12</v>
      </c>
      <c r="F25" s="107">
        <f t="shared" si="0"/>
        <v>766.04230769230776</v>
      </c>
      <c r="G25" s="33">
        <f t="shared" si="0"/>
        <v>164</v>
      </c>
      <c r="H25" s="34">
        <f t="shared" si="0"/>
        <v>24.6</v>
      </c>
      <c r="I25" s="15">
        <f t="shared" si="0"/>
        <v>0.4</v>
      </c>
      <c r="J25" s="33">
        <f t="shared" si="0"/>
        <v>253750</v>
      </c>
      <c r="K25" s="75">
        <f t="shared" si="0"/>
        <v>456750</v>
      </c>
      <c r="L25" s="15">
        <f t="shared" si="0"/>
        <v>8</v>
      </c>
    </row>
    <row r="26" spans="1:14" x14ac:dyDescent="0.25">
      <c r="A26" s="165">
        <v>43282</v>
      </c>
      <c r="B26" s="166">
        <v>43646</v>
      </c>
      <c r="C26" s="33">
        <f t="shared" si="0"/>
        <v>745.3</v>
      </c>
      <c r="D26" s="34">
        <f t="shared" si="0"/>
        <v>23.553846153846155</v>
      </c>
      <c r="E26" s="75">
        <f t="shared" si="0"/>
        <v>12</v>
      </c>
      <c r="F26" s="107">
        <f t="shared" si="0"/>
        <v>780.85384615384623</v>
      </c>
      <c r="G26" s="33">
        <f t="shared" si="0"/>
        <v>164</v>
      </c>
      <c r="H26" s="34">
        <f t="shared" si="0"/>
        <v>24.6</v>
      </c>
      <c r="I26" s="15">
        <f t="shared" si="0"/>
        <v>0.4</v>
      </c>
      <c r="J26" s="33">
        <f t="shared" si="0"/>
        <v>257750</v>
      </c>
      <c r="K26" s="75">
        <f t="shared" si="0"/>
        <v>464250</v>
      </c>
      <c r="L26" s="15">
        <f t="shared" si="0"/>
        <v>8</v>
      </c>
    </row>
    <row r="27" spans="1:14" x14ac:dyDescent="0.25">
      <c r="A27" s="165">
        <v>43647</v>
      </c>
      <c r="B27" s="166">
        <v>44012</v>
      </c>
      <c r="C27" s="33">
        <f t="shared" si="0"/>
        <v>761.23461538461538</v>
      </c>
      <c r="D27" s="34">
        <f t="shared" si="0"/>
        <v>24.111538461538462</v>
      </c>
      <c r="E27" s="75">
        <f t="shared" si="0"/>
        <v>12</v>
      </c>
      <c r="F27" s="107">
        <f t="shared" si="0"/>
        <v>797.34615384615381</v>
      </c>
      <c r="G27" s="33">
        <f t="shared" si="0"/>
        <v>164</v>
      </c>
      <c r="H27" s="34">
        <f t="shared" si="0"/>
        <v>24.6</v>
      </c>
      <c r="I27" s="15">
        <f t="shared" si="0"/>
        <v>0.4</v>
      </c>
      <c r="J27" s="33">
        <f t="shared" si="0"/>
        <v>263250</v>
      </c>
      <c r="K27" s="75">
        <f t="shared" si="0"/>
        <v>474250</v>
      </c>
      <c r="L27" s="15">
        <f t="shared" si="0"/>
        <v>8</v>
      </c>
    </row>
    <row r="28" spans="1:14" x14ac:dyDescent="0.25">
      <c r="A28" s="165">
        <v>44013</v>
      </c>
      <c r="B28" s="166">
        <v>44377</v>
      </c>
      <c r="C28" s="33">
        <f t="shared" ref="C28:K28" si="1">AnnualAverage($A28,C$7,PPSParms,PPSDates,PPSNames)</f>
        <v>780.21153846153845</v>
      </c>
      <c r="D28" s="34">
        <f t="shared" si="1"/>
        <v>24.71153846153846</v>
      </c>
      <c r="E28" s="75">
        <f t="shared" si="1"/>
        <v>12</v>
      </c>
      <c r="F28" s="107">
        <f t="shared" si="1"/>
        <v>816.92307692307691</v>
      </c>
      <c r="G28" s="33">
        <f t="shared" si="1"/>
        <v>168</v>
      </c>
      <c r="H28" s="34">
        <f t="shared" si="1"/>
        <v>24.6</v>
      </c>
      <c r="I28" s="15">
        <f t="shared" si="1"/>
        <v>0.4</v>
      </c>
      <c r="J28" s="33">
        <f t="shared" si="1"/>
        <v>269500</v>
      </c>
      <c r="K28" s="75">
        <f t="shared" si="1"/>
        <v>485500</v>
      </c>
      <c r="L28" s="15">
        <f t="shared" si="0"/>
        <v>8</v>
      </c>
    </row>
  </sheetData>
  <customSheetViews>
    <customSheetView guid="{E49C2F27-B0B9-497E-BEC0-5B59561292FE}" topLeftCell="A10">
      <selection activeCell="K23" sqref="K23"/>
      <pageMargins left="0.7" right="0.7" top="0.75" bottom="0.75" header="0.3" footer="0.3"/>
      <pageSetup paperSize="9" orientation="portrait" r:id="rId1"/>
    </customSheetView>
    <customSheetView guid="{A5953138-1481-4137-BEAD-32FA4FDF03E6}" topLeftCell="A10">
      <selection activeCell="K23" sqref="K23"/>
      <pageMargins left="0.7" right="0.7" top="0.75" bottom="0.75" header="0.3" footer="0.3"/>
      <pageSetup paperSize="9" orientation="portrait" r:id="rId2"/>
    </customSheetView>
    <customSheetView guid="{2A1F94CA-1A34-4418-88FD-EABF7586C2B2}" topLeftCell="A10">
      <selection activeCell="K23" sqref="K23"/>
      <pageMargins left="0.7" right="0.7" top="0.75" bottom="0.75" header="0.3" footer="0.3"/>
      <pageSetup paperSize="9" orientation="portrait" r:id="rId3"/>
    </customSheetView>
  </customSheetViews>
  <mergeCells count="18">
    <mergeCell ref="L1:L6"/>
    <mergeCell ref="C1:F1"/>
    <mergeCell ref="G1:K1"/>
    <mergeCell ref="A2:B3"/>
    <mergeCell ref="A4:A6"/>
    <mergeCell ref="B4:B6"/>
    <mergeCell ref="K4:K6"/>
    <mergeCell ref="E3:E6"/>
    <mergeCell ref="G3:G6"/>
    <mergeCell ref="C2:E2"/>
    <mergeCell ref="F2:F6"/>
    <mergeCell ref="G2:I2"/>
    <mergeCell ref="J2:K3"/>
    <mergeCell ref="C3:C6"/>
    <mergeCell ref="D3:D6"/>
    <mergeCell ref="H3:H6"/>
    <mergeCell ref="I3:I6"/>
    <mergeCell ref="J4:J6"/>
  </mergeCells>
  <pageMargins left="0.7" right="0.7" top="0.75" bottom="0.75" header="0.3" footer="0.3"/>
  <pageSetup paperSize="9" orientation="portrait" r:id="rId4"/>
  <legacyDrawing r:id="rId5"/>
</worksheet>
</file>

<file path=xl/worksheets/sheet1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sheetPr codeName="Sheet25">
    <tabColor rgb="FF00B0F0"/>
  </sheetPr>
  <dimension ref="A1:P91"/>
  <sheetViews>
    <sheetView workbookViewId="0">
      <pane xSplit="2" ySplit="7" topLeftCell="C65" activePane="bottomRight" state="frozen"/>
      <selection pane="topRight" activeCell="C1" sqref="C1"/>
      <selection pane="bottomLeft" activeCell="A8" sqref="A8"/>
      <selection pane="bottomRight" activeCell="K72" sqref="K72"/>
    </sheetView>
  </sheetViews>
  <sheetFormatPr defaultRowHeight="15" x14ac:dyDescent="0.25"/>
  <cols>
    <col min="1" max="2" width="12.140625" style="28" customWidth="1"/>
    <col min="3" max="3" width="15.7109375" style="28" customWidth="1"/>
    <col min="4" max="4" width="19" style="28" customWidth="1"/>
    <col min="5" max="5" width="16.5703125" style="28" customWidth="1"/>
    <col min="6" max="6" width="18.5703125" style="28" customWidth="1"/>
    <col min="7" max="7" width="18.140625" style="28" customWidth="1"/>
    <col min="8" max="8" width="18.5703125" style="28" customWidth="1"/>
    <col min="9" max="9" width="18.5703125" style="697" customWidth="1"/>
    <col min="10" max="10" width="16.7109375" style="28" customWidth="1"/>
    <col min="11" max="11" width="15.7109375" style="28" customWidth="1"/>
    <col min="12" max="12" width="15.7109375" style="697" customWidth="1"/>
    <col min="13" max="13" width="15.7109375" style="28" customWidth="1"/>
    <col min="14" max="14" width="15.7109375" style="16" customWidth="1"/>
    <col min="15" max="16" width="15.7109375" style="28" customWidth="1"/>
    <col min="17" max="16384" width="9.140625" style="28"/>
  </cols>
  <sheetData>
    <row r="1" spans="1:16" ht="15.75" customHeight="1" thickBot="1" x14ac:dyDescent="0.3">
      <c r="A1" s="87"/>
      <c r="B1" s="87"/>
      <c r="C1" s="1160" t="s">
        <v>205</v>
      </c>
      <c r="D1" s="1161"/>
      <c r="E1" s="1161"/>
      <c r="F1" s="1161"/>
      <c r="G1" s="1161"/>
      <c r="H1" s="1161"/>
      <c r="I1" s="1161"/>
      <c r="J1" s="1161"/>
      <c r="K1" s="1161"/>
      <c r="L1" s="1161"/>
      <c r="M1" s="1162"/>
      <c r="N1" s="1160" t="s">
        <v>168</v>
      </c>
      <c r="O1" s="1161"/>
      <c r="P1" s="1162"/>
    </row>
    <row r="2" spans="1:16" ht="15.75" customHeight="1" thickBot="1" x14ac:dyDescent="0.3">
      <c r="A2" s="1164" t="s">
        <v>13</v>
      </c>
      <c r="B2" s="1165"/>
      <c r="C2" s="1157" t="s">
        <v>38</v>
      </c>
      <c r="D2" s="1211" t="s">
        <v>12</v>
      </c>
      <c r="E2" s="1212"/>
      <c r="F2" s="1212"/>
      <c r="G2" s="1212"/>
      <c r="H2" s="1212"/>
      <c r="I2" s="1212"/>
      <c r="J2" s="1213"/>
      <c r="K2" s="1211" t="s">
        <v>75</v>
      </c>
      <c r="L2" s="1212"/>
      <c r="M2" s="1212"/>
      <c r="N2" s="1164" t="s">
        <v>26</v>
      </c>
      <c r="O2" s="1214"/>
      <c r="P2" s="1165"/>
    </row>
    <row r="3" spans="1:16" ht="15" customHeight="1" thickBot="1" x14ac:dyDescent="0.3">
      <c r="A3" s="1215"/>
      <c r="B3" s="1236"/>
      <c r="C3" s="1158"/>
      <c r="D3" s="1258" t="s">
        <v>73</v>
      </c>
      <c r="E3" s="1259"/>
      <c r="F3" s="1259"/>
      <c r="G3" s="1259"/>
      <c r="H3" s="1260" t="s">
        <v>74</v>
      </c>
      <c r="I3" s="1261"/>
      <c r="J3" s="1262"/>
      <c r="K3" s="1260" t="s">
        <v>208</v>
      </c>
      <c r="L3" s="1261"/>
      <c r="M3" s="1262"/>
      <c r="N3" s="1217"/>
      <c r="O3" s="1217"/>
      <c r="P3" s="1167"/>
    </row>
    <row r="4" spans="1:16" ht="15" customHeight="1" thickBot="1" x14ac:dyDescent="0.3">
      <c r="A4" s="1188" t="s">
        <v>16</v>
      </c>
      <c r="B4" s="1176" t="s">
        <v>17</v>
      </c>
      <c r="C4" s="1158"/>
      <c r="D4" s="1254" t="s">
        <v>206</v>
      </c>
      <c r="E4" s="1255"/>
      <c r="F4" s="1238" t="s">
        <v>207</v>
      </c>
      <c r="G4" s="1239"/>
      <c r="H4" s="1263"/>
      <c r="I4" s="1264"/>
      <c r="J4" s="1265"/>
      <c r="K4" s="1263"/>
      <c r="L4" s="1264"/>
      <c r="M4" s="1265"/>
      <c r="N4" s="1254" t="s">
        <v>27</v>
      </c>
      <c r="O4" s="1255"/>
      <c r="P4" s="1157" t="s">
        <v>35</v>
      </c>
    </row>
    <row r="5" spans="1:16" ht="15" customHeight="1" thickBot="1" x14ac:dyDescent="0.3">
      <c r="A5" s="1188"/>
      <c r="B5" s="1176"/>
      <c r="C5" s="1158"/>
      <c r="D5" s="1250" t="s">
        <v>605</v>
      </c>
      <c r="E5" s="1187" t="s">
        <v>209</v>
      </c>
      <c r="F5" s="1256" t="s">
        <v>605</v>
      </c>
      <c r="G5" s="1187" t="s">
        <v>209</v>
      </c>
      <c r="H5" s="1250" t="s">
        <v>605</v>
      </c>
      <c r="I5" s="1187" t="s">
        <v>562</v>
      </c>
      <c r="J5" s="1187" t="s">
        <v>209</v>
      </c>
      <c r="K5" s="1250" t="s">
        <v>605</v>
      </c>
      <c r="L5" s="1187" t="s">
        <v>562</v>
      </c>
      <c r="M5" s="1187" t="s">
        <v>209</v>
      </c>
      <c r="N5" s="1266"/>
      <c r="O5" s="1267"/>
      <c r="P5" s="1158"/>
    </row>
    <row r="6" spans="1:16" ht="30.75" customHeight="1" thickBot="1" x14ac:dyDescent="0.3">
      <c r="A6" s="1207"/>
      <c r="B6" s="1177"/>
      <c r="C6" s="1159"/>
      <c r="D6" s="1207"/>
      <c r="E6" s="1177"/>
      <c r="F6" s="1257"/>
      <c r="G6" s="1177"/>
      <c r="H6" s="1207"/>
      <c r="I6" s="1177"/>
      <c r="J6" s="1177"/>
      <c r="K6" s="1207"/>
      <c r="L6" s="1177"/>
      <c r="M6" s="1177"/>
      <c r="N6" s="88" t="s">
        <v>12</v>
      </c>
      <c r="O6" s="90" t="s">
        <v>180</v>
      </c>
      <c r="P6" s="1159"/>
    </row>
    <row r="7" spans="1:16" ht="15.75" thickBot="1" x14ac:dyDescent="0.3">
      <c r="A7" s="713" t="s">
        <v>550</v>
      </c>
      <c r="B7" s="714" t="s">
        <v>551</v>
      </c>
      <c r="C7" s="333" t="s">
        <v>771</v>
      </c>
      <c r="D7" s="301" t="s">
        <v>614</v>
      </c>
      <c r="E7" s="334" t="s">
        <v>394</v>
      </c>
      <c r="F7" s="334" t="s">
        <v>615</v>
      </c>
      <c r="G7" s="335" t="s">
        <v>395</v>
      </c>
      <c r="H7" s="301" t="s">
        <v>616</v>
      </c>
      <c r="I7" s="334" t="s">
        <v>396</v>
      </c>
      <c r="J7" s="335" t="s">
        <v>772</v>
      </c>
      <c r="K7" s="301" t="s">
        <v>617</v>
      </c>
      <c r="L7" s="334" t="s">
        <v>397</v>
      </c>
      <c r="M7" s="335" t="s">
        <v>773</v>
      </c>
      <c r="N7" s="303" t="s">
        <v>398</v>
      </c>
      <c r="O7" s="304" t="s">
        <v>399</v>
      </c>
      <c r="P7" s="335" t="s">
        <v>400</v>
      </c>
    </row>
    <row r="8" spans="1:16" x14ac:dyDescent="0.25">
      <c r="A8" s="161">
        <v>36708</v>
      </c>
      <c r="B8" s="162">
        <v>36788</v>
      </c>
      <c r="C8" s="92">
        <v>79.5</v>
      </c>
      <c r="D8" s="18"/>
      <c r="E8" s="60">
        <v>233.4</v>
      </c>
      <c r="F8" s="18"/>
      <c r="G8" s="60">
        <v>264.5</v>
      </c>
      <c r="H8" s="18"/>
      <c r="I8" s="20">
        <v>360.6</v>
      </c>
      <c r="J8" s="60">
        <v>360.6</v>
      </c>
      <c r="K8" s="18"/>
      <c r="L8" s="20">
        <v>322.89999999999998</v>
      </c>
      <c r="M8" s="20">
        <v>322.89999999999998</v>
      </c>
      <c r="N8" s="18">
        <v>106</v>
      </c>
      <c r="O8" s="60">
        <v>94</v>
      </c>
      <c r="P8" s="4">
        <v>0.5</v>
      </c>
    </row>
    <row r="9" spans="1:16" x14ac:dyDescent="0.25">
      <c r="A9" s="163">
        <v>36789</v>
      </c>
      <c r="B9" s="164">
        <v>36891</v>
      </c>
      <c r="C9" s="93">
        <v>79.5</v>
      </c>
      <c r="D9" s="17"/>
      <c r="E9" s="35">
        <v>233.4</v>
      </c>
      <c r="F9" s="17"/>
      <c r="G9" s="35">
        <v>264.5</v>
      </c>
      <c r="H9" s="17"/>
      <c r="I9" s="19">
        <v>360.6</v>
      </c>
      <c r="J9" s="35">
        <v>360.6</v>
      </c>
      <c r="K9" s="17"/>
      <c r="L9" s="19">
        <v>328.90000000000003</v>
      </c>
      <c r="M9" s="19">
        <v>328.90000000000003</v>
      </c>
      <c r="N9" s="17">
        <v>106</v>
      </c>
      <c r="O9" s="35">
        <v>94</v>
      </c>
      <c r="P9" s="1">
        <v>0.5</v>
      </c>
    </row>
    <row r="10" spans="1:16" x14ac:dyDescent="0.25">
      <c r="A10" s="163">
        <v>36892</v>
      </c>
      <c r="B10" s="164">
        <v>36969</v>
      </c>
      <c r="C10" s="93">
        <v>82</v>
      </c>
      <c r="D10" s="17"/>
      <c r="E10" s="35">
        <v>240.8</v>
      </c>
      <c r="F10" s="17"/>
      <c r="G10" s="35">
        <v>272.89999999999998</v>
      </c>
      <c r="H10" s="17"/>
      <c r="I10" s="19">
        <v>372.1</v>
      </c>
      <c r="J10" s="35">
        <v>372.1</v>
      </c>
      <c r="K10" s="17"/>
      <c r="L10" s="19">
        <v>328.90000000000003</v>
      </c>
      <c r="M10" s="19">
        <v>328.90000000000003</v>
      </c>
      <c r="N10" s="17">
        <v>106</v>
      </c>
      <c r="O10" s="35">
        <v>94</v>
      </c>
      <c r="P10" s="1">
        <v>0.5</v>
      </c>
    </row>
    <row r="11" spans="1:16" ht="15.75" thickBot="1" x14ac:dyDescent="0.3">
      <c r="A11" s="180">
        <v>36970</v>
      </c>
      <c r="B11" s="181">
        <v>37072</v>
      </c>
      <c r="C11" s="94">
        <v>82</v>
      </c>
      <c r="D11" s="65"/>
      <c r="E11" s="69">
        <v>240.8</v>
      </c>
      <c r="F11" s="65"/>
      <c r="G11" s="69">
        <v>272.89999999999998</v>
      </c>
      <c r="H11" s="65"/>
      <c r="I11" s="68">
        <v>372.1</v>
      </c>
      <c r="J11" s="69">
        <v>372.1</v>
      </c>
      <c r="K11" s="65"/>
      <c r="L11" s="68">
        <v>335.5</v>
      </c>
      <c r="M11" s="68">
        <v>335.5</v>
      </c>
      <c r="N11" s="65">
        <v>106</v>
      </c>
      <c r="O11" s="69">
        <v>94</v>
      </c>
      <c r="P11" s="70">
        <v>0.5</v>
      </c>
    </row>
    <row r="12" spans="1:16" x14ac:dyDescent="0.25">
      <c r="A12" s="161">
        <v>37073</v>
      </c>
      <c r="B12" s="162">
        <v>37153</v>
      </c>
      <c r="C12" s="92">
        <v>82</v>
      </c>
      <c r="D12" s="18"/>
      <c r="E12" s="60">
        <v>240.8</v>
      </c>
      <c r="F12" s="18"/>
      <c r="G12" s="60">
        <v>272.89999999999998</v>
      </c>
      <c r="H12" s="18"/>
      <c r="I12" s="20">
        <v>372.1</v>
      </c>
      <c r="J12" s="60">
        <v>372.1</v>
      </c>
      <c r="K12" s="18"/>
      <c r="L12" s="20">
        <v>335.5</v>
      </c>
      <c r="M12" s="20">
        <v>335.5</v>
      </c>
      <c r="N12" s="18">
        <v>112</v>
      </c>
      <c r="O12" s="60">
        <v>100</v>
      </c>
      <c r="P12" s="4">
        <v>0.5</v>
      </c>
    </row>
    <row r="13" spans="1:16" x14ac:dyDescent="0.25">
      <c r="A13" s="163">
        <v>37154</v>
      </c>
      <c r="B13" s="164">
        <v>37256</v>
      </c>
      <c r="C13" s="93">
        <v>82</v>
      </c>
      <c r="D13" s="17"/>
      <c r="E13" s="35">
        <v>240.8</v>
      </c>
      <c r="F13" s="17"/>
      <c r="G13" s="35">
        <v>272.89999999999998</v>
      </c>
      <c r="H13" s="17"/>
      <c r="I13" s="19">
        <v>372.1</v>
      </c>
      <c r="J13" s="35">
        <v>372.1</v>
      </c>
      <c r="K13" s="17"/>
      <c r="L13" s="19">
        <v>342.6</v>
      </c>
      <c r="M13" s="19">
        <v>342.6</v>
      </c>
      <c r="N13" s="17">
        <v>112</v>
      </c>
      <c r="O13" s="35">
        <v>100</v>
      </c>
      <c r="P13" s="1">
        <v>0.5</v>
      </c>
    </row>
    <row r="14" spans="1:16" x14ac:dyDescent="0.25">
      <c r="A14" s="163">
        <v>37257</v>
      </c>
      <c r="B14" s="164">
        <v>37334</v>
      </c>
      <c r="C14" s="93">
        <v>85.3</v>
      </c>
      <c r="D14" s="17"/>
      <c r="E14" s="35">
        <v>250.39999999999998</v>
      </c>
      <c r="F14" s="17"/>
      <c r="G14" s="35">
        <v>283.89999999999998</v>
      </c>
      <c r="H14" s="17"/>
      <c r="I14" s="19">
        <v>387</v>
      </c>
      <c r="J14" s="35">
        <v>387</v>
      </c>
      <c r="K14" s="17"/>
      <c r="L14" s="19">
        <v>342.6</v>
      </c>
      <c r="M14" s="19">
        <v>342.6</v>
      </c>
      <c r="N14" s="17">
        <v>112</v>
      </c>
      <c r="O14" s="35">
        <v>100</v>
      </c>
      <c r="P14" s="1">
        <v>0.5</v>
      </c>
    </row>
    <row r="15" spans="1:16" ht="15.75" thickBot="1" x14ac:dyDescent="0.3">
      <c r="A15" s="180">
        <v>37335</v>
      </c>
      <c r="B15" s="181">
        <v>37437</v>
      </c>
      <c r="C15" s="94">
        <v>85.3</v>
      </c>
      <c r="D15" s="65"/>
      <c r="E15" s="69">
        <v>250.39999999999998</v>
      </c>
      <c r="F15" s="65"/>
      <c r="G15" s="69">
        <v>283.89999999999998</v>
      </c>
      <c r="H15" s="65"/>
      <c r="I15" s="68">
        <v>387</v>
      </c>
      <c r="J15" s="69">
        <v>387</v>
      </c>
      <c r="K15" s="65"/>
      <c r="L15" s="68">
        <v>352.1</v>
      </c>
      <c r="M15" s="68">
        <v>352.1</v>
      </c>
      <c r="N15" s="65">
        <v>112</v>
      </c>
      <c r="O15" s="69">
        <v>100</v>
      </c>
      <c r="P15" s="70">
        <v>0.5</v>
      </c>
    </row>
    <row r="16" spans="1:16" x14ac:dyDescent="0.25">
      <c r="A16" s="161">
        <v>37438</v>
      </c>
      <c r="B16" s="162">
        <v>37518</v>
      </c>
      <c r="C16" s="92">
        <v>85.3</v>
      </c>
      <c r="D16" s="18"/>
      <c r="E16" s="60">
        <v>250.39999999999998</v>
      </c>
      <c r="F16" s="18"/>
      <c r="G16" s="60">
        <v>283.89999999999998</v>
      </c>
      <c r="H16" s="18"/>
      <c r="I16" s="20">
        <v>387</v>
      </c>
      <c r="J16" s="60">
        <v>387</v>
      </c>
      <c r="K16" s="18"/>
      <c r="L16" s="20">
        <v>352.1</v>
      </c>
      <c r="M16" s="20">
        <v>352.1</v>
      </c>
      <c r="N16" s="18">
        <v>116</v>
      </c>
      <c r="O16" s="60">
        <v>102</v>
      </c>
      <c r="P16" s="4">
        <v>0.5</v>
      </c>
    </row>
    <row r="17" spans="1:16" x14ac:dyDescent="0.25">
      <c r="A17" s="163">
        <v>37519</v>
      </c>
      <c r="B17" s="164">
        <v>37621</v>
      </c>
      <c r="C17" s="93">
        <v>85.3</v>
      </c>
      <c r="D17" s="17"/>
      <c r="E17" s="35">
        <v>250.39999999999998</v>
      </c>
      <c r="F17" s="17"/>
      <c r="G17" s="35">
        <v>283.89999999999998</v>
      </c>
      <c r="H17" s="17"/>
      <c r="I17" s="19">
        <v>387</v>
      </c>
      <c r="J17" s="35">
        <v>387</v>
      </c>
      <c r="K17" s="17"/>
      <c r="L17" s="19">
        <v>358.4</v>
      </c>
      <c r="M17" s="19">
        <v>358.4</v>
      </c>
      <c r="N17" s="17">
        <v>116</v>
      </c>
      <c r="O17" s="35">
        <v>102</v>
      </c>
      <c r="P17" s="1">
        <v>0.5</v>
      </c>
    </row>
    <row r="18" spans="1:16" x14ac:dyDescent="0.25">
      <c r="A18" s="163">
        <v>37622</v>
      </c>
      <c r="B18" s="164">
        <v>37699</v>
      </c>
      <c r="C18" s="93">
        <v>87.7</v>
      </c>
      <c r="D18" s="17"/>
      <c r="E18" s="35">
        <v>257.40000000000003</v>
      </c>
      <c r="F18" s="17"/>
      <c r="G18" s="35">
        <v>291.90000000000003</v>
      </c>
      <c r="H18" s="17"/>
      <c r="I18" s="19">
        <v>397.8</v>
      </c>
      <c r="J18" s="35">
        <v>397.8</v>
      </c>
      <c r="K18" s="17"/>
      <c r="L18" s="19">
        <v>358.4</v>
      </c>
      <c r="M18" s="19">
        <v>358.4</v>
      </c>
      <c r="N18" s="17">
        <v>116</v>
      </c>
      <c r="O18" s="35">
        <v>102</v>
      </c>
      <c r="P18" s="1">
        <v>0.5</v>
      </c>
    </row>
    <row r="19" spans="1:16" ht="15.75" thickBot="1" x14ac:dyDescent="0.3">
      <c r="A19" s="180">
        <v>37700</v>
      </c>
      <c r="B19" s="181">
        <v>37802</v>
      </c>
      <c r="C19" s="94">
        <v>87.7</v>
      </c>
      <c r="D19" s="65"/>
      <c r="E19" s="69">
        <v>257.40000000000003</v>
      </c>
      <c r="F19" s="65"/>
      <c r="G19" s="69">
        <v>291.90000000000003</v>
      </c>
      <c r="H19" s="65"/>
      <c r="I19" s="68">
        <v>397.8</v>
      </c>
      <c r="J19" s="69">
        <v>397.8</v>
      </c>
      <c r="K19" s="65"/>
      <c r="L19" s="68">
        <v>367.50000000000006</v>
      </c>
      <c r="M19" s="68">
        <v>367.50000000000006</v>
      </c>
      <c r="N19" s="65">
        <v>116</v>
      </c>
      <c r="O19" s="69">
        <v>102</v>
      </c>
      <c r="P19" s="70">
        <v>0.5</v>
      </c>
    </row>
    <row r="20" spans="1:16" x14ac:dyDescent="0.25">
      <c r="A20" s="161">
        <v>37803</v>
      </c>
      <c r="B20" s="162">
        <v>37883</v>
      </c>
      <c r="C20" s="92">
        <v>87.7</v>
      </c>
      <c r="D20" s="18"/>
      <c r="E20" s="60">
        <v>257.40000000000003</v>
      </c>
      <c r="F20" s="18"/>
      <c r="G20" s="60">
        <v>291.90000000000003</v>
      </c>
      <c r="H20" s="18"/>
      <c r="I20" s="20">
        <v>397.8</v>
      </c>
      <c r="J20" s="60">
        <v>397.8</v>
      </c>
      <c r="K20" s="18"/>
      <c r="L20" s="20">
        <v>367.50000000000006</v>
      </c>
      <c r="M20" s="20">
        <v>367.50000000000006</v>
      </c>
      <c r="N20" s="18">
        <v>120</v>
      </c>
      <c r="O20" s="60">
        <v>106</v>
      </c>
      <c r="P20" s="4">
        <v>0.5</v>
      </c>
    </row>
    <row r="21" spans="1:16" x14ac:dyDescent="0.25">
      <c r="A21" s="163">
        <v>37884</v>
      </c>
      <c r="B21" s="164">
        <v>37986</v>
      </c>
      <c r="C21" s="93">
        <v>87.7</v>
      </c>
      <c r="D21" s="17"/>
      <c r="E21" s="35">
        <v>257.40000000000003</v>
      </c>
      <c r="F21" s="17"/>
      <c r="G21" s="35">
        <v>291.90000000000003</v>
      </c>
      <c r="H21" s="17"/>
      <c r="I21" s="19">
        <v>397.8</v>
      </c>
      <c r="J21" s="35">
        <v>397.8</v>
      </c>
      <c r="K21" s="17"/>
      <c r="L21" s="19">
        <v>378</v>
      </c>
      <c r="M21" s="19">
        <v>378</v>
      </c>
      <c r="N21" s="17">
        <v>120</v>
      </c>
      <c r="O21" s="35">
        <v>106</v>
      </c>
      <c r="P21" s="1">
        <v>0.5</v>
      </c>
    </row>
    <row r="22" spans="1:16" x14ac:dyDescent="0.25">
      <c r="A22" s="163">
        <v>37987</v>
      </c>
      <c r="B22" s="164">
        <v>38065</v>
      </c>
      <c r="C22" s="93">
        <v>90.100000000000009</v>
      </c>
      <c r="D22" s="17"/>
      <c r="E22" s="35">
        <v>264.40000000000003</v>
      </c>
      <c r="F22" s="17"/>
      <c r="G22" s="35">
        <v>299.8</v>
      </c>
      <c r="H22" s="17"/>
      <c r="I22" s="19">
        <v>408.6</v>
      </c>
      <c r="J22" s="35">
        <v>408.6</v>
      </c>
      <c r="K22" s="17"/>
      <c r="L22" s="19">
        <v>378</v>
      </c>
      <c r="M22" s="19">
        <v>378</v>
      </c>
      <c r="N22" s="17">
        <v>120</v>
      </c>
      <c r="O22" s="35">
        <v>106</v>
      </c>
      <c r="P22" s="1">
        <v>0.5</v>
      </c>
    </row>
    <row r="23" spans="1:16" ht="15.75" thickBot="1" x14ac:dyDescent="0.3">
      <c r="A23" s="180">
        <v>38066</v>
      </c>
      <c r="B23" s="181">
        <v>38168</v>
      </c>
      <c r="C23" s="94">
        <v>90.100000000000009</v>
      </c>
      <c r="D23" s="65"/>
      <c r="E23" s="69">
        <v>264.40000000000003</v>
      </c>
      <c r="F23" s="65"/>
      <c r="G23" s="69">
        <v>299.8</v>
      </c>
      <c r="H23" s="65"/>
      <c r="I23" s="68">
        <v>408.6</v>
      </c>
      <c r="J23" s="69">
        <v>408.6</v>
      </c>
      <c r="K23" s="65"/>
      <c r="L23" s="68">
        <v>387.6</v>
      </c>
      <c r="M23" s="68">
        <v>387.6</v>
      </c>
      <c r="N23" s="65">
        <v>120</v>
      </c>
      <c r="O23" s="69">
        <v>106</v>
      </c>
      <c r="P23" s="70">
        <v>0.5</v>
      </c>
    </row>
    <row r="24" spans="1:16" x14ac:dyDescent="0.25">
      <c r="A24" s="161">
        <v>38169</v>
      </c>
      <c r="B24" s="162">
        <v>38249</v>
      </c>
      <c r="C24" s="92">
        <v>90.100000000000009</v>
      </c>
      <c r="D24" s="18"/>
      <c r="E24" s="60">
        <v>264.40000000000003</v>
      </c>
      <c r="F24" s="18"/>
      <c r="G24" s="60">
        <v>299.8</v>
      </c>
      <c r="H24" s="18"/>
      <c r="I24" s="20">
        <v>408.6</v>
      </c>
      <c r="J24" s="60">
        <v>408.6</v>
      </c>
      <c r="K24" s="18"/>
      <c r="L24" s="20">
        <v>387.6</v>
      </c>
      <c r="M24" s="20">
        <v>387.6</v>
      </c>
      <c r="N24" s="18">
        <v>122</v>
      </c>
      <c r="O24" s="60">
        <v>108</v>
      </c>
      <c r="P24" s="4">
        <v>0.5</v>
      </c>
    </row>
    <row r="25" spans="1:16" x14ac:dyDescent="0.25">
      <c r="A25" s="163">
        <v>38250</v>
      </c>
      <c r="B25" s="164">
        <v>38352</v>
      </c>
      <c r="C25" s="93">
        <v>90.100000000000009</v>
      </c>
      <c r="D25" s="17"/>
      <c r="E25" s="35">
        <v>264.40000000000003</v>
      </c>
      <c r="F25" s="17"/>
      <c r="G25" s="35">
        <v>299.8</v>
      </c>
      <c r="H25" s="17"/>
      <c r="I25" s="19">
        <v>408.6</v>
      </c>
      <c r="J25" s="35">
        <v>408.6</v>
      </c>
      <c r="K25" s="17"/>
      <c r="L25" s="19">
        <v>393</v>
      </c>
      <c r="M25" s="19">
        <v>393</v>
      </c>
      <c r="N25" s="17">
        <v>122</v>
      </c>
      <c r="O25" s="35">
        <v>108</v>
      </c>
      <c r="P25" s="1">
        <v>0.5</v>
      </c>
    </row>
    <row r="26" spans="1:16" x14ac:dyDescent="0.25">
      <c r="A26" s="163">
        <v>38353</v>
      </c>
      <c r="B26" s="164">
        <v>38430</v>
      </c>
      <c r="C26" s="93">
        <v>92.4</v>
      </c>
      <c r="D26" s="17"/>
      <c r="E26" s="35">
        <v>271.10000000000002</v>
      </c>
      <c r="F26" s="17"/>
      <c r="G26" s="35">
        <v>307.3</v>
      </c>
      <c r="H26" s="17"/>
      <c r="I26" s="19">
        <v>418.9</v>
      </c>
      <c r="J26" s="35">
        <v>418.9</v>
      </c>
      <c r="K26" s="17"/>
      <c r="L26" s="19">
        <v>393</v>
      </c>
      <c r="M26" s="19">
        <v>393</v>
      </c>
      <c r="N26" s="17">
        <v>122</v>
      </c>
      <c r="O26" s="35">
        <v>108</v>
      </c>
      <c r="P26" s="1">
        <v>0.5</v>
      </c>
    </row>
    <row r="27" spans="1:16" ht="15.75" thickBot="1" x14ac:dyDescent="0.3">
      <c r="A27" s="180">
        <v>38431</v>
      </c>
      <c r="B27" s="181">
        <v>38533</v>
      </c>
      <c r="C27" s="94">
        <v>92.4</v>
      </c>
      <c r="D27" s="65"/>
      <c r="E27" s="69">
        <v>271.10000000000002</v>
      </c>
      <c r="F27" s="65"/>
      <c r="G27" s="69">
        <v>307.3</v>
      </c>
      <c r="H27" s="65"/>
      <c r="I27" s="68">
        <v>418.9</v>
      </c>
      <c r="J27" s="69">
        <v>418.9</v>
      </c>
      <c r="K27" s="65"/>
      <c r="L27" s="68">
        <v>397.7</v>
      </c>
      <c r="M27" s="68">
        <v>397.7</v>
      </c>
      <c r="N27" s="65">
        <v>122</v>
      </c>
      <c r="O27" s="69">
        <v>108</v>
      </c>
      <c r="P27" s="70">
        <v>0.5</v>
      </c>
    </row>
    <row r="28" spans="1:16" x14ac:dyDescent="0.25">
      <c r="A28" s="161">
        <v>38534</v>
      </c>
      <c r="B28" s="162">
        <v>38614</v>
      </c>
      <c r="C28" s="92">
        <v>92.4</v>
      </c>
      <c r="D28" s="18"/>
      <c r="E28" s="60">
        <v>271.10000000000002</v>
      </c>
      <c r="F28" s="18"/>
      <c r="G28" s="60">
        <v>307.3</v>
      </c>
      <c r="H28" s="18"/>
      <c r="I28" s="20">
        <v>418.9</v>
      </c>
      <c r="J28" s="60">
        <v>418.9</v>
      </c>
      <c r="K28" s="18"/>
      <c r="L28" s="20">
        <v>397.7</v>
      </c>
      <c r="M28" s="20">
        <v>397.7</v>
      </c>
      <c r="N28" s="18">
        <v>124</v>
      </c>
      <c r="O28" s="60">
        <v>110</v>
      </c>
      <c r="P28" s="4">
        <v>0.5</v>
      </c>
    </row>
    <row r="29" spans="1:16" x14ac:dyDescent="0.25">
      <c r="A29" s="163">
        <v>38615</v>
      </c>
      <c r="B29" s="164">
        <v>38717</v>
      </c>
      <c r="C29" s="93">
        <v>92.4</v>
      </c>
      <c r="D29" s="17"/>
      <c r="E29" s="35">
        <v>271.10000000000002</v>
      </c>
      <c r="F29" s="17"/>
      <c r="G29" s="35">
        <v>307.3</v>
      </c>
      <c r="H29" s="17"/>
      <c r="I29" s="19">
        <v>418.9</v>
      </c>
      <c r="J29" s="35">
        <v>418.9</v>
      </c>
      <c r="K29" s="17"/>
      <c r="L29" s="19">
        <v>408.20000000000005</v>
      </c>
      <c r="M29" s="19">
        <v>408.20000000000005</v>
      </c>
      <c r="N29" s="17">
        <v>124</v>
      </c>
      <c r="O29" s="35">
        <v>110</v>
      </c>
      <c r="P29" s="1">
        <v>0.5</v>
      </c>
    </row>
    <row r="30" spans="1:16" x14ac:dyDescent="0.25">
      <c r="A30" s="163">
        <v>38718</v>
      </c>
      <c r="B30" s="164">
        <v>38795</v>
      </c>
      <c r="C30" s="93">
        <v>94.7</v>
      </c>
      <c r="D30" s="17"/>
      <c r="E30" s="35">
        <v>277.90000000000003</v>
      </c>
      <c r="F30" s="17"/>
      <c r="G30" s="35">
        <v>315</v>
      </c>
      <c r="H30" s="17"/>
      <c r="I30" s="19">
        <v>429.40000000000003</v>
      </c>
      <c r="J30" s="35">
        <v>429.40000000000003</v>
      </c>
      <c r="K30" s="17"/>
      <c r="L30" s="19">
        <v>408.20000000000005</v>
      </c>
      <c r="M30" s="19">
        <v>408.20000000000005</v>
      </c>
      <c r="N30" s="17">
        <v>124</v>
      </c>
      <c r="O30" s="35">
        <v>110</v>
      </c>
      <c r="P30" s="1">
        <v>0.5</v>
      </c>
    </row>
    <row r="31" spans="1:16" ht="15.75" thickBot="1" x14ac:dyDescent="0.3">
      <c r="A31" s="180">
        <v>38796</v>
      </c>
      <c r="B31" s="181">
        <v>38898</v>
      </c>
      <c r="C31" s="94">
        <v>94.7</v>
      </c>
      <c r="D31" s="65"/>
      <c r="E31" s="69">
        <v>277.90000000000003</v>
      </c>
      <c r="F31" s="65"/>
      <c r="G31" s="69">
        <v>315</v>
      </c>
      <c r="H31" s="65"/>
      <c r="I31" s="68">
        <v>429.40000000000003</v>
      </c>
      <c r="J31" s="69">
        <v>429.40000000000003</v>
      </c>
      <c r="K31" s="65"/>
      <c r="L31" s="68">
        <v>417.2</v>
      </c>
      <c r="M31" s="68">
        <v>417.2</v>
      </c>
      <c r="N31" s="65">
        <v>124</v>
      </c>
      <c r="O31" s="69">
        <v>110</v>
      </c>
      <c r="P31" s="70">
        <v>0.5</v>
      </c>
    </row>
    <row r="32" spans="1:16" x14ac:dyDescent="0.25">
      <c r="A32" s="161">
        <v>38899</v>
      </c>
      <c r="B32" s="162">
        <v>38979</v>
      </c>
      <c r="C32" s="92">
        <v>94.7</v>
      </c>
      <c r="D32" s="18"/>
      <c r="E32" s="60">
        <v>277.90000000000003</v>
      </c>
      <c r="F32" s="18"/>
      <c r="G32" s="60">
        <v>315</v>
      </c>
      <c r="H32" s="18"/>
      <c r="I32" s="20">
        <v>429.40000000000003</v>
      </c>
      <c r="J32" s="60">
        <v>429.40000000000003</v>
      </c>
      <c r="K32" s="18"/>
      <c r="L32" s="20">
        <v>417.2</v>
      </c>
      <c r="M32" s="20">
        <v>417.2</v>
      </c>
      <c r="N32" s="18">
        <v>128</v>
      </c>
      <c r="O32" s="60">
        <v>114</v>
      </c>
      <c r="P32" s="4">
        <v>0.5</v>
      </c>
    </row>
    <row r="33" spans="1:16" x14ac:dyDescent="0.25">
      <c r="A33" s="163">
        <v>38980</v>
      </c>
      <c r="B33" s="164">
        <v>39082</v>
      </c>
      <c r="C33" s="93">
        <v>94.7</v>
      </c>
      <c r="D33" s="17"/>
      <c r="E33" s="35">
        <v>277.90000000000003</v>
      </c>
      <c r="F33" s="17"/>
      <c r="G33" s="35">
        <v>315</v>
      </c>
      <c r="H33" s="17"/>
      <c r="I33" s="19">
        <v>429.40000000000003</v>
      </c>
      <c r="J33" s="35">
        <v>429.40000000000003</v>
      </c>
      <c r="K33" s="17"/>
      <c r="L33" s="19">
        <v>427.7</v>
      </c>
      <c r="M33" s="19">
        <v>427.7</v>
      </c>
      <c r="N33" s="17">
        <v>128</v>
      </c>
      <c r="O33" s="35">
        <v>114</v>
      </c>
      <c r="P33" s="1">
        <v>0.5</v>
      </c>
    </row>
    <row r="34" spans="1:16" x14ac:dyDescent="0.25">
      <c r="A34" s="163">
        <v>39083</v>
      </c>
      <c r="B34" s="164">
        <v>39160</v>
      </c>
      <c r="C34" s="93">
        <v>98.5</v>
      </c>
      <c r="D34" s="17"/>
      <c r="E34" s="35">
        <v>289</v>
      </c>
      <c r="F34" s="17"/>
      <c r="G34" s="35">
        <v>327.60000000000002</v>
      </c>
      <c r="H34" s="17"/>
      <c r="I34" s="19">
        <v>446.6</v>
      </c>
      <c r="J34" s="35">
        <v>446.6</v>
      </c>
      <c r="K34" s="17"/>
      <c r="L34" s="19">
        <v>427.7</v>
      </c>
      <c r="M34" s="19">
        <v>427.7</v>
      </c>
      <c r="N34" s="17">
        <v>128</v>
      </c>
      <c r="O34" s="35">
        <v>114</v>
      </c>
      <c r="P34" s="1">
        <v>0.5</v>
      </c>
    </row>
    <row r="35" spans="1:16" ht="15.75" thickBot="1" x14ac:dyDescent="0.3">
      <c r="A35" s="180">
        <v>39161</v>
      </c>
      <c r="B35" s="181">
        <v>39263</v>
      </c>
      <c r="C35" s="94">
        <v>98.5</v>
      </c>
      <c r="D35" s="65"/>
      <c r="E35" s="69">
        <v>289</v>
      </c>
      <c r="F35" s="65"/>
      <c r="G35" s="69">
        <v>327.60000000000002</v>
      </c>
      <c r="H35" s="65"/>
      <c r="I35" s="68">
        <v>446.6</v>
      </c>
      <c r="J35" s="69">
        <v>446.6</v>
      </c>
      <c r="K35" s="65"/>
      <c r="L35" s="68">
        <v>438.5</v>
      </c>
      <c r="M35" s="68">
        <v>438.5</v>
      </c>
      <c r="N35" s="65">
        <v>128</v>
      </c>
      <c r="O35" s="69">
        <v>114</v>
      </c>
      <c r="P35" s="70">
        <v>0.5</v>
      </c>
    </row>
    <row r="36" spans="1:16" x14ac:dyDescent="0.25">
      <c r="A36" s="161">
        <v>39264</v>
      </c>
      <c r="B36" s="162">
        <v>39344</v>
      </c>
      <c r="C36" s="92">
        <v>98.5</v>
      </c>
      <c r="D36" s="18"/>
      <c r="E36" s="60">
        <v>289</v>
      </c>
      <c r="F36" s="18"/>
      <c r="G36" s="60">
        <v>327.60000000000002</v>
      </c>
      <c r="H36" s="18"/>
      <c r="I36" s="20">
        <v>446.6</v>
      </c>
      <c r="J36" s="60">
        <v>446.6</v>
      </c>
      <c r="K36" s="18"/>
      <c r="L36" s="20">
        <v>438.5</v>
      </c>
      <c r="M36" s="20">
        <v>438.5</v>
      </c>
      <c r="N36" s="18">
        <v>132</v>
      </c>
      <c r="O36" s="60">
        <v>116</v>
      </c>
      <c r="P36" s="4">
        <v>0.5</v>
      </c>
    </row>
    <row r="37" spans="1:16" x14ac:dyDescent="0.25">
      <c r="A37" s="163">
        <v>39345</v>
      </c>
      <c r="B37" s="164">
        <v>39447</v>
      </c>
      <c r="C37" s="93">
        <v>98.5</v>
      </c>
      <c r="D37" s="17"/>
      <c r="E37" s="35">
        <v>289</v>
      </c>
      <c r="F37" s="17"/>
      <c r="G37" s="35">
        <v>327.60000000000002</v>
      </c>
      <c r="H37" s="17"/>
      <c r="I37" s="19">
        <v>446.6</v>
      </c>
      <c r="J37" s="35">
        <v>446.6</v>
      </c>
      <c r="K37" s="17"/>
      <c r="L37" s="19">
        <v>446.6</v>
      </c>
      <c r="M37" s="19">
        <v>446.6</v>
      </c>
      <c r="N37" s="17">
        <v>132</v>
      </c>
      <c r="O37" s="35">
        <v>116</v>
      </c>
      <c r="P37" s="1">
        <v>0.5</v>
      </c>
    </row>
    <row r="38" spans="1:16" x14ac:dyDescent="0.25">
      <c r="A38" s="163">
        <v>39448</v>
      </c>
      <c r="B38" s="164">
        <v>39526</v>
      </c>
      <c r="C38" s="93">
        <v>100.60000000000001</v>
      </c>
      <c r="D38" s="17"/>
      <c r="E38" s="35">
        <v>295.10000000000002</v>
      </c>
      <c r="F38" s="17"/>
      <c r="G38" s="35">
        <v>334.5</v>
      </c>
      <c r="H38" s="17"/>
      <c r="I38" s="19">
        <v>456.00000000000006</v>
      </c>
      <c r="J38" s="35">
        <v>456.00000000000006</v>
      </c>
      <c r="K38" s="17"/>
      <c r="L38" s="19">
        <v>449.1</v>
      </c>
      <c r="M38" s="19">
        <v>449.1</v>
      </c>
      <c r="N38" s="17">
        <v>132</v>
      </c>
      <c r="O38" s="35">
        <v>116</v>
      </c>
      <c r="P38" s="1">
        <v>0.5</v>
      </c>
    </row>
    <row r="39" spans="1:16" ht="15.75" thickBot="1" x14ac:dyDescent="0.3">
      <c r="A39" s="180">
        <v>39527</v>
      </c>
      <c r="B39" s="181">
        <v>39629</v>
      </c>
      <c r="C39" s="94">
        <v>100.60000000000001</v>
      </c>
      <c r="D39" s="65"/>
      <c r="E39" s="69">
        <v>295.10000000000002</v>
      </c>
      <c r="F39" s="65"/>
      <c r="G39" s="69">
        <v>334.5</v>
      </c>
      <c r="H39" s="65"/>
      <c r="I39" s="68">
        <v>456.00000000000006</v>
      </c>
      <c r="J39" s="69">
        <v>456.00000000000006</v>
      </c>
      <c r="K39" s="65"/>
      <c r="L39" s="68">
        <v>456.00000000000006</v>
      </c>
      <c r="M39" s="68">
        <v>456.00000000000006</v>
      </c>
      <c r="N39" s="65">
        <v>132</v>
      </c>
      <c r="O39" s="69">
        <v>116</v>
      </c>
      <c r="P39" s="70">
        <v>0.5</v>
      </c>
    </row>
    <row r="40" spans="1:16" x14ac:dyDescent="0.25">
      <c r="A40" s="161">
        <v>39630</v>
      </c>
      <c r="B40" s="162">
        <v>39710</v>
      </c>
      <c r="C40" s="92">
        <v>100.60000000000001</v>
      </c>
      <c r="D40" s="18"/>
      <c r="E40" s="60">
        <v>295.10000000000002</v>
      </c>
      <c r="F40" s="18"/>
      <c r="G40" s="60">
        <v>334.5</v>
      </c>
      <c r="H40" s="18"/>
      <c r="I40" s="20">
        <v>456.00000000000006</v>
      </c>
      <c r="J40" s="60">
        <v>456.00000000000006</v>
      </c>
      <c r="K40" s="18"/>
      <c r="L40" s="20">
        <v>456.00000000000006</v>
      </c>
      <c r="M40" s="20">
        <v>456.00000000000006</v>
      </c>
      <c r="N40" s="18">
        <v>138</v>
      </c>
      <c r="O40" s="60">
        <v>120</v>
      </c>
      <c r="P40" s="4">
        <v>0.5</v>
      </c>
    </row>
    <row r="41" spans="1:16" x14ac:dyDescent="0.25">
      <c r="A41" s="163">
        <v>39711</v>
      </c>
      <c r="B41" s="164">
        <v>39813</v>
      </c>
      <c r="C41" s="93">
        <v>100.60000000000001</v>
      </c>
      <c r="D41" s="17"/>
      <c r="E41" s="35">
        <v>295.10000000000002</v>
      </c>
      <c r="F41" s="17"/>
      <c r="G41" s="35">
        <v>334.5</v>
      </c>
      <c r="H41" s="17"/>
      <c r="I41" s="19">
        <v>456.00000000000006</v>
      </c>
      <c r="J41" s="35">
        <v>456.00000000000006</v>
      </c>
      <c r="K41" s="17"/>
      <c r="L41" s="19">
        <v>456.00000000000006</v>
      </c>
      <c r="M41" s="19">
        <v>456.00000000000006</v>
      </c>
      <c r="N41" s="17">
        <v>138</v>
      </c>
      <c r="O41" s="35">
        <v>120</v>
      </c>
      <c r="P41" s="1">
        <v>0.5</v>
      </c>
    </row>
    <row r="42" spans="1:16" x14ac:dyDescent="0.25">
      <c r="A42" s="163">
        <v>39814</v>
      </c>
      <c r="B42" s="164">
        <v>39891</v>
      </c>
      <c r="C42" s="93">
        <v>105.10000000000001</v>
      </c>
      <c r="D42" s="17"/>
      <c r="E42" s="35">
        <v>308.40000000000003</v>
      </c>
      <c r="F42" s="17"/>
      <c r="G42" s="35">
        <v>349.5</v>
      </c>
      <c r="H42" s="17"/>
      <c r="I42" s="19">
        <v>476.50000000000006</v>
      </c>
      <c r="J42" s="35">
        <v>476.50000000000006</v>
      </c>
      <c r="K42" s="17"/>
      <c r="L42" s="19">
        <v>469.5</v>
      </c>
      <c r="M42" s="19">
        <v>469.5</v>
      </c>
      <c r="N42" s="17">
        <v>138</v>
      </c>
      <c r="O42" s="35">
        <v>120</v>
      </c>
      <c r="P42" s="1">
        <v>0.5</v>
      </c>
    </row>
    <row r="43" spans="1:16" ht="15.75" thickBot="1" x14ac:dyDescent="0.3">
      <c r="A43" s="180">
        <v>39892</v>
      </c>
      <c r="B43" s="181">
        <v>39994</v>
      </c>
      <c r="C43" s="94">
        <v>105.10000000000001</v>
      </c>
      <c r="D43" s="65"/>
      <c r="E43" s="69">
        <v>308.40000000000003</v>
      </c>
      <c r="F43" s="65"/>
      <c r="G43" s="69">
        <v>349.5</v>
      </c>
      <c r="H43" s="65"/>
      <c r="I43" s="68">
        <v>476.50000000000006</v>
      </c>
      <c r="J43" s="69">
        <v>476.50000000000006</v>
      </c>
      <c r="K43" s="65"/>
      <c r="L43" s="68">
        <v>475.90000000000003</v>
      </c>
      <c r="M43" s="68">
        <v>475.90000000000003</v>
      </c>
      <c r="N43" s="65">
        <v>138</v>
      </c>
      <c r="O43" s="69">
        <v>120</v>
      </c>
      <c r="P43" s="70">
        <v>0.5</v>
      </c>
    </row>
    <row r="44" spans="1:16" x14ac:dyDescent="0.25">
      <c r="A44" s="161">
        <v>39995</v>
      </c>
      <c r="B44" s="162">
        <v>40075</v>
      </c>
      <c r="C44" s="92">
        <v>105.10000000000001</v>
      </c>
      <c r="D44" s="18"/>
      <c r="E44" s="60">
        <v>308.40000000000003</v>
      </c>
      <c r="F44" s="18"/>
      <c r="G44" s="60">
        <v>349.5</v>
      </c>
      <c r="H44" s="18"/>
      <c r="I44" s="20">
        <v>476.50000000000006</v>
      </c>
      <c r="J44" s="60">
        <v>476.50000000000006</v>
      </c>
      <c r="K44" s="18"/>
      <c r="L44" s="20">
        <v>475.90000000000003</v>
      </c>
      <c r="M44" s="20">
        <v>475.90000000000003</v>
      </c>
      <c r="N44" s="18">
        <v>142</v>
      </c>
      <c r="O44" s="60">
        <v>124</v>
      </c>
      <c r="P44" s="4">
        <v>0.5</v>
      </c>
    </row>
    <row r="45" spans="1:16" x14ac:dyDescent="0.25">
      <c r="A45" s="163">
        <v>40076</v>
      </c>
      <c r="B45" s="164">
        <v>40178</v>
      </c>
      <c r="C45" s="93">
        <v>105.10000000000001</v>
      </c>
      <c r="D45" s="17"/>
      <c r="E45" s="35">
        <v>308.40000000000003</v>
      </c>
      <c r="F45" s="17"/>
      <c r="G45" s="35">
        <v>349.5</v>
      </c>
      <c r="H45" s="17"/>
      <c r="I45" s="19">
        <v>476.50000000000006</v>
      </c>
      <c r="J45" s="35">
        <v>476.50000000000006</v>
      </c>
      <c r="K45" s="17"/>
      <c r="L45" s="19">
        <v>476.50000000000006</v>
      </c>
      <c r="M45" s="19">
        <v>476.50000000000006</v>
      </c>
      <c r="N45" s="17">
        <v>142</v>
      </c>
      <c r="O45" s="35">
        <v>124</v>
      </c>
      <c r="P45" s="1">
        <v>0.5</v>
      </c>
    </row>
    <row r="46" spans="1:16" x14ac:dyDescent="0.25">
      <c r="A46" s="163">
        <v>40179</v>
      </c>
      <c r="B46" s="164">
        <v>40256</v>
      </c>
      <c r="C46" s="93">
        <v>106.7</v>
      </c>
      <c r="D46" s="17"/>
      <c r="E46" s="35">
        <v>313</v>
      </c>
      <c r="F46" s="17"/>
      <c r="G46" s="35">
        <v>354.8</v>
      </c>
      <c r="H46" s="17"/>
      <c r="I46" s="19">
        <v>483.7</v>
      </c>
      <c r="J46" s="35">
        <v>483.7</v>
      </c>
      <c r="K46" s="17"/>
      <c r="L46" s="19">
        <v>483.7</v>
      </c>
      <c r="M46" s="19">
        <v>483.7</v>
      </c>
      <c r="N46" s="17">
        <v>142</v>
      </c>
      <c r="O46" s="35">
        <v>124</v>
      </c>
      <c r="P46" s="1">
        <v>0.5</v>
      </c>
    </row>
    <row r="47" spans="1:16" ht="15.75" thickBot="1" x14ac:dyDescent="0.3">
      <c r="A47" s="180">
        <v>40257</v>
      </c>
      <c r="B47" s="181">
        <v>40359</v>
      </c>
      <c r="C47" s="94">
        <v>106.7</v>
      </c>
      <c r="D47" s="65"/>
      <c r="E47" s="69">
        <v>313</v>
      </c>
      <c r="F47" s="65"/>
      <c r="G47" s="69">
        <v>354.8</v>
      </c>
      <c r="H47" s="65"/>
      <c r="I47" s="68">
        <v>483.7</v>
      </c>
      <c r="J47" s="69">
        <v>483.7</v>
      </c>
      <c r="K47" s="65"/>
      <c r="L47" s="68">
        <v>483.7</v>
      </c>
      <c r="M47" s="68">
        <v>483.7</v>
      </c>
      <c r="N47" s="65">
        <v>142</v>
      </c>
      <c r="O47" s="69">
        <v>124</v>
      </c>
      <c r="P47" s="70">
        <v>0.5</v>
      </c>
    </row>
    <row r="48" spans="1:16" x14ac:dyDescent="0.25">
      <c r="A48" s="161">
        <v>40360</v>
      </c>
      <c r="B48" s="162">
        <v>40440</v>
      </c>
      <c r="C48" s="92">
        <v>106.7</v>
      </c>
      <c r="D48" s="18"/>
      <c r="E48" s="60">
        <v>313</v>
      </c>
      <c r="F48" s="18"/>
      <c r="G48" s="60">
        <v>354.8</v>
      </c>
      <c r="H48" s="18"/>
      <c r="I48" s="20">
        <v>483.7</v>
      </c>
      <c r="J48" s="60">
        <v>483.7</v>
      </c>
      <c r="K48" s="18"/>
      <c r="L48" s="20">
        <v>483.7</v>
      </c>
      <c r="M48" s="20">
        <v>483.7</v>
      </c>
      <c r="N48" s="18">
        <v>146</v>
      </c>
      <c r="O48" s="60">
        <v>128</v>
      </c>
      <c r="P48" s="4">
        <v>0.5</v>
      </c>
    </row>
    <row r="49" spans="1:16" x14ac:dyDescent="0.25">
      <c r="A49" s="163">
        <v>40441</v>
      </c>
      <c r="B49" s="164">
        <v>40543</v>
      </c>
      <c r="C49" s="93">
        <v>106.7</v>
      </c>
      <c r="D49" s="17"/>
      <c r="E49" s="35">
        <v>313</v>
      </c>
      <c r="F49" s="17"/>
      <c r="G49" s="35">
        <v>354.8</v>
      </c>
      <c r="H49" s="17"/>
      <c r="I49" s="19">
        <v>483.7</v>
      </c>
      <c r="J49" s="35">
        <v>483.7</v>
      </c>
      <c r="K49" s="17"/>
      <c r="L49" s="19">
        <v>483.7</v>
      </c>
      <c r="M49" s="19">
        <v>483.7</v>
      </c>
      <c r="N49" s="17">
        <v>146</v>
      </c>
      <c r="O49" s="35">
        <v>128</v>
      </c>
      <c r="P49" s="1">
        <v>0.5</v>
      </c>
    </row>
    <row r="50" spans="1:16" x14ac:dyDescent="0.25">
      <c r="A50" s="163">
        <v>40544</v>
      </c>
      <c r="B50" s="164">
        <v>40621</v>
      </c>
      <c r="C50" s="93">
        <v>110</v>
      </c>
      <c r="D50" s="17"/>
      <c r="E50" s="35">
        <v>322.70000000000005</v>
      </c>
      <c r="F50" s="17"/>
      <c r="G50" s="35">
        <v>365.8</v>
      </c>
      <c r="H50" s="17"/>
      <c r="I50" s="19">
        <v>498.70000000000005</v>
      </c>
      <c r="J50" s="35">
        <v>498.70000000000005</v>
      </c>
      <c r="K50" s="17"/>
      <c r="L50" s="19">
        <v>498.70000000000005</v>
      </c>
      <c r="M50" s="19">
        <v>498.70000000000005</v>
      </c>
      <c r="N50" s="17">
        <v>146</v>
      </c>
      <c r="O50" s="35">
        <v>128</v>
      </c>
      <c r="P50" s="1">
        <v>0.5</v>
      </c>
    </row>
    <row r="51" spans="1:16" ht="15.75" thickBot="1" x14ac:dyDescent="0.3">
      <c r="A51" s="180">
        <v>40622</v>
      </c>
      <c r="B51" s="181">
        <v>40724</v>
      </c>
      <c r="C51" s="94">
        <v>110</v>
      </c>
      <c r="D51" s="65"/>
      <c r="E51" s="69">
        <v>322.70000000000005</v>
      </c>
      <c r="F51" s="65"/>
      <c r="G51" s="69">
        <v>365.8</v>
      </c>
      <c r="H51" s="65"/>
      <c r="I51" s="68">
        <v>498.70000000000005</v>
      </c>
      <c r="J51" s="69">
        <v>498.70000000000005</v>
      </c>
      <c r="K51" s="65"/>
      <c r="L51" s="68">
        <v>498.70000000000005</v>
      </c>
      <c r="M51" s="68">
        <v>498.70000000000005</v>
      </c>
      <c r="N51" s="65">
        <v>146</v>
      </c>
      <c r="O51" s="69">
        <v>128</v>
      </c>
      <c r="P51" s="70">
        <v>0.5</v>
      </c>
    </row>
    <row r="52" spans="1:16" x14ac:dyDescent="0.25">
      <c r="A52" s="161">
        <v>40725</v>
      </c>
      <c r="B52" s="162">
        <v>40805</v>
      </c>
      <c r="C52" s="92">
        <v>110</v>
      </c>
      <c r="D52" s="18"/>
      <c r="E52" s="60">
        <v>322.70000000000005</v>
      </c>
      <c r="F52" s="18"/>
      <c r="G52" s="60">
        <v>365.8</v>
      </c>
      <c r="H52" s="18"/>
      <c r="I52" s="20">
        <v>498.70000000000005</v>
      </c>
      <c r="J52" s="60">
        <v>498.70000000000005</v>
      </c>
      <c r="K52" s="18"/>
      <c r="L52" s="20">
        <v>498.70000000000005</v>
      </c>
      <c r="M52" s="20">
        <v>498.70000000000005</v>
      </c>
      <c r="N52" s="18">
        <v>150</v>
      </c>
      <c r="O52" s="60">
        <v>132</v>
      </c>
      <c r="P52" s="4">
        <v>0.5</v>
      </c>
    </row>
    <row r="53" spans="1:16" x14ac:dyDescent="0.25">
      <c r="A53" s="163">
        <v>40806</v>
      </c>
      <c r="B53" s="164">
        <v>40908</v>
      </c>
      <c r="C53" s="93">
        <v>110</v>
      </c>
      <c r="D53" s="17"/>
      <c r="E53" s="35">
        <v>322.70000000000005</v>
      </c>
      <c r="F53" s="17"/>
      <c r="G53" s="35">
        <v>365.8</v>
      </c>
      <c r="H53" s="17"/>
      <c r="I53" s="19">
        <v>498.70000000000005</v>
      </c>
      <c r="J53" s="35">
        <v>498.70000000000005</v>
      </c>
      <c r="K53" s="17"/>
      <c r="L53" s="19">
        <v>498.70000000000005</v>
      </c>
      <c r="M53" s="19">
        <v>498.70000000000005</v>
      </c>
      <c r="N53" s="17">
        <v>150</v>
      </c>
      <c r="O53" s="35">
        <v>132</v>
      </c>
      <c r="P53" s="1">
        <v>0.5</v>
      </c>
    </row>
    <row r="54" spans="1:16" x14ac:dyDescent="0.25">
      <c r="A54" s="163">
        <v>40909</v>
      </c>
      <c r="B54" s="164">
        <v>40987</v>
      </c>
      <c r="C54" s="93">
        <v>114</v>
      </c>
      <c r="D54" s="17"/>
      <c r="E54" s="35">
        <v>334.4</v>
      </c>
      <c r="F54" s="17"/>
      <c r="G54" s="35">
        <v>379</v>
      </c>
      <c r="H54" s="17"/>
      <c r="I54" s="19">
        <v>516.70000000000005</v>
      </c>
      <c r="J54" s="35">
        <v>516.70000000000005</v>
      </c>
      <c r="K54" s="17"/>
      <c r="L54" s="19">
        <v>516.70000000000005</v>
      </c>
      <c r="M54" s="19">
        <v>516.70000000000005</v>
      </c>
      <c r="N54" s="17">
        <v>150</v>
      </c>
      <c r="O54" s="35">
        <v>132</v>
      </c>
      <c r="P54" s="1">
        <v>0.5</v>
      </c>
    </row>
    <row r="55" spans="1:16" ht="15.75" thickBot="1" x14ac:dyDescent="0.3">
      <c r="A55" s="180">
        <v>40988</v>
      </c>
      <c r="B55" s="181">
        <v>41090</v>
      </c>
      <c r="C55" s="94">
        <v>114</v>
      </c>
      <c r="D55" s="65"/>
      <c r="E55" s="69">
        <v>334.4</v>
      </c>
      <c r="F55" s="65"/>
      <c r="G55" s="69">
        <v>379</v>
      </c>
      <c r="H55" s="65"/>
      <c r="I55" s="68">
        <v>516.70000000000005</v>
      </c>
      <c r="J55" s="69">
        <v>516.70000000000005</v>
      </c>
      <c r="K55" s="65"/>
      <c r="L55" s="68">
        <v>516.70000000000005</v>
      </c>
      <c r="M55" s="68">
        <v>516.70000000000005</v>
      </c>
      <c r="N55" s="65">
        <v>150</v>
      </c>
      <c r="O55" s="69">
        <v>132</v>
      </c>
      <c r="P55" s="70">
        <v>0.5</v>
      </c>
    </row>
    <row r="56" spans="1:16" s="5" customFormat="1" x14ac:dyDescent="0.25">
      <c r="A56" s="531">
        <v>41091</v>
      </c>
      <c r="B56" s="532">
        <v>41171</v>
      </c>
      <c r="C56" s="533">
        <v>114</v>
      </c>
      <c r="D56" s="534"/>
      <c r="E56" s="535">
        <v>334.4</v>
      </c>
      <c r="F56" s="534"/>
      <c r="G56" s="535">
        <v>379</v>
      </c>
      <c r="H56" s="534"/>
      <c r="I56" s="536">
        <v>516.70000000000005</v>
      </c>
      <c r="J56" s="535">
        <v>516.70000000000005</v>
      </c>
      <c r="K56" s="534"/>
      <c r="L56" s="536">
        <v>516.70000000000005</v>
      </c>
      <c r="M56" s="536">
        <v>516.70000000000005</v>
      </c>
      <c r="N56" s="534">
        <v>152</v>
      </c>
      <c r="O56" s="535">
        <v>134</v>
      </c>
      <c r="P56" s="537">
        <v>0.5</v>
      </c>
    </row>
    <row r="57" spans="1:16" s="5" customFormat="1" x14ac:dyDescent="0.25">
      <c r="A57" s="496">
        <v>41172</v>
      </c>
      <c r="B57" s="497">
        <v>41274</v>
      </c>
      <c r="C57" s="373">
        <v>114</v>
      </c>
      <c r="D57" s="375"/>
      <c r="E57" s="374">
        <v>334.4</v>
      </c>
      <c r="F57" s="375"/>
      <c r="G57" s="374">
        <v>379</v>
      </c>
      <c r="H57" s="375"/>
      <c r="I57" s="242">
        <v>516.70000000000005</v>
      </c>
      <c r="J57" s="374">
        <v>516.70000000000005</v>
      </c>
      <c r="K57" s="375"/>
      <c r="L57" s="242">
        <v>516.70000000000005</v>
      </c>
      <c r="M57" s="242">
        <v>516.70000000000005</v>
      </c>
      <c r="N57" s="375">
        <v>152</v>
      </c>
      <c r="O57" s="374">
        <v>134</v>
      </c>
      <c r="P57" s="397">
        <v>0.5</v>
      </c>
    </row>
    <row r="58" spans="1:16" s="5" customFormat="1" x14ac:dyDescent="0.25">
      <c r="A58" s="496">
        <v>41275</v>
      </c>
      <c r="B58" s="497">
        <v>41352</v>
      </c>
      <c r="C58" s="373">
        <v>115.4</v>
      </c>
      <c r="D58" s="375"/>
      <c r="E58" s="374">
        <v>338.4</v>
      </c>
      <c r="F58" s="375"/>
      <c r="G58" s="374">
        <v>383.6</v>
      </c>
      <c r="H58" s="375"/>
      <c r="I58" s="242">
        <v>522.9</v>
      </c>
      <c r="J58" s="374">
        <v>522.9</v>
      </c>
      <c r="K58" s="375"/>
      <c r="L58" s="242">
        <v>522.9</v>
      </c>
      <c r="M58" s="242">
        <v>522.9</v>
      </c>
      <c r="N58" s="375">
        <v>152</v>
      </c>
      <c r="O58" s="374">
        <v>134</v>
      </c>
      <c r="P58" s="397">
        <v>0.5</v>
      </c>
    </row>
    <row r="59" spans="1:16" s="5" customFormat="1" ht="15.75" thickBot="1" x14ac:dyDescent="0.3">
      <c r="A59" s="538">
        <v>41353</v>
      </c>
      <c r="B59" s="539">
        <v>41455</v>
      </c>
      <c r="C59" s="542">
        <v>115.4</v>
      </c>
      <c r="D59" s="540"/>
      <c r="E59" s="541">
        <v>338.4</v>
      </c>
      <c r="F59" s="540"/>
      <c r="G59" s="541">
        <v>383.6</v>
      </c>
      <c r="H59" s="540"/>
      <c r="I59" s="543">
        <v>522.9</v>
      </c>
      <c r="J59" s="541">
        <v>522.9</v>
      </c>
      <c r="K59" s="540"/>
      <c r="L59" s="543">
        <v>522.9</v>
      </c>
      <c r="M59" s="543">
        <v>522.9</v>
      </c>
      <c r="N59" s="540">
        <v>152</v>
      </c>
      <c r="O59" s="541">
        <v>134</v>
      </c>
      <c r="P59" s="549">
        <v>0.5</v>
      </c>
    </row>
    <row r="60" spans="1:16" s="5" customFormat="1" x14ac:dyDescent="0.25">
      <c r="A60" s="531">
        <v>41456</v>
      </c>
      <c r="B60" s="532">
        <v>41536</v>
      </c>
      <c r="C60" s="533">
        <v>115.4</v>
      </c>
      <c r="D60" s="534"/>
      <c r="E60" s="535">
        <v>338.4</v>
      </c>
      <c r="F60" s="534"/>
      <c r="G60" s="535">
        <v>383.6</v>
      </c>
      <c r="H60" s="534"/>
      <c r="I60" s="536">
        <v>522.9</v>
      </c>
      <c r="J60" s="535">
        <v>522.9</v>
      </c>
      <c r="K60" s="534"/>
      <c r="L60" s="536">
        <v>522.9</v>
      </c>
      <c r="M60" s="536">
        <v>522.9</v>
      </c>
      <c r="N60" s="534">
        <v>156</v>
      </c>
      <c r="O60" s="535">
        <v>138</v>
      </c>
      <c r="P60" s="537">
        <v>0.5</v>
      </c>
    </row>
    <row r="61" spans="1:16" s="5" customFormat="1" x14ac:dyDescent="0.25">
      <c r="A61" s="496">
        <v>41537</v>
      </c>
      <c r="B61" s="497">
        <v>41639</v>
      </c>
      <c r="C61" s="373">
        <v>115.4</v>
      </c>
      <c r="D61" s="375"/>
      <c r="E61" s="374">
        <v>338.4</v>
      </c>
      <c r="F61" s="375"/>
      <c r="G61" s="374">
        <v>383.6</v>
      </c>
      <c r="H61" s="375"/>
      <c r="I61" s="242">
        <v>522.9</v>
      </c>
      <c r="J61" s="374">
        <v>522.9</v>
      </c>
      <c r="K61" s="375"/>
      <c r="L61" s="242">
        <v>522.9</v>
      </c>
      <c r="M61" s="242">
        <v>522.9</v>
      </c>
      <c r="N61" s="375">
        <v>156</v>
      </c>
      <c r="O61" s="374">
        <v>138</v>
      </c>
      <c r="P61" s="397">
        <v>0.5</v>
      </c>
    </row>
    <row r="62" spans="1:16" x14ac:dyDescent="0.25">
      <c r="A62" s="496">
        <v>41640</v>
      </c>
      <c r="B62" s="497">
        <v>41717</v>
      </c>
      <c r="C62" s="373">
        <v>118.2</v>
      </c>
      <c r="D62" s="375">
        <v>5.9</v>
      </c>
      <c r="E62" s="374">
        <v>350.90000000000003</v>
      </c>
      <c r="F62" s="375">
        <v>6.6</v>
      </c>
      <c r="G62" s="374">
        <v>397.6</v>
      </c>
      <c r="H62" s="375">
        <v>9.1</v>
      </c>
      <c r="I62" s="242">
        <v>532.6</v>
      </c>
      <c r="J62" s="374">
        <v>541.70000000000005</v>
      </c>
      <c r="K62" s="375">
        <v>9.1</v>
      </c>
      <c r="L62" s="242">
        <v>532.6</v>
      </c>
      <c r="M62" s="242">
        <v>541.70000000000005</v>
      </c>
      <c r="N62" s="375">
        <v>156</v>
      </c>
      <c r="O62" s="374">
        <v>138</v>
      </c>
      <c r="P62" s="397">
        <v>0.5</v>
      </c>
    </row>
    <row r="63" spans="1:16" ht="15.75" thickBot="1" x14ac:dyDescent="0.3">
      <c r="A63" s="538">
        <v>41718</v>
      </c>
      <c r="B63" s="539">
        <v>41820</v>
      </c>
      <c r="C63" s="542">
        <v>118.2</v>
      </c>
      <c r="D63" s="540">
        <v>5.9</v>
      </c>
      <c r="E63" s="541">
        <v>350.90000000000003</v>
      </c>
      <c r="F63" s="540">
        <v>6.6</v>
      </c>
      <c r="G63" s="541">
        <v>397.6</v>
      </c>
      <c r="H63" s="540">
        <v>9.1</v>
      </c>
      <c r="I63" s="543">
        <v>532.6</v>
      </c>
      <c r="J63" s="541">
        <v>541.70000000000005</v>
      </c>
      <c r="K63" s="540">
        <v>9.1</v>
      </c>
      <c r="L63" s="543">
        <v>532.6</v>
      </c>
      <c r="M63" s="543">
        <v>541.70000000000005</v>
      </c>
      <c r="N63" s="540">
        <v>156</v>
      </c>
      <c r="O63" s="541">
        <v>138</v>
      </c>
      <c r="P63" s="549">
        <v>0.5</v>
      </c>
    </row>
    <row r="64" spans="1:16" x14ac:dyDescent="0.25">
      <c r="A64" s="531">
        <v>41821</v>
      </c>
      <c r="B64" s="532">
        <v>41901</v>
      </c>
      <c r="C64" s="533">
        <v>118.2</v>
      </c>
      <c r="D64" s="534">
        <v>5.9</v>
      </c>
      <c r="E64" s="535">
        <v>350.90000000000003</v>
      </c>
      <c r="F64" s="534">
        <v>6.6</v>
      </c>
      <c r="G64" s="535">
        <v>397.6</v>
      </c>
      <c r="H64" s="534">
        <v>9.1</v>
      </c>
      <c r="I64" s="536">
        <v>532.6</v>
      </c>
      <c r="J64" s="535">
        <v>541.70000000000005</v>
      </c>
      <c r="K64" s="534">
        <v>9.1</v>
      </c>
      <c r="L64" s="536">
        <v>532.6</v>
      </c>
      <c r="M64" s="536">
        <v>541.70000000000005</v>
      </c>
      <c r="N64" s="534">
        <v>160</v>
      </c>
      <c r="O64" s="535">
        <v>142</v>
      </c>
      <c r="P64" s="537">
        <v>0.5</v>
      </c>
    </row>
    <row r="65" spans="1:16" x14ac:dyDescent="0.25">
      <c r="A65" s="496">
        <v>41902</v>
      </c>
      <c r="B65" s="497">
        <v>42004</v>
      </c>
      <c r="C65" s="373">
        <v>118.2</v>
      </c>
      <c r="D65" s="375">
        <v>5.9</v>
      </c>
      <c r="E65" s="374">
        <v>350.90000000000003</v>
      </c>
      <c r="F65" s="375">
        <v>6.6</v>
      </c>
      <c r="G65" s="374">
        <v>397.6</v>
      </c>
      <c r="H65" s="375">
        <v>9.1</v>
      </c>
      <c r="I65" s="242">
        <v>532.6</v>
      </c>
      <c r="J65" s="374">
        <v>541.70000000000005</v>
      </c>
      <c r="K65" s="375">
        <v>9.1</v>
      </c>
      <c r="L65" s="242">
        <v>532.6</v>
      </c>
      <c r="M65" s="242">
        <v>541.70000000000005</v>
      </c>
      <c r="N65" s="375">
        <v>160</v>
      </c>
      <c r="O65" s="374">
        <v>142</v>
      </c>
      <c r="P65" s="397">
        <v>0.5</v>
      </c>
    </row>
    <row r="66" spans="1:16" x14ac:dyDescent="0.25">
      <c r="A66" s="496">
        <v>42005</v>
      </c>
      <c r="B66" s="497">
        <v>42082</v>
      </c>
      <c r="C66" s="373">
        <v>121.7</v>
      </c>
      <c r="D66" s="375">
        <v>5.9</v>
      </c>
      <c r="E66" s="374">
        <v>361.20000000000005</v>
      </c>
      <c r="F66" s="375">
        <v>6.6</v>
      </c>
      <c r="G66" s="374">
        <v>409.3</v>
      </c>
      <c r="H66" s="375">
        <v>9.1</v>
      </c>
      <c r="I66" s="242">
        <v>548.5</v>
      </c>
      <c r="J66" s="374">
        <v>557.6</v>
      </c>
      <c r="K66" s="375">
        <v>9.1</v>
      </c>
      <c r="L66" s="242">
        <v>548.5</v>
      </c>
      <c r="M66" s="242">
        <v>557.6</v>
      </c>
      <c r="N66" s="375">
        <v>160</v>
      </c>
      <c r="O66" s="374">
        <v>142</v>
      </c>
      <c r="P66" s="397">
        <v>0.5</v>
      </c>
    </row>
    <row r="67" spans="1:16" ht="15.75" thickBot="1" x14ac:dyDescent="0.3">
      <c r="A67" s="538">
        <v>42083</v>
      </c>
      <c r="B67" s="539">
        <v>42185</v>
      </c>
      <c r="C67" s="542">
        <v>121.7</v>
      </c>
      <c r="D67" s="540">
        <v>5.9</v>
      </c>
      <c r="E67" s="541">
        <v>361.20000000000005</v>
      </c>
      <c r="F67" s="540">
        <v>6.6</v>
      </c>
      <c r="G67" s="541">
        <v>409.3</v>
      </c>
      <c r="H67" s="540">
        <v>9.1</v>
      </c>
      <c r="I67" s="543">
        <v>548.5</v>
      </c>
      <c r="J67" s="541">
        <v>557.6</v>
      </c>
      <c r="K67" s="540">
        <v>9.1</v>
      </c>
      <c r="L67" s="543">
        <v>548.5</v>
      </c>
      <c r="M67" s="543">
        <v>557.6</v>
      </c>
      <c r="N67" s="540">
        <v>160</v>
      </c>
      <c r="O67" s="541">
        <v>142</v>
      </c>
      <c r="P67" s="549">
        <v>0.5</v>
      </c>
    </row>
    <row r="68" spans="1:16" x14ac:dyDescent="0.25">
      <c r="A68" s="531">
        <v>42186</v>
      </c>
      <c r="B68" s="532">
        <v>42266</v>
      </c>
      <c r="C68" s="533">
        <v>121.7</v>
      </c>
      <c r="D68" s="534">
        <v>5.9</v>
      </c>
      <c r="E68" s="535">
        <v>361.20000000000005</v>
      </c>
      <c r="F68" s="534">
        <v>6.6</v>
      </c>
      <c r="G68" s="535">
        <v>409.3</v>
      </c>
      <c r="H68" s="534">
        <v>9.1</v>
      </c>
      <c r="I68" s="536">
        <v>548.5</v>
      </c>
      <c r="J68" s="535">
        <v>557.6</v>
      </c>
      <c r="K68" s="534">
        <v>9.1</v>
      </c>
      <c r="L68" s="536">
        <v>548.5</v>
      </c>
      <c r="M68" s="536">
        <v>557.6</v>
      </c>
      <c r="N68" s="534">
        <v>162</v>
      </c>
      <c r="O68" s="535">
        <v>144</v>
      </c>
      <c r="P68" s="537">
        <v>0.5</v>
      </c>
    </row>
    <row r="69" spans="1:16" x14ac:dyDescent="0.25">
      <c r="A69" s="496">
        <v>42267</v>
      </c>
      <c r="B69" s="497">
        <v>42369</v>
      </c>
      <c r="C69" s="373">
        <v>121.7</v>
      </c>
      <c r="D69" s="375">
        <v>5.9</v>
      </c>
      <c r="E69" s="374">
        <v>361.20000000000005</v>
      </c>
      <c r="F69" s="375">
        <v>6.6</v>
      </c>
      <c r="G69" s="374">
        <v>409.3</v>
      </c>
      <c r="H69" s="375">
        <v>9.1</v>
      </c>
      <c r="I69" s="242">
        <v>548.5</v>
      </c>
      <c r="J69" s="374">
        <v>557.6</v>
      </c>
      <c r="K69" s="375">
        <v>9.1</v>
      </c>
      <c r="L69" s="242">
        <v>548.5</v>
      </c>
      <c r="M69" s="242">
        <v>557.6</v>
      </c>
      <c r="N69" s="375">
        <v>162</v>
      </c>
      <c r="O69" s="374">
        <v>144</v>
      </c>
      <c r="P69" s="397">
        <v>0.5</v>
      </c>
    </row>
    <row r="70" spans="1:16" x14ac:dyDescent="0.25">
      <c r="A70" s="496">
        <v>42370</v>
      </c>
      <c r="B70" s="497">
        <v>42448</v>
      </c>
      <c r="C70" s="373">
        <v>123.5</v>
      </c>
      <c r="D70" s="375">
        <v>5.9</v>
      </c>
      <c r="E70" s="374">
        <v>366.5</v>
      </c>
      <c r="F70" s="375">
        <v>6.6</v>
      </c>
      <c r="G70" s="374">
        <v>415.29999999999995</v>
      </c>
      <c r="H70" s="375">
        <v>9.1</v>
      </c>
      <c r="I70" s="242">
        <v>556.70000000000005</v>
      </c>
      <c r="J70" s="374">
        <v>565.80000000000007</v>
      </c>
      <c r="K70" s="375">
        <v>9.1</v>
      </c>
      <c r="L70" s="242">
        <v>556.70000000000005</v>
      </c>
      <c r="M70" s="242">
        <v>565.80000000000007</v>
      </c>
      <c r="N70" s="375">
        <v>162</v>
      </c>
      <c r="O70" s="374">
        <v>144</v>
      </c>
      <c r="P70" s="397">
        <v>0.5</v>
      </c>
    </row>
    <row r="71" spans="1:16" ht="15.75" thickBot="1" x14ac:dyDescent="0.3">
      <c r="A71" s="538">
        <v>42449</v>
      </c>
      <c r="B71" s="539">
        <v>42551</v>
      </c>
      <c r="C71" s="542">
        <v>123.5</v>
      </c>
      <c r="D71" s="540">
        <v>5.9</v>
      </c>
      <c r="E71" s="541">
        <v>366.5</v>
      </c>
      <c r="F71" s="540">
        <v>6.6</v>
      </c>
      <c r="G71" s="541">
        <v>415.29999999999995</v>
      </c>
      <c r="H71" s="540">
        <v>9.1</v>
      </c>
      <c r="I71" s="543">
        <v>556.70000000000005</v>
      </c>
      <c r="J71" s="541">
        <v>565.80000000000007</v>
      </c>
      <c r="K71" s="540">
        <v>9.1</v>
      </c>
      <c r="L71" s="543">
        <v>556.70000000000005</v>
      </c>
      <c r="M71" s="543">
        <v>565.80000000000007</v>
      </c>
      <c r="N71" s="540">
        <v>162</v>
      </c>
      <c r="O71" s="541">
        <v>144</v>
      </c>
      <c r="P71" s="549">
        <v>0.5</v>
      </c>
    </row>
    <row r="72" spans="1:16" x14ac:dyDescent="0.25">
      <c r="A72" s="531">
        <v>42552</v>
      </c>
      <c r="B72" s="532">
        <v>42632</v>
      </c>
      <c r="C72" s="533">
        <v>123.5</v>
      </c>
      <c r="D72" s="534">
        <v>5.9</v>
      </c>
      <c r="E72" s="535">
        <v>366.5</v>
      </c>
      <c r="F72" s="534">
        <v>6.6</v>
      </c>
      <c r="G72" s="535">
        <v>415.29999999999995</v>
      </c>
      <c r="H72" s="534">
        <v>9.1</v>
      </c>
      <c r="I72" s="536">
        <v>556.70000000000005</v>
      </c>
      <c r="J72" s="535">
        <v>565.80000000000007</v>
      </c>
      <c r="K72" s="534">
        <v>9.1</v>
      </c>
      <c r="L72" s="536">
        <v>556.70000000000005</v>
      </c>
      <c r="M72" s="536">
        <v>565.80000000000007</v>
      </c>
      <c r="N72" s="534">
        <v>164</v>
      </c>
      <c r="O72" s="535">
        <v>146</v>
      </c>
      <c r="P72" s="537">
        <v>0.5</v>
      </c>
    </row>
    <row r="73" spans="1:16" x14ac:dyDescent="0.25">
      <c r="A73" s="496">
        <v>42633</v>
      </c>
      <c r="B73" s="497">
        <v>42735</v>
      </c>
      <c r="C73" s="373">
        <f>Carers!C73</f>
        <v>123.5</v>
      </c>
      <c r="D73" s="375">
        <f t="shared" ref="D73:D91" si="0">D72</f>
        <v>5.9</v>
      </c>
      <c r="E73" s="374">
        <f>SUM(C73,D73,YouthStudents!C73)</f>
        <v>366.5</v>
      </c>
      <c r="F73" s="375">
        <f t="shared" ref="F73:F91" si="1">F72</f>
        <v>6.6</v>
      </c>
      <c r="G73" s="374">
        <f>SUM(C73,F73,YouthStudents!F73)</f>
        <v>415.29999999999995</v>
      </c>
      <c r="H73" s="375">
        <f t="shared" ref="H73:H91" si="2">H72</f>
        <v>9.1</v>
      </c>
      <c r="I73" s="242">
        <f>SUM(YouthStudents!I73,YouthDSP!C73)</f>
        <v>556.70000000000005</v>
      </c>
      <c r="J73" s="374">
        <f>SUM(YouthStudents!I73,YouthDSP!C73,YouthDSP!H73)</f>
        <v>565.80000000000007</v>
      </c>
      <c r="K73" s="375">
        <f>K72</f>
        <v>9.1</v>
      </c>
      <c r="L73" s="242">
        <f>MIN(SUM(C73,YouthStudents!L73),Pensions!P73)</f>
        <v>556.70000000000005</v>
      </c>
      <c r="M73" s="242">
        <f>MIN(SUM(C73,K73,YouthStudents!L73),Pensions!P73)</f>
        <v>565.80000000000007</v>
      </c>
      <c r="N73" s="375">
        <f>Pensions!Q73</f>
        <v>164</v>
      </c>
      <c r="O73" s="374">
        <f>Pensions!S73</f>
        <v>146</v>
      </c>
      <c r="P73" s="397">
        <f t="shared" ref="P73:P91" si="3">P72</f>
        <v>0.5</v>
      </c>
    </row>
    <row r="74" spans="1:16" x14ac:dyDescent="0.25">
      <c r="A74" s="496">
        <v>42736</v>
      </c>
      <c r="B74" s="497">
        <v>42813</v>
      </c>
      <c r="C74" s="373">
        <f>Carers!C74</f>
        <v>124.7</v>
      </c>
      <c r="D74" s="375">
        <f t="shared" si="0"/>
        <v>5.9</v>
      </c>
      <c r="E74" s="374">
        <f>SUM(C74,D74,YouthStudents!C74)</f>
        <v>370.1</v>
      </c>
      <c r="F74" s="375">
        <f t="shared" si="1"/>
        <v>6.6</v>
      </c>
      <c r="G74" s="374">
        <f>SUM(C74,F74,YouthStudents!F74)</f>
        <v>419.40000000000003</v>
      </c>
      <c r="H74" s="375">
        <f t="shared" si="2"/>
        <v>9.1</v>
      </c>
      <c r="I74" s="242">
        <f>SUM(YouthStudents!I74,YouthDSP!C74)</f>
        <v>562.20000000000005</v>
      </c>
      <c r="J74" s="374">
        <f>SUM(YouthStudents!I74,YouthDSP!C74,YouthDSP!H74)</f>
        <v>571.30000000000007</v>
      </c>
      <c r="K74" s="375">
        <f t="shared" ref="K74:K91" si="4">K73</f>
        <v>9.1</v>
      </c>
      <c r="L74" s="242">
        <f>MIN(SUM(C74,YouthStudents!L74),Pensions!P74)</f>
        <v>562.20000000000005</v>
      </c>
      <c r="M74" s="242">
        <f>MIN(SUM(C74,K74,YouthStudents!L74),Pensions!P74)</f>
        <v>571.29999999999995</v>
      </c>
      <c r="N74" s="375">
        <f>Pensions!Q74</f>
        <v>164</v>
      </c>
      <c r="O74" s="374">
        <f>Pensions!S74</f>
        <v>146</v>
      </c>
      <c r="P74" s="397">
        <f t="shared" si="3"/>
        <v>0.5</v>
      </c>
    </row>
    <row r="75" spans="1:16" ht="15.75" thickBot="1" x14ac:dyDescent="0.3">
      <c r="A75" s="538">
        <v>42814</v>
      </c>
      <c r="B75" s="539">
        <v>42916</v>
      </c>
      <c r="C75" s="542">
        <f>Carers!C75</f>
        <v>124.7</v>
      </c>
      <c r="D75" s="540">
        <f t="shared" si="0"/>
        <v>5.9</v>
      </c>
      <c r="E75" s="541">
        <f>SUM(C75,D75,YouthStudents!C75)</f>
        <v>370.1</v>
      </c>
      <c r="F75" s="540">
        <f t="shared" si="1"/>
        <v>6.6</v>
      </c>
      <c r="G75" s="541">
        <f>SUM(C75,F75,YouthStudents!F75)</f>
        <v>419.40000000000003</v>
      </c>
      <c r="H75" s="540">
        <f t="shared" si="2"/>
        <v>9.1</v>
      </c>
      <c r="I75" s="543">
        <f>SUM(YouthStudents!I75,YouthDSP!C75)</f>
        <v>562.20000000000005</v>
      </c>
      <c r="J75" s="541">
        <f>SUM(YouthStudents!I75,YouthDSP!C75,YouthDSP!H75)</f>
        <v>571.30000000000007</v>
      </c>
      <c r="K75" s="540">
        <f t="shared" si="4"/>
        <v>9.1</v>
      </c>
      <c r="L75" s="543">
        <f>MIN(SUM(C75,YouthStudents!L75),Pensions!P75)</f>
        <v>562.20000000000005</v>
      </c>
      <c r="M75" s="543">
        <f>MIN(SUM(C75,K75,YouthStudents!L75),Pensions!P75)</f>
        <v>571.29999999999995</v>
      </c>
      <c r="N75" s="540">
        <f>Pensions!Q75</f>
        <v>164</v>
      </c>
      <c r="O75" s="541">
        <f>Pensions!S75</f>
        <v>146</v>
      </c>
      <c r="P75" s="549">
        <f t="shared" si="3"/>
        <v>0.5</v>
      </c>
    </row>
    <row r="76" spans="1:16" x14ac:dyDescent="0.25">
      <c r="A76" s="531">
        <v>42917</v>
      </c>
      <c r="B76" s="532">
        <v>42997</v>
      </c>
      <c r="C76" s="533">
        <f>Carers!C76</f>
        <v>124.7</v>
      </c>
      <c r="D76" s="534">
        <f t="shared" si="0"/>
        <v>5.9</v>
      </c>
      <c r="E76" s="535">
        <f>SUM(C76,D76,YouthStudents!C76)</f>
        <v>370.1</v>
      </c>
      <c r="F76" s="534">
        <f t="shared" si="1"/>
        <v>6.6</v>
      </c>
      <c r="G76" s="535">
        <f>SUM(C76,F76,YouthStudents!F76)</f>
        <v>419.40000000000003</v>
      </c>
      <c r="H76" s="534">
        <f t="shared" si="2"/>
        <v>9.1</v>
      </c>
      <c r="I76" s="536">
        <f>SUM(YouthStudents!I76,YouthDSP!C76)</f>
        <v>562.20000000000005</v>
      </c>
      <c r="J76" s="535">
        <f>SUM(YouthStudents!I76,YouthDSP!C76,YouthDSP!H76)</f>
        <v>571.30000000000007</v>
      </c>
      <c r="K76" s="534">
        <f t="shared" si="4"/>
        <v>9.1</v>
      </c>
      <c r="L76" s="536">
        <f>MIN(SUM(C76,YouthStudents!L76),Pensions!P76)</f>
        <v>562.20000000000005</v>
      </c>
      <c r="M76" s="536">
        <f>MIN(SUM(C76,K76,YouthStudents!L76),Pensions!P76)</f>
        <v>571.29999999999995</v>
      </c>
      <c r="N76" s="534">
        <f>Pensions!Q76</f>
        <v>168</v>
      </c>
      <c r="O76" s="535">
        <f>Pensions!S76</f>
        <v>150</v>
      </c>
      <c r="P76" s="537">
        <f t="shared" si="3"/>
        <v>0.5</v>
      </c>
    </row>
    <row r="77" spans="1:16" x14ac:dyDescent="0.25">
      <c r="A77" s="165">
        <v>42998</v>
      </c>
      <c r="B77" s="166">
        <v>43100</v>
      </c>
      <c r="C77" s="107">
        <f>Carers!C77</f>
        <v>124.7</v>
      </c>
      <c r="D77" s="861">
        <f t="shared" si="0"/>
        <v>5.9</v>
      </c>
      <c r="E77" s="75">
        <f>SUM(C77,D77,YouthStudents!C77)</f>
        <v>370.1</v>
      </c>
      <c r="F77" s="861">
        <f t="shared" si="1"/>
        <v>6.6</v>
      </c>
      <c r="G77" s="75">
        <f>SUM(C77,F77,YouthStudents!F77)</f>
        <v>419.40000000000003</v>
      </c>
      <c r="H77" s="861">
        <f t="shared" si="2"/>
        <v>9.1</v>
      </c>
      <c r="I77" s="34">
        <f>SUM(YouthStudents!I77,YouthDSP!C77)</f>
        <v>562.20000000000005</v>
      </c>
      <c r="J77" s="75">
        <f>SUM(YouthStudents!I77,YouthDSP!C77,YouthDSP!H77)</f>
        <v>571.30000000000007</v>
      </c>
      <c r="K77" s="861">
        <f t="shared" si="4"/>
        <v>9.1</v>
      </c>
      <c r="L77" s="34">
        <f>MIN(SUM(C77,YouthStudents!L77),Pensions!P77)</f>
        <v>562.20000000000005</v>
      </c>
      <c r="M77" s="34">
        <f>MIN(SUM(C77,K77,YouthStudents!L77),Pensions!P77)</f>
        <v>571.29999999999995</v>
      </c>
      <c r="N77" s="33">
        <f>Pensions!Q77</f>
        <v>168</v>
      </c>
      <c r="O77" s="75">
        <f>Pensions!S77</f>
        <v>150</v>
      </c>
      <c r="P77" s="15">
        <f t="shared" si="3"/>
        <v>0.5</v>
      </c>
    </row>
    <row r="78" spans="1:16" x14ac:dyDescent="0.25">
      <c r="A78" s="165">
        <v>43101</v>
      </c>
      <c r="B78" s="166">
        <v>43178</v>
      </c>
      <c r="C78" s="107">
        <f>Carers!C78</f>
        <v>127.10000000000001</v>
      </c>
      <c r="D78" s="33">
        <f t="shared" si="0"/>
        <v>5.9</v>
      </c>
      <c r="E78" s="75">
        <f>SUM(C78,D78,YouthStudents!C78)</f>
        <v>377.1</v>
      </c>
      <c r="F78" s="33">
        <f t="shared" si="1"/>
        <v>6.6</v>
      </c>
      <c r="G78" s="75">
        <f>SUM(C78,F78,YouthStudents!F78)</f>
        <v>427.30000000000007</v>
      </c>
      <c r="H78" s="33">
        <f t="shared" si="2"/>
        <v>9.1</v>
      </c>
      <c r="I78" s="34">
        <f>SUM(YouthStudents!I78,YouthDSP!C78)</f>
        <v>572.9</v>
      </c>
      <c r="J78" s="75">
        <f>SUM(YouthStudents!I78,YouthDSP!C78,YouthDSP!H78)</f>
        <v>582</v>
      </c>
      <c r="K78" s="33">
        <f t="shared" si="4"/>
        <v>9.1</v>
      </c>
      <c r="L78" s="34">
        <f>MIN(SUM(C78,YouthStudents!L78),Pensions!P78)</f>
        <v>572.9</v>
      </c>
      <c r="M78" s="34">
        <f>MIN(SUM(C78,K78,YouthStudents!L78),Pensions!P78)</f>
        <v>582</v>
      </c>
      <c r="N78" s="33">
        <f>Pensions!Q78</f>
        <v>168</v>
      </c>
      <c r="O78" s="75">
        <f>Pensions!S78</f>
        <v>150</v>
      </c>
      <c r="P78" s="15">
        <f t="shared" si="3"/>
        <v>0.5</v>
      </c>
    </row>
    <row r="79" spans="1:16" ht="15.75" thickBot="1" x14ac:dyDescent="0.3">
      <c r="A79" s="167">
        <v>43179</v>
      </c>
      <c r="B79" s="168">
        <v>43281</v>
      </c>
      <c r="C79" s="111">
        <f>Carers!C79</f>
        <v>127.10000000000001</v>
      </c>
      <c r="D79" s="77">
        <f t="shared" si="0"/>
        <v>5.9</v>
      </c>
      <c r="E79" s="79">
        <f>SUM(C79,D79,YouthStudents!C79)</f>
        <v>377.1</v>
      </c>
      <c r="F79" s="77">
        <f t="shared" si="1"/>
        <v>6.6</v>
      </c>
      <c r="G79" s="79">
        <f>SUM(C79,F79,YouthStudents!F79)</f>
        <v>427.30000000000007</v>
      </c>
      <c r="H79" s="77">
        <f t="shared" si="2"/>
        <v>9.1</v>
      </c>
      <c r="I79" s="78">
        <f>SUM(YouthStudents!I79,YouthDSP!C79)</f>
        <v>572.9</v>
      </c>
      <c r="J79" s="79">
        <f>SUM(YouthStudents!I79,YouthDSP!C79,YouthDSP!H79)</f>
        <v>582</v>
      </c>
      <c r="K79" s="77">
        <f t="shared" si="4"/>
        <v>9.1</v>
      </c>
      <c r="L79" s="78">
        <f>MIN(SUM(C79,YouthStudents!L79),Pensions!P79)</f>
        <v>572.9</v>
      </c>
      <c r="M79" s="78">
        <f>MIN(SUM(C79,K79,YouthStudents!L79),Pensions!P79)</f>
        <v>582</v>
      </c>
      <c r="N79" s="77">
        <f>Pensions!Q79</f>
        <v>168</v>
      </c>
      <c r="O79" s="79">
        <f>Pensions!S79</f>
        <v>150</v>
      </c>
      <c r="P79" s="81">
        <f t="shared" si="3"/>
        <v>0.5</v>
      </c>
    </row>
    <row r="80" spans="1:16" x14ac:dyDescent="0.25">
      <c r="A80" s="169">
        <v>43282</v>
      </c>
      <c r="B80" s="170">
        <v>43362</v>
      </c>
      <c r="C80" s="189">
        <f>Carers!C80</f>
        <v>127.10000000000001</v>
      </c>
      <c r="D80" s="188">
        <f t="shared" si="0"/>
        <v>5.9</v>
      </c>
      <c r="E80" s="172">
        <f>SUM(C80,D80,YouthStudents!C80)</f>
        <v>377.1</v>
      </c>
      <c r="F80" s="188">
        <f t="shared" si="1"/>
        <v>6.6</v>
      </c>
      <c r="G80" s="172">
        <f>SUM(C80,F80,YouthStudents!F80)</f>
        <v>427.30000000000007</v>
      </c>
      <c r="H80" s="188">
        <f t="shared" si="2"/>
        <v>9.1</v>
      </c>
      <c r="I80" s="171">
        <f>SUM(YouthStudents!I80,YouthDSP!C80)</f>
        <v>572.9</v>
      </c>
      <c r="J80" s="172">
        <f>SUM(YouthStudents!I80,YouthDSP!C80,YouthDSP!H80)</f>
        <v>582</v>
      </c>
      <c r="K80" s="188">
        <f t="shared" si="4"/>
        <v>9.1</v>
      </c>
      <c r="L80" s="171">
        <f>MIN(SUM(C80,YouthStudents!L80),Pensions!P80)</f>
        <v>572.9</v>
      </c>
      <c r="M80" s="171">
        <f>MIN(SUM(C80,K80,YouthStudents!L80),Pensions!P80)</f>
        <v>582</v>
      </c>
      <c r="N80" s="188">
        <f>Pensions!Q80</f>
        <v>170</v>
      </c>
      <c r="O80" s="172">
        <f>Pensions!S80</f>
        <v>152</v>
      </c>
      <c r="P80" s="197">
        <f t="shared" si="3"/>
        <v>0.5</v>
      </c>
    </row>
    <row r="81" spans="1:16" x14ac:dyDescent="0.25">
      <c r="A81" s="165">
        <v>43363</v>
      </c>
      <c r="B81" s="166">
        <v>43465</v>
      </c>
      <c r="C81" s="107">
        <f>Carers!C81</f>
        <v>127.10000000000001</v>
      </c>
      <c r="D81" s="33">
        <f t="shared" si="0"/>
        <v>5.9</v>
      </c>
      <c r="E81" s="75">
        <f>SUM(C81,D81,YouthStudents!C81)</f>
        <v>377.1</v>
      </c>
      <c r="F81" s="33">
        <f t="shared" si="1"/>
        <v>6.6</v>
      </c>
      <c r="G81" s="75">
        <f>SUM(C81,F81,YouthStudents!F81)</f>
        <v>427.30000000000007</v>
      </c>
      <c r="H81" s="33">
        <f t="shared" si="2"/>
        <v>9.1</v>
      </c>
      <c r="I81" s="34">
        <f>SUM(YouthStudents!I81,YouthDSP!C81)</f>
        <v>572.9</v>
      </c>
      <c r="J81" s="75">
        <f>SUM(YouthStudents!I81,YouthDSP!C81,YouthDSP!H81)</f>
        <v>582</v>
      </c>
      <c r="K81" s="33">
        <f t="shared" si="4"/>
        <v>9.1</v>
      </c>
      <c r="L81" s="34">
        <f>MIN(SUM(C81,YouthStudents!L81),Pensions!P81)</f>
        <v>572.9</v>
      </c>
      <c r="M81" s="34">
        <f>MIN(SUM(C81,K81,YouthStudents!L81),Pensions!P81)</f>
        <v>582</v>
      </c>
      <c r="N81" s="33">
        <f>Pensions!Q81</f>
        <v>170</v>
      </c>
      <c r="O81" s="75">
        <f>Pensions!S81</f>
        <v>152</v>
      </c>
      <c r="P81" s="15">
        <f t="shared" si="3"/>
        <v>0.5</v>
      </c>
    </row>
    <row r="82" spans="1:16" x14ac:dyDescent="0.25">
      <c r="A82" s="165">
        <v>43466</v>
      </c>
      <c r="B82" s="166">
        <v>43543</v>
      </c>
      <c r="C82" s="107">
        <f>Carers!C82</f>
        <v>129.6</v>
      </c>
      <c r="D82" s="33">
        <f t="shared" si="0"/>
        <v>5.9</v>
      </c>
      <c r="E82" s="75">
        <f>SUM(C82,D82,YouthStudents!C82)</f>
        <v>384.5</v>
      </c>
      <c r="F82" s="33">
        <f t="shared" si="1"/>
        <v>6.6</v>
      </c>
      <c r="G82" s="75">
        <f>SUM(C82,F82,YouthStudents!F82)</f>
        <v>435.7</v>
      </c>
      <c r="H82" s="33">
        <f t="shared" si="2"/>
        <v>9.1</v>
      </c>
      <c r="I82" s="34">
        <f>SUM(YouthStudents!I82,YouthDSP!C82)</f>
        <v>584.30000000000007</v>
      </c>
      <c r="J82" s="75">
        <f>SUM(YouthStudents!I82,YouthDSP!C82,YouthDSP!H82)</f>
        <v>593.40000000000009</v>
      </c>
      <c r="K82" s="33">
        <f t="shared" si="4"/>
        <v>9.1</v>
      </c>
      <c r="L82" s="34">
        <f>MIN(SUM(C82,YouthStudents!L82),Pensions!P82)</f>
        <v>584.30000000000007</v>
      </c>
      <c r="M82" s="34">
        <f>MIN(SUM(C82,K82,YouthStudents!L82),Pensions!P82)</f>
        <v>593.40000000000009</v>
      </c>
      <c r="N82" s="33">
        <f>Pensions!Q82</f>
        <v>170</v>
      </c>
      <c r="O82" s="75">
        <f>Pensions!S82</f>
        <v>152</v>
      </c>
      <c r="P82" s="15">
        <f t="shared" si="3"/>
        <v>0.5</v>
      </c>
    </row>
    <row r="83" spans="1:16" ht="15.75" thickBot="1" x14ac:dyDescent="0.3">
      <c r="A83" s="167">
        <v>43544</v>
      </c>
      <c r="B83" s="168">
        <v>43646</v>
      </c>
      <c r="C83" s="111">
        <f>Carers!C83</f>
        <v>129.6</v>
      </c>
      <c r="D83" s="77">
        <f t="shared" si="0"/>
        <v>5.9</v>
      </c>
      <c r="E83" s="79">
        <f>SUM(C83,D83,YouthStudents!C83)</f>
        <v>384.5</v>
      </c>
      <c r="F83" s="77">
        <f t="shared" si="1"/>
        <v>6.6</v>
      </c>
      <c r="G83" s="79">
        <f>SUM(C83,F83,YouthStudents!F83)</f>
        <v>435.7</v>
      </c>
      <c r="H83" s="77">
        <f t="shared" si="2"/>
        <v>9.1</v>
      </c>
      <c r="I83" s="78">
        <f>SUM(YouthStudents!I83,YouthDSP!C83)</f>
        <v>584.30000000000007</v>
      </c>
      <c r="J83" s="79">
        <f>SUM(YouthStudents!I83,YouthDSP!C83,YouthDSP!H83)</f>
        <v>593.40000000000009</v>
      </c>
      <c r="K83" s="77">
        <f t="shared" si="4"/>
        <v>9.1</v>
      </c>
      <c r="L83" s="78">
        <f>MIN(SUM(C83,YouthStudents!L83),Pensions!P83)</f>
        <v>584.30000000000007</v>
      </c>
      <c r="M83" s="78">
        <f>MIN(SUM(C83,K83,YouthStudents!L83),Pensions!P83)</f>
        <v>593.40000000000009</v>
      </c>
      <c r="N83" s="77">
        <f>Pensions!Q83</f>
        <v>170</v>
      </c>
      <c r="O83" s="79">
        <f>Pensions!S83</f>
        <v>152</v>
      </c>
      <c r="P83" s="81">
        <f t="shared" si="3"/>
        <v>0.5</v>
      </c>
    </row>
    <row r="84" spans="1:16" x14ac:dyDescent="0.25">
      <c r="A84" s="169">
        <v>43647</v>
      </c>
      <c r="B84" s="170">
        <v>43727</v>
      </c>
      <c r="C84" s="189">
        <f>Carers!C84</f>
        <v>129.6</v>
      </c>
      <c r="D84" s="188">
        <f t="shared" si="0"/>
        <v>5.9</v>
      </c>
      <c r="E84" s="172">
        <f>SUM(C84,D84,YouthStudents!C84)</f>
        <v>384.5</v>
      </c>
      <c r="F84" s="188">
        <f t="shared" si="1"/>
        <v>6.6</v>
      </c>
      <c r="G84" s="172">
        <f>SUM(C84,F84,YouthStudents!F84)</f>
        <v>435.7</v>
      </c>
      <c r="H84" s="188">
        <f t="shared" si="2"/>
        <v>9.1</v>
      </c>
      <c r="I84" s="171">
        <f>SUM(YouthStudents!I84,YouthDSP!C84)</f>
        <v>584.30000000000007</v>
      </c>
      <c r="J84" s="172">
        <f>SUM(YouthStudents!I84,YouthDSP!C84,YouthDSP!H84)</f>
        <v>593.40000000000009</v>
      </c>
      <c r="K84" s="188">
        <f t="shared" si="4"/>
        <v>9.1</v>
      </c>
      <c r="L84" s="171">
        <f>MIN(SUM(C84,YouthStudents!L84),Pensions!P84)</f>
        <v>584.30000000000007</v>
      </c>
      <c r="M84" s="171">
        <f>MIN(SUM(C84,K84,YouthStudents!L84),Pensions!P84)</f>
        <v>593.40000000000009</v>
      </c>
      <c r="N84" s="188">
        <f>Pensions!Q84</f>
        <v>172</v>
      </c>
      <c r="O84" s="172">
        <f>Pensions!S84</f>
        <v>156</v>
      </c>
      <c r="P84" s="197">
        <f t="shared" si="3"/>
        <v>0.5</v>
      </c>
    </row>
    <row r="85" spans="1:16" x14ac:dyDescent="0.25">
      <c r="A85" s="165">
        <v>43728</v>
      </c>
      <c r="B85" s="166">
        <v>43830</v>
      </c>
      <c r="C85" s="107">
        <f>Carers!C85</f>
        <v>129.6</v>
      </c>
      <c r="D85" s="33">
        <f t="shared" si="0"/>
        <v>5.9</v>
      </c>
      <c r="E85" s="75">
        <f>SUM(C85,D85,YouthStudents!C85)</f>
        <v>384.5</v>
      </c>
      <c r="F85" s="33">
        <f t="shared" si="1"/>
        <v>6.6</v>
      </c>
      <c r="G85" s="75">
        <f>SUM(C85,F85,YouthStudents!F85)</f>
        <v>435.7</v>
      </c>
      <c r="H85" s="33">
        <f t="shared" si="2"/>
        <v>9.1</v>
      </c>
      <c r="I85" s="34">
        <f>SUM(YouthStudents!I85,YouthDSP!C85)</f>
        <v>584.30000000000007</v>
      </c>
      <c r="J85" s="75">
        <f>SUM(YouthStudents!I85,YouthDSP!C85,YouthDSP!H85)</f>
        <v>593.40000000000009</v>
      </c>
      <c r="K85" s="33">
        <f t="shared" si="4"/>
        <v>9.1</v>
      </c>
      <c r="L85" s="34">
        <f>MIN(SUM(C85,YouthStudents!L85),Pensions!P85)</f>
        <v>584.30000000000007</v>
      </c>
      <c r="M85" s="34">
        <f>MIN(SUM(C85,K85,YouthStudents!L85),Pensions!P85)</f>
        <v>593.40000000000009</v>
      </c>
      <c r="N85" s="33">
        <f>Pensions!Q85</f>
        <v>172</v>
      </c>
      <c r="O85" s="75">
        <f>Pensions!S85</f>
        <v>156</v>
      </c>
      <c r="P85" s="15">
        <f t="shared" si="3"/>
        <v>0.5</v>
      </c>
    </row>
    <row r="86" spans="1:16" x14ac:dyDescent="0.25">
      <c r="A86" s="165">
        <v>43831</v>
      </c>
      <c r="B86" s="166">
        <v>43909</v>
      </c>
      <c r="C86" s="107">
        <f>Carers!C86</f>
        <v>132.5</v>
      </c>
      <c r="D86" s="33">
        <f t="shared" si="0"/>
        <v>5.9</v>
      </c>
      <c r="E86" s="75">
        <f>SUM(C86,D86,YouthStudents!C86)</f>
        <v>392.9</v>
      </c>
      <c r="F86" s="33">
        <f t="shared" si="1"/>
        <v>6.6</v>
      </c>
      <c r="G86" s="75">
        <f>SUM(C86,F86,YouthStudents!F86)</f>
        <v>445.20000000000005</v>
      </c>
      <c r="H86" s="33">
        <f t="shared" si="2"/>
        <v>9.1</v>
      </c>
      <c r="I86" s="34">
        <f>SUM(YouthStudents!I86,YouthDSP!C86)</f>
        <v>597.20000000000005</v>
      </c>
      <c r="J86" s="75">
        <f>SUM(YouthStudents!I86,YouthDSP!C86,YouthDSP!H86)</f>
        <v>606.30000000000007</v>
      </c>
      <c r="K86" s="33">
        <f t="shared" si="4"/>
        <v>9.1</v>
      </c>
      <c r="L86" s="34">
        <f>MIN(SUM(C86,YouthStudents!L86),Pensions!P86)</f>
        <v>597.20000000000005</v>
      </c>
      <c r="M86" s="34">
        <f>MIN(SUM(C86,K86,YouthStudents!L86),Pensions!P86)</f>
        <v>606.30000000000007</v>
      </c>
      <c r="N86" s="33">
        <f>Pensions!Q86</f>
        <v>172</v>
      </c>
      <c r="O86" s="75">
        <f>Pensions!S86</f>
        <v>156</v>
      </c>
      <c r="P86" s="15">
        <f t="shared" si="3"/>
        <v>0.5</v>
      </c>
    </row>
    <row r="87" spans="1:16" ht="15.75" thickBot="1" x14ac:dyDescent="0.3">
      <c r="A87" s="167">
        <v>43910</v>
      </c>
      <c r="B87" s="168">
        <v>44012</v>
      </c>
      <c r="C87" s="111">
        <f>Carers!C87</f>
        <v>132.5</v>
      </c>
      <c r="D87" s="77">
        <f t="shared" si="0"/>
        <v>5.9</v>
      </c>
      <c r="E87" s="79">
        <f>SUM(C87,D87,YouthStudents!C87)</f>
        <v>392.9</v>
      </c>
      <c r="F87" s="77">
        <f t="shared" si="1"/>
        <v>6.6</v>
      </c>
      <c r="G87" s="79">
        <f>SUM(C87,F87,YouthStudents!F87)</f>
        <v>445.20000000000005</v>
      </c>
      <c r="H87" s="77">
        <f t="shared" si="2"/>
        <v>9.1</v>
      </c>
      <c r="I87" s="78">
        <f>SUM(YouthStudents!I87,YouthDSP!C87)</f>
        <v>597.20000000000005</v>
      </c>
      <c r="J87" s="79">
        <f>SUM(YouthStudents!I87,YouthDSP!C87,YouthDSP!H87)</f>
        <v>606.30000000000007</v>
      </c>
      <c r="K87" s="77">
        <f t="shared" si="4"/>
        <v>9.1</v>
      </c>
      <c r="L87" s="78">
        <f>MIN(SUM(C87,YouthStudents!L87),Pensions!P87)</f>
        <v>597.20000000000005</v>
      </c>
      <c r="M87" s="78">
        <f>MIN(SUM(C87,K87,YouthStudents!L87),Pensions!P87)</f>
        <v>606.30000000000007</v>
      </c>
      <c r="N87" s="77">
        <f>Pensions!Q87</f>
        <v>172</v>
      </c>
      <c r="O87" s="79">
        <f>Pensions!S87</f>
        <v>156</v>
      </c>
      <c r="P87" s="81">
        <f t="shared" si="3"/>
        <v>0.5</v>
      </c>
    </row>
    <row r="88" spans="1:16" x14ac:dyDescent="0.25">
      <c r="A88" s="169">
        <v>44013</v>
      </c>
      <c r="B88" s="170">
        <v>44093</v>
      </c>
      <c r="C88" s="189">
        <f>Carers!C88</f>
        <v>132.5</v>
      </c>
      <c r="D88" s="188">
        <f t="shared" si="0"/>
        <v>5.9</v>
      </c>
      <c r="E88" s="172">
        <f>SUM(C88,D88,YouthStudents!C88)</f>
        <v>392.9</v>
      </c>
      <c r="F88" s="188">
        <f t="shared" si="1"/>
        <v>6.6</v>
      </c>
      <c r="G88" s="172">
        <f>SUM(C88,F88,YouthStudents!F88)</f>
        <v>445.20000000000005</v>
      </c>
      <c r="H88" s="188">
        <f t="shared" si="2"/>
        <v>9.1</v>
      </c>
      <c r="I88" s="171">
        <f>SUM(YouthStudents!I88,YouthDSP!C88)</f>
        <v>597.20000000000005</v>
      </c>
      <c r="J88" s="172">
        <f>SUM(YouthStudents!I88,YouthDSP!C88,YouthDSP!H88)</f>
        <v>606.30000000000007</v>
      </c>
      <c r="K88" s="188">
        <f t="shared" si="4"/>
        <v>9.1</v>
      </c>
      <c r="L88" s="171">
        <f>MIN(SUM(C88,YouthStudents!L88),Pensions!P88)</f>
        <v>597.20000000000005</v>
      </c>
      <c r="M88" s="171">
        <f>MIN(SUM(C88,K88,YouthStudents!L88),Pensions!P88)</f>
        <v>606.30000000000007</v>
      </c>
      <c r="N88" s="188">
        <f>Pensions!Q88</f>
        <v>176</v>
      </c>
      <c r="O88" s="172">
        <f>Pensions!S88</f>
        <v>160</v>
      </c>
      <c r="P88" s="197">
        <f t="shared" si="3"/>
        <v>0.5</v>
      </c>
    </row>
    <row r="89" spans="1:16" x14ac:dyDescent="0.25">
      <c r="A89" s="165">
        <v>44094</v>
      </c>
      <c r="B89" s="166">
        <v>44196</v>
      </c>
      <c r="C89" s="107">
        <f>Carers!C89</f>
        <v>132.5</v>
      </c>
      <c r="D89" s="33">
        <f t="shared" si="0"/>
        <v>5.9</v>
      </c>
      <c r="E89" s="75">
        <f>SUM(C89,D89,YouthStudents!C89)</f>
        <v>392.9</v>
      </c>
      <c r="F89" s="33">
        <f t="shared" si="1"/>
        <v>6.6</v>
      </c>
      <c r="G89" s="75">
        <f>SUM(C89,F89,YouthStudents!F89)</f>
        <v>445.20000000000005</v>
      </c>
      <c r="H89" s="33">
        <f t="shared" si="2"/>
        <v>9.1</v>
      </c>
      <c r="I89" s="34">
        <f>SUM(YouthStudents!I89,YouthDSP!C89)</f>
        <v>597.20000000000005</v>
      </c>
      <c r="J89" s="75">
        <f>SUM(YouthStudents!I89,YouthDSP!C89,YouthDSP!H89)</f>
        <v>606.30000000000007</v>
      </c>
      <c r="K89" s="33">
        <f t="shared" si="4"/>
        <v>9.1</v>
      </c>
      <c r="L89" s="34">
        <f>MIN(SUM(C89,YouthStudents!L89),Pensions!P89)</f>
        <v>597.20000000000005</v>
      </c>
      <c r="M89" s="34">
        <f>MIN(SUM(C89,K89,YouthStudents!L89),Pensions!P89)</f>
        <v>606.30000000000007</v>
      </c>
      <c r="N89" s="33">
        <f>Pensions!Q89</f>
        <v>176</v>
      </c>
      <c r="O89" s="75">
        <f>Pensions!S89</f>
        <v>160</v>
      </c>
      <c r="P89" s="15">
        <f t="shared" si="3"/>
        <v>0.5</v>
      </c>
    </row>
    <row r="90" spans="1:16" x14ac:dyDescent="0.25">
      <c r="A90" s="165">
        <v>44197</v>
      </c>
      <c r="B90" s="166">
        <v>44274</v>
      </c>
      <c r="C90" s="107">
        <f>Carers!C90</f>
        <v>135.80000000000001</v>
      </c>
      <c r="D90" s="33">
        <f t="shared" si="0"/>
        <v>5.9</v>
      </c>
      <c r="E90" s="75">
        <f>SUM(C90,D90,YouthStudents!C90)</f>
        <v>402.6</v>
      </c>
      <c r="F90" s="33">
        <f t="shared" si="1"/>
        <v>6.6</v>
      </c>
      <c r="G90" s="75">
        <f>SUM(C90,F90,YouthStudents!F90)</f>
        <v>456.20000000000005</v>
      </c>
      <c r="H90" s="33">
        <f t="shared" si="2"/>
        <v>9.1</v>
      </c>
      <c r="I90" s="34">
        <f>SUM(YouthStudents!I90,YouthDSP!C90)</f>
        <v>612.1</v>
      </c>
      <c r="J90" s="75">
        <f>SUM(YouthStudents!I90,YouthDSP!C90,YouthDSP!H90)</f>
        <v>621.20000000000005</v>
      </c>
      <c r="K90" s="33">
        <f t="shared" si="4"/>
        <v>9.1</v>
      </c>
      <c r="L90" s="34">
        <f>MIN(SUM(C90,YouthStudents!L90),Pensions!P90)</f>
        <v>612.1</v>
      </c>
      <c r="M90" s="34">
        <f>MIN(SUM(C90,K90,YouthStudents!L90),Pensions!P90)</f>
        <v>621.20000000000005</v>
      </c>
      <c r="N90" s="33">
        <f>Pensions!Q90</f>
        <v>176</v>
      </c>
      <c r="O90" s="75">
        <f>Pensions!S90</f>
        <v>160</v>
      </c>
      <c r="P90" s="15">
        <f t="shared" si="3"/>
        <v>0.5</v>
      </c>
    </row>
    <row r="91" spans="1:16" ht="15.75" thickBot="1" x14ac:dyDescent="0.3">
      <c r="A91" s="167">
        <v>44275</v>
      </c>
      <c r="B91" s="168">
        <v>44377</v>
      </c>
      <c r="C91" s="111">
        <f>Carers!C91</f>
        <v>135.80000000000001</v>
      </c>
      <c r="D91" s="77">
        <f t="shared" si="0"/>
        <v>5.9</v>
      </c>
      <c r="E91" s="79">
        <f>SUM(C91,D91,YouthStudents!C91)</f>
        <v>402.6</v>
      </c>
      <c r="F91" s="77">
        <f t="shared" si="1"/>
        <v>6.6</v>
      </c>
      <c r="G91" s="79">
        <f>SUM(C91,F91,YouthStudents!F91)</f>
        <v>456.20000000000005</v>
      </c>
      <c r="H91" s="77">
        <f t="shared" si="2"/>
        <v>9.1</v>
      </c>
      <c r="I91" s="78">
        <f>SUM(YouthStudents!I91,YouthDSP!C91)</f>
        <v>612.1</v>
      </c>
      <c r="J91" s="79">
        <f>SUM(YouthStudents!I91,YouthDSP!C91,YouthDSP!H91)</f>
        <v>621.20000000000005</v>
      </c>
      <c r="K91" s="77">
        <f t="shared" si="4"/>
        <v>9.1</v>
      </c>
      <c r="L91" s="78">
        <f>MIN(SUM(C91,YouthStudents!L91),Pensions!P91)</f>
        <v>612.1</v>
      </c>
      <c r="M91" s="78">
        <f>MIN(SUM(C91,K91,YouthStudents!L91),Pensions!P91)</f>
        <v>621.20000000000005</v>
      </c>
      <c r="N91" s="77">
        <f>Pensions!Q91</f>
        <v>176</v>
      </c>
      <c r="O91" s="79">
        <f>Pensions!S91</f>
        <v>160</v>
      </c>
      <c r="P91" s="81">
        <f t="shared" si="3"/>
        <v>0.5</v>
      </c>
    </row>
  </sheetData>
  <customSheetViews>
    <customSheetView guid="{E49C2F27-B0B9-497E-BEC0-5B59561292FE}">
      <pane xSplit="2" ySplit="7" topLeftCell="C53" activePane="bottomRight" state="frozen"/>
      <selection pane="bottomRight" activeCell="F81" sqref="F81"/>
      <pageMargins left="0.7" right="0.7" top="0.75" bottom="0.75" header="0.3" footer="0.3"/>
      <pageSetup paperSize="9" orientation="portrait" r:id="rId1"/>
    </customSheetView>
    <customSheetView guid="{A5953138-1481-4137-BEAD-32FA4FDF03E6}">
      <pane xSplit="2" ySplit="7" topLeftCell="C53" activePane="bottomRight" state="frozen"/>
      <selection pane="bottomRight" activeCell="F81" sqref="F81"/>
      <pageMargins left="0.7" right="0.7" top="0.75" bottom="0.75" header="0.3" footer="0.3"/>
      <pageSetup paperSize="9" orientation="portrait" r:id="rId2"/>
    </customSheetView>
    <customSheetView guid="{2A1F94CA-1A34-4418-88FD-EABF7586C2B2}">
      <pane xSplit="2" ySplit="7" topLeftCell="C53" activePane="bottomRight" state="frozen"/>
      <selection pane="bottomRight" activeCell="I70" sqref="I70"/>
      <pageMargins left="0.7" right="0.7" top="0.75" bottom="0.75" header="0.3" footer="0.3"/>
      <pageSetup paperSize="9" orientation="portrait" r:id="rId3"/>
    </customSheetView>
  </customSheetViews>
  <mergeCells count="26">
    <mergeCell ref="N1:P1"/>
    <mergeCell ref="P4:P6"/>
    <mergeCell ref="A4:A6"/>
    <mergeCell ref="B4:B6"/>
    <mergeCell ref="C2:C6"/>
    <mergeCell ref="N2:P3"/>
    <mergeCell ref="C1:M1"/>
    <mergeCell ref="D2:J2"/>
    <mergeCell ref="K2:M2"/>
    <mergeCell ref="D3:G3"/>
    <mergeCell ref="K5:K6"/>
    <mergeCell ref="M5:M6"/>
    <mergeCell ref="K3:M4"/>
    <mergeCell ref="H3:J4"/>
    <mergeCell ref="N4:O5"/>
    <mergeCell ref="H5:H6"/>
    <mergeCell ref="L5:L6"/>
    <mergeCell ref="J5:J6"/>
    <mergeCell ref="A2:B3"/>
    <mergeCell ref="D4:E4"/>
    <mergeCell ref="F4:G4"/>
    <mergeCell ref="D5:D6"/>
    <mergeCell ref="E5:E6"/>
    <mergeCell ref="F5:F6"/>
    <mergeCell ref="G5:G6"/>
    <mergeCell ref="I5:I6"/>
  </mergeCells>
  <pageMargins left="0.7" right="0.7" top="0.75" bottom="0.75" header="0.3" footer="0.3"/>
  <pageSetup paperSize="9" orientation="portrait" r:id="rId4"/>
  <legacyDrawing r:id="rId5"/>
</worksheet>
</file>

<file path=xl/worksheets/sheet1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sheetPr codeName="Sheet26">
    <tabColor rgb="FF00B0F0"/>
  </sheetPr>
  <dimension ref="A1:P28"/>
  <sheetViews>
    <sheetView workbookViewId="0">
      <selection activeCell="H36" sqref="H36"/>
    </sheetView>
  </sheetViews>
  <sheetFormatPr defaultRowHeight="15" x14ac:dyDescent="0.25"/>
  <cols>
    <col min="1" max="2" width="12.85546875" style="28" customWidth="1"/>
    <col min="3" max="8" width="15.7109375" style="28" customWidth="1"/>
    <col min="9" max="9" width="15.7109375" style="697" customWidth="1"/>
    <col min="10" max="11" width="15.7109375" style="28" customWidth="1"/>
    <col min="12" max="12" width="15.7109375" style="697" customWidth="1"/>
    <col min="13" max="13" width="15.7109375" style="28" customWidth="1"/>
    <col min="14" max="14" width="15.7109375" style="16" customWidth="1"/>
    <col min="15" max="16" width="15.7109375" style="28" customWidth="1"/>
    <col min="17" max="16384" width="9.140625" style="28"/>
  </cols>
  <sheetData>
    <row r="1" spans="1:16" ht="15.75" thickBot="1" x14ac:dyDescent="0.3">
      <c r="A1" s="87"/>
      <c r="B1" s="87"/>
      <c r="C1" s="1160" t="s">
        <v>205</v>
      </c>
      <c r="D1" s="1161"/>
      <c r="E1" s="1161"/>
      <c r="F1" s="1161"/>
      <c r="G1" s="1161"/>
      <c r="H1" s="1161"/>
      <c r="I1" s="1161"/>
      <c r="J1" s="1161"/>
      <c r="K1" s="1161"/>
      <c r="L1" s="1161"/>
      <c r="M1" s="1162"/>
      <c r="N1" s="1160" t="s">
        <v>168</v>
      </c>
      <c r="O1" s="1161"/>
      <c r="P1" s="1162"/>
    </row>
    <row r="2" spans="1:16" ht="15.75" customHeight="1" thickBot="1" x14ac:dyDescent="0.3">
      <c r="A2" s="1164" t="s">
        <v>13</v>
      </c>
      <c r="B2" s="1165"/>
      <c r="C2" s="1157" t="s">
        <v>38</v>
      </c>
      <c r="D2" s="1211" t="s">
        <v>12</v>
      </c>
      <c r="E2" s="1212"/>
      <c r="F2" s="1212"/>
      <c r="G2" s="1212"/>
      <c r="H2" s="1212"/>
      <c r="I2" s="1212"/>
      <c r="J2" s="1213"/>
      <c r="K2" s="1211" t="s">
        <v>75</v>
      </c>
      <c r="L2" s="1212"/>
      <c r="M2" s="1212"/>
      <c r="N2" s="1164" t="s">
        <v>26</v>
      </c>
      <c r="O2" s="1214"/>
      <c r="P2" s="1165"/>
    </row>
    <row r="3" spans="1:16" ht="15.75" customHeight="1" thickBot="1" x14ac:dyDescent="0.3">
      <c r="A3" s="1215"/>
      <c r="B3" s="1236"/>
      <c r="C3" s="1158"/>
      <c r="D3" s="1258" t="s">
        <v>73</v>
      </c>
      <c r="E3" s="1259"/>
      <c r="F3" s="1259"/>
      <c r="G3" s="1259"/>
      <c r="H3" s="1260" t="s">
        <v>74</v>
      </c>
      <c r="I3" s="1261"/>
      <c r="J3" s="1262"/>
      <c r="K3" s="1260" t="s">
        <v>208</v>
      </c>
      <c r="L3" s="1261"/>
      <c r="M3" s="1262"/>
      <c r="N3" s="1217"/>
      <c r="O3" s="1217"/>
      <c r="P3" s="1167"/>
    </row>
    <row r="4" spans="1:16" ht="15.75" customHeight="1" thickBot="1" x14ac:dyDescent="0.3">
      <c r="A4" s="1188" t="s">
        <v>16</v>
      </c>
      <c r="B4" s="1176" t="s">
        <v>17</v>
      </c>
      <c r="C4" s="1158"/>
      <c r="D4" s="1254" t="s">
        <v>206</v>
      </c>
      <c r="E4" s="1255"/>
      <c r="F4" s="1238" t="s">
        <v>207</v>
      </c>
      <c r="G4" s="1239"/>
      <c r="H4" s="1263"/>
      <c r="I4" s="1264"/>
      <c r="J4" s="1265"/>
      <c r="K4" s="1263"/>
      <c r="L4" s="1264"/>
      <c r="M4" s="1265"/>
      <c r="N4" s="1254" t="s">
        <v>27</v>
      </c>
      <c r="O4" s="1255"/>
      <c r="P4" s="1157" t="s">
        <v>35</v>
      </c>
    </row>
    <row r="5" spans="1:16" ht="20.25" customHeight="1" thickBot="1" x14ac:dyDescent="0.3">
      <c r="A5" s="1188"/>
      <c r="B5" s="1176"/>
      <c r="C5" s="1158"/>
      <c r="D5" s="1250" t="s">
        <v>605</v>
      </c>
      <c r="E5" s="1187" t="s">
        <v>209</v>
      </c>
      <c r="F5" s="1256" t="s">
        <v>605</v>
      </c>
      <c r="G5" s="1187" t="s">
        <v>209</v>
      </c>
      <c r="H5" s="1250" t="s">
        <v>605</v>
      </c>
      <c r="I5" s="1187" t="s">
        <v>562</v>
      </c>
      <c r="J5" s="1187" t="s">
        <v>209</v>
      </c>
      <c r="K5" s="1250" t="s">
        <v>605</v>
      </c>
      <c r="L5" s="1187" t="s">
        <v>562</v>
      </c>
      <c r="M5" s="1187" t="s">
        <v>209</v>
      </c>
      <c r="N5" s="1266"/>
      <c r="O5" s="1267"/>
      <c r="P5" s="1158"/>
    </row>
    <row r="6" spans="1:16" ht="42" customHeight="1" thickBot="1" x14ac:dyDescent="0.3">
      <c r="A6" s="1207"/>
      <c r="B6" s="1177"/>
      <c r="C6" s="1159"/>
      <c r="D6" s="1207"/>
      <c r="E6" s="1177"/>
      <c r="F6" s="1257"/>
      <c r="G6" s="1177"/>
      <c r="H6" s="1207"/>
      <c r="I6" s="1177"/>
      <c r="J6" s="1177"/>
      <c r="K6" s="1207"/>
      <c r="L6" s="1177"/>
      <c r="M6" s="1177"/>
      <c r="N6" s="88" t="s">
        <v>12</v>
      </c>
      <c r="O6" s="90" t="s">
        <v>180</v>
      </c>
      <c r="P6" s="1159"/>
    </row>
    <row r="7" spans="1:16" ht="15.75" thickBot="1" x14ac:dyDescent="0.3">
      <c r="A7" s="713" t="s">
        <v>550</v>
      </c>
      <c r="B7" s="714" t="s">
        <v>551</v>
      </c>
      <c r="C7" s="82" t="s">
        <v>771</v>
      </c>
      <c r="D7" s="83" t="s">
        <v>614</v>
      </c>
      <c r="E7" s="113" t="s">
        <v>394</v>
      </c>
      <c r="F7" s="113" t="s">
        <v>615</v>
      </c>
      <c r="G7" s="84" t="s">
        <v>395</v>
      </c>
      <c r="H7" s="83" t="s">
        <v>616</v>
      </c>
      <c r="I7" s="113" t="s">
        <v>396</v>
      </c>
      <c r="J7" s="84" t="s">
        <v>772</v>
      </c>
      <c r="K7" s="83" t="s">
        <v>617</v>
      </c>
      <c r="L7" s="113" t="s">
        <v>397</v>
      </c>
      <c r="M7" s="84" t="s">
        <v>773</v>
      </c>
      <c r="N7" s="83" t="s">
        <v>398</v>
      </c>
      <c r="O7" s="113" t="s">
        <v>399</v>
      </c>
      <c r="P7" s="84" t="s">
        <v>400</v>
      </c>
    </row>
    <row r="8" spans="1:16" x14ac:dyDescent="0.25">
      <c r="A8" s="161">
        <v>36708</v>
      </c>
      <c r="B8" s="162">
        <v>37072</v>
      </c>
      <c r="C8" s="92">
        <f t="shared" ref="C8:P23" si="0">AnnualAverage($A8,C$7,YouthDSPParms,YouthDSPDates,YouthDSPNames)</f>
        <v>80.75</v>
      </c>
      <c r="D8" s="18">
        <f t="shared" si="0"/>
        <v>0</v>
      </c>
      <c r="E8" s="60">
        <f t="shared" si="0"/>
        <v>237.10000000000002</v>
      </c>
      <c r="F8" s="18">
        <f t="shared" si="0"/>
        <v>0</v>
      </c>
      <c r="G8" s="60">
        <f t="shared" si="0"/>
        <v>268.7</v>
      </c>
      <c r="H8" s="18">
        <f t="shared" si="0"/>
        <v>0</v>
      </c>
      <c r="I8" s="20">
        <f t="shared" si="0"/>
        <v>366.35</v>
      </c>
      <c r="J8" s="60">
        <f t="shared" si="0"/>
        <v>366.35</v>
      </c>
      <c r="K8" s="18">
        <f t="shared" si="0"/>
        <v>0</v>
      </c>
      <c r="L8" s="20">
        <f t="shared" si="0"/>
        <v>329.2923076923077</v>
      </c>
      <c r="M8" s="20">
        <f t="shared" si="0"/>
        <v>329.2923076923077</v>
      </c>
      <c r="N8" s="18">
        <f t="shared" si="0"/>
        <v>106</v>
      </c>
      <c r="O8" s="20">
        <f t="shared" si="0"/>
        <v>94</v>
      </c>
      <c r="P8" s="4">
        <f t="shared" si="0"/>
        <v>0.5</v>
      </c>
    </row>
    <row r="9" spans="1:16" x14ac:dyDescent="0.25">
      <c r="A9" s="163">
        <v>37073</v>
      </c>
      <c r="B9" s="164">
        <v>37437</v>
      </c>
      <c r="C9" s="93">
        <f t="shared" si="0"/>
        <v>83.65</v>
      </c>
      <c r="D9" s="17">
        <f t="shared" si="0"/>
        <v>0</v>
      </c>
      <c r="E9" s="35">
        <f t="shared" si="0"/>
        <v>245.60000000000002</v>
      </c>
      <c r="F9" s="17">
        <f t="shared" si="0"/>
        <v>0</v>
      </c>
      <c r="G9" s="35">
        <f t="shared" si="0"/>
        <v>278.39999999999998</v>
      </c>
      <c r="H9" s="17">
        <f t="shared" si="0"/>
        <v>0</v>
      </c>
      <c r="I9" s="19">
        <f t="shared" si="0"/>
        <v>379.55</v>
      </c>
      <c r="J9" s="35">
        <f t="shared" si="0"/>
        <v>379.55</v>
      </c>
      <c r="K9" s="17">
        <f t="shared" si="0"/>
        <v>0</v>
      </c>
      <c r="L9" s="19">
        <f t="shared" si="0"/>
        <v>343.51923076923077</v>
      </c>
      <c r="M9" s="19">
        <f t="shared" si="0"/>
        <v>343.51923076923077</v>
      </c>
      <c r="N9" s="17">
        <f t="shared" si="0"/>
        <v>112</v>
      </c>
      <c r="O9" s="19">
        <f t="shared" si="0"/>
        <v>100</v>
      </c>
      <c r="P9" s="1">
        <f t="shared" si="0"/>
        <v>0.5</v>
      </c>
    </row>
    <row r="10" spans="1:16" x14ac:dyDescent="0.25">
      <c r="A10" s="163">
        <v>37438</v>
      </c>
      <c r="B10" s="164">
        <v>37802</v>
      </c>
      <c r="C10" s="93">
        <f t="shared" si="0"/>
        <v>86.5</v>
      </c>
      <c r="D10" s="17">
        <f t="shared" si="0"/>
        <v>0</v>
      </c>
      <c r="E10" s="35">
        <f t="shared" si="0"/>
        <v>253.89999999999998</v>
      </c>
      <c r="F10" s="17">
        <f t="shared" si="0"/>
        <v>0</v>
      </c>
      <c r="G10" s="35">
        <f t="shared" si="0"/>
        <v>287.89999999999998</v>
      </c>
      <c r="H10" s="17">
        <f t="shared" si="0"/>
        <v>0</v>
      </c>
      <c r="I10" s="19">
        <f t="shared" si="0"/>
        <v>392.4</v>
      </c>
      <c r="J10" s="35">
        <f t="shared" si="0"/>
        <v>392.4</v>
      </c>
      <c r="K10" s="17">
        <f t="shared" si="0"/>
        <v>0</v>
      </c>
      <c r="L10" s="19">
        <f t="shared" si="0"/>
        <v>359.39615384615382</v>
      </c>
      <c r="M10" s="19">
        <f t="shared" si="0"/>
        <v>359.39615384615382</v>
      </c>
      <c r="N10" s="17">
        <f t="shared" si="0"/>
        <v>116</v>
      </c>
      <c r="O10" s="19">
        <f t="shared" si="0"/>
        <v>102</v>
      </c>
      <c r="P10" s="1">
        <f t="shared" si="0"/>
        <v>0.5</v>
      </c>
    </row>
    <row r="11" spans="1:16" x14ac:dyDescent="0.25">
      <c r="A11" s="163">
        <v>37803</v>
      </c>
      <c r="B11" s="164">
        <v>38168</v>
      </c>
      <c r="C11" s="93">
        <f t="shared" si="0"/>
        <v>88.9</v>
      </c>
      <c r="D11" s="17">
        <f t="shared" si="0"/>
        <v>0</v>
      </c>
      <c r="E11" s="35">
        <f t="shared" si="0"/>
        <v>260.89999999999998</v>
      </c>
      <c r="F11" s="17">
        <f t="shared" si="0"/>
        <v>0</v>
      </c>
      <c r="G11" s="35">
        <f t="shared" si="0"/>
        <v>295.85000000000002</v>
      </c>
      <c r="H11" s="17">
        <f t="shared" si="0"/>
        <v>0</v>
      </c>
      <c r="I11" s="19">
        <f t="shared" si="0"/>
        <v>403.20000000000005</v>
      </c>
      <c r="J11" s="35">
        <f t="shared" si="0"/>
        <v>403.20000000000005</v>
      </c>
      <c r="K11" s="17">
        <f t="shared" si="0"/>
        <v>0</v>
      </c>
      <c r="L11" s="19">
        <f t="shared" si="0"/>
        <v>378.16153846153844</v>
      </c>
      <c r="M11" s="19">
        <f t="shared" si="0"/>
        <v>378.16153846153844</v>
      </c>
      <c r="N11" s="17">
        <f t="shared" si="0"/>
        <v>120</v>
      </c>
      <c r="O11" s="19">
        <f t="shared" si="0"/>
        <v>106</v>
      </c>
      <c r="P11" s="1">
        <f t="shared" si="0"/>
        <v>0.5</v>
      </c>
    </row>
    <row r="12" spans="1:16" x14ac:dyDescent="0.25">
      <c r="A12" s="163">
        <v>38169</v>
      </c>
      <c r="B12" s="164">
        <v>38533</v>
      </c>
      <c r="C12" s="93">
        <f t="shared" si="0"/>
        <v>91.207407407407402</v>
      </c>
      <c r="D12" s="17">
        <f t="shared" si="0"/>
        <v>0</v>
      </c>
      <c r="E12" s="35">
        <f t="shared" si="0"/>
        <v>267.62592592592591</v>
      </c>
      <c r="F12" s="17">
        <f t="shared" si="0"/>
        <v>0</v>
      </c>
      <c r="G12" s="35">
        <f t="shared" si="0"/>
        <v>303.4111111111111</v>
      </c>
      <c r="H12" s="17">
        <f t="shared" si="0"/>
        <v>0</v>
      </c>
      <c r="I12" s="19">
        <f t="shared" si="0"/>
        <v>413.55925925925925</v>
      </c>
      <c r="J12" s="35">
        <f t="shared" si="0"/>
        <v>413.55925925925925</v>
      </c>
      <c r="K12" s="17">
        <f t="shared" si="0"/>
        <v>0</v>
      </c>
      <c r="L12" s="19">
        <f t="shared" si="0"/>
        <v>393.19259259259258</v>
      </c>
      <c r="M12" s="19">
        <f t="shared" si="0"/>
        <v>393.19259259259258</v>
      </c>
      <c r="N12" s="17">
        <f t="shared" si="0"/>
        <v>122</v>
      </c>
      <c r="O12" s="19">
        <f t="shared" si="0"/>
        <v>108</v>
      </c>
      <c r="P12" s="1">
        <f t="shared" si="0"/>
        <v>0.5</v>
      </c>
    </row>
    <row r="13" spans="1:16" x14ac:dyDescent="0.25">
      <c r="A13" s="163">
        <v>38534</v>
      </c>
      <c r="B13" s="164">
        <v>38898</v>
      </c>
      <c r="C13" s="93">
        <f t="shared" si="0"/>
        <v>93.550000000000011</v>
      </c>
      <c r="D13" s="17">
        <f t="shared" si="0"/>
        <v>0</v>
      </c>
      <c r="E13" s="35">
        <f t="shared" si="0"/>
        <v>274.5</v>
      </c>
      <c r="F13" s="17">
        <f t="shared" si="0"/>
        <v>0</v>
      </c>
      <c r="G13" s="35">
        <f t="shared" si="0"/>
        <v>311.14999999999998</v>
      </c>
      <c r="H13" s="17">
        <f t="shared" si="0"/>
        <v>0</v>
      </c>
      <c r="I13" s="19">
        <f t="shared" si="0"/>
        <v>424.15</v>
      </c>
      <c r="J13" s="35">
        <f t="shared" si="0"/>
        <v>424.15</v>
      </c>
      <c r="K13" s="17">
        <f t="shared" si="0"/>
        <v>0</v>
      </c>
      <c r="L13" s="19">
        <f t="shared" si="0"/>
        <v>408.95</v>
      </c>
      <c r="M13" s="19">
        <f t="shared" si="0"/>
        <v>408.95</v>
      </c>
      <c r="N13" s="17">
        <f t="shared" si="0"/>
        <v>124</v>
      </c>
      <c r="O13" s="19">
        <f t="shared" si="0"/>
        <v>110</v>
      </c>
      <c r="P13" s="1">
        <f t="shared" si="0"/>
        <v>0.5</v>
      </c>
    </row>
    <row r="14" spans="1:16" x14ac:dyDescent="0.25">
      <c r="A14" s="163">
        <v>38899</v>
      </c>
      <c r="B14" s="164">
        <v>39263</v>
      </c>
      <c r="C14" s="93">
        <f t="shared" si="0"/>
        <v>96.6</v>
      </c>
      <c r="D14" s="17">
        <f t="shared" si="0"/>
        <v>0</v>
      </c>
      <c r="E14" s="35">
        <f t="shared" si="0"/>
        <v>283.45</v>
      </c>
      <c r="F14" s="17">
        <f t="shared" si="0"/>
        <v>0</v>
      </c>
      <c r="G14" s="35">
        <f t="shared" si="0"/>
        <v>321.3</v>
      </c>
      <c r="H14" s="17">
        <f t="shared" si="0"/>
        <v>0</v>
      </c>
      <c r="I14" s="19">
        <f t="shared" si="0"/>
        <v>438</v>
      </c>
      <c r="J14" s="35">
        <f t="shared" si="0"/>
        <v>438</v>
      </c>
      <c r="K14" s="17">
        <f t="shared" si="0"/>
        <v>0</v>
      </c>
      <c r="L14" s="19">
        <f t="shared" si="0"/>
        <v>429.00384615384615</v>
      </c>
      <c r="M14" s="19">
        <f t="shared" si="0"/>
        <v>429.00384615384615</v>
      </c>
      <c r="N14" s="17">
        <f t="shared" si="0"/>
        <v>128</v>
      </c>
      <c r="O14" s="19">
        <f t="shared" si="0"/>
        <v>114</v>
      </c>
      <c r="P14" s="1">
        <f t="shared" si="0"/>
        <v>0.5</v>
      </c>
    </row>
    <row r="15" spans="1:16" x14ac:dyDescent="0.25">
      <c r="A15" s="163">
        <v>39264</v>
      </c>
      <c r="B15" s="164">
        <v>39629</v>
      </c>
      <c r="C15" s="93">
        <f t="shared" si="0"/>
        <v>99.55</v>
      </c>
      <c r="D15" s="17">
        <f t="shared" si="0"/>
        <v>0</v>
      </c>
      <c r="E15" s="35">
        <f t="shared" si="0"/>
        <v>292.05</v>
      </c>
      <c r="F15" s="17">
        <f t="shared" si="0"/>
        <v>0</v>
      </c>
      <c r="G15" s="35">
        <f t="shared" si="0"/>
        <v>331.05</v>
      </c>
      <c r="H15" s="17">
        <f t="shared" si="0"/>
        <v>0</v>
      </c>
      <c r="I15" s="19">
        <f t="shared" si="0"/>
        <v>451.3</v>
      </c>
      <c r="J15" s="35">
        <f t="shared" si="0"/>
        <v>451.3</v>
      </c>
      <c r="K15" s="17">
        <f t="shared" si="0"/>
        <v>0</v>
      </c>
      <c r="L15" s="19">
        <f t="shared" si="0"/>
        <v>448.41538461538465</v>
      </c>
      <c r="M15" s="19">
        <f t="shared" si="0"/>
        <v>448.41538461538465</v>
      </c>
      <c r="N15" s="17">
        <f t="shared" si="0"/>
        <v>132</v>
      </c>
      <c r="O15" s="19">
        <f t="shared" si="0"/>
        <v>116</v>
      </c>
      <c r="P15" s="1">
        <f t="shared" si="0"/>
        <v>0.5</v>
      </c>
    </row>
    <row r="16" spans="1:16" x14ac:dyDescent="0.25">
      <c r="A16" s="163">
        <v>39630</v>
      </c>
      <c r="B16" s="164">
        <v>39994</v>
      </c>
      <c r="C16" s="93">
        <f t="shared" si="0"/>
        <v>102.85</v>
      </c>
      <c r="D16" s="17">
        <f t="shared" si="0"/>
        <v>0</v>
      </c>
      <c r="E16" s="35">
        <f t="shared" si="0"/>
        <v>301.75</v>
      </c>
      <c r="F16" s="17">
        <f t="shared" si="0"/>
        <v>0</v>
      </c>
      <c r="G16" s="35">
        <f t="shared" si="0"/>
        <v>342</v>
      </c>
      <c r="H16" s="17">
        <f t="shared" si="0"/>
        <v>0</v>
      </c>
      <c r="I16" s="19">
        <f t="shared" si="0"/>
        <v>466.25</v>
      </c>
      <c r="J16" s="35">
        <f t="shared" si="0"/>
        <v>466.25</v>
      </c>
      <c r="K16" s="17">
        <f t="shared" si="0"/>
        <v>0</v>
      </c>
      <c r="L16" s="19">
        <f t="shared" si="0"/>
        <v>464.47307692307692</v>
      </c>
      <c r="M16" s="19">
        <f t="shared" si="0"/>
        <v>464.47307692307692</v>
      </c>
      <c r="N16" s="17">
        <f t="shared" si="0"/>
        <v>138</v>
      </c>
      <c r="O16" s="19">
        <f t="shared" si="0"/>
        <v>120</v>
      </c>
      <c r="P16" s="1">
        <f t="shared" si="0"/>
        <v>0.5</v>
      </c>
    </row>
    <row r="17" spans="1:16" x14ac:dyDescent="0.25">
      <c r="A17" s="163">
        <v>39995</v>
      </c>
      <c r="B17" s="164">
        <v>40359</v>
      </c>
      <c r="C17" s="93">
        <f t="shared" si="0"/>
        <v>105.9</v>
      </c>
      <c r="D17" s="17">
        <f t="shared" si="0"/>
        <v>0</v>
      </c>
      <c r="E17" s="35">
        <f t="shared" si="0"/>
        <v>310.7</v>
      </c>
      <c r="F17" s="17">
        <f t="shared" si="0"/>
        <v>0</v>
      </c>
      <c r="G17" s="35">
        <f t="shared" si="0"/>
        <v>352.15</v>
      </c>
      <c r="H17" s="17">
        <f t="shared" si="0"/>
        <v>0</v>
      </c>
      <c r="I17" s="19">
        <f t="shared" si="0"/>
        <v>480.1</v>
      </c>
      <c r="J17" s="35">
        <f t="shared" si="0"/>
        <v>480.1</v>
      </c>
      <c r="K17" s="17">
        <f t="shared" si="0"/>
        <v>0</v>
      </c>
      <c r="L17" s="19">
        <f t="shared" si="0"/>
        <v>479.96153846153845</v>
      </c>
      <c r="M17" s="19">
        <f t="shared" si="0"/>
        <v>479.96153846153845</v>
      </c>
      <c r="N17" s="17">
        <f t="shared" si="0"/>
        <v>142</v>
      </c>
      <c r="O17" s="19">
        <f t="shared" si="0"/>
        <v>124</v>
      </c>
      <c r="P17" s="1">
        <f t="shared" si="0"/>
        <v>0.5</v>
      </c>
    </row>
    <row r="18" spans="1:16" x14ac:dyDescent="0.25">
      <c r="A18" s="163">
        <v>40360</v>
      </c>
      <c r="B18" s="164">
        <v>40724</v>
      </c>
      <c r="C18" s="93">
        <f t="shared" ref="C18:P28" si="1">AnnualAverage($A18,C$7,YouthDSPParms,YouthDSPDates,YouthDSPNames)</f>
        <v>108.35</v>
      </c>
      <c r="D18" s="17">
        <f t="shared" si="1"/>
        <v>0</v>
      </c>
      <c r="E18" s="35">
        <f t="shared" si="1"/>
        <v>317.85000000000002</v>
      </c>
      <c r="F18" s="17">
        <f t="shared" si="1"/>
        <v>0</v>
      </c>
      <c r="G18" s="35">
        <f t="shared" si="1"/>
        <v>360.3</v>
      </c>
      <c r="H18" s="17">
        <f t="shared" si="1"/>
        <v>0</v>
      </c>
      <c r="I18" s="19">
        <f t="shared" si="0"/>
        <v>491.2</v>
      </c>
      <c r="J18" s="35">
        <f t="shared" si="1"/>
        <v>491.2</v>
      </c>
      <c r="K18" s="17">
        <f t="shared" si="1"/>
        <v>0</v>
      </c>
      <c r="L18" s="19">
        <f t="shared" si="0"/>
        <v>491.2</v>
      </c>
      <c r="M18" s="19">
        <f t="shared" si="1"/>
        <v>491.2</v>
      </c>
      <c r="N18" s="17">
        <f t="shared" si="1"/>
        <v>146</v>
      </c>
      <c r="O18" s="19">
        <f t="shared" si="1"/>
        <v>128</v>
      </c>
      <c r="P18" s="1">
        <f t="shared" si="1"/>
        <v>0.5</v>
      </c>
    </row>
    <row r="19" spans="1:16" x14ac:dyDescent="0.25">
      <c r="A19" s="163">
        <v>40725</v>
      </c>
      <c r="B19" s="164">
        <v>41090</v>
      </c>
      <c r="C19" s="93">
        <f t="shared" si="1"/>
        <v>112</v>
      </c>
      <c r="D19" s="17">
        <f t="shared" si="1"/>
        <v>0</v>
      </c>
      <c r="E19" s="35">
        <f t="shared" si="1"/>
        <v>328.54999999999995</v>
      </c>
      <c r="F19" s="17">
        <f t="shared" si="1"/>
        <v>0</v>
      </c>
      <c r="G19" s="35">
        <f t="shared" si="1"/>
        <v>372.4</v>
      </c>
      <c r="H19" s="17">
        <f t="shared" si="1"/>
        <v>0</v>
      </c>
      <c r="I19" s="19">
        <f t="shared" si="0"/>
        <v>507.70000000000005</v>
      </c>
      <c r="J19" s="35">
        <f t="shared" si="1"/>
        <v>507.70000000000005</v>
      </c>
      <c r="K19" s="17">
        <f t="shared" si="1"/>
        <v>0</v>
      </c>
      <c r="L19" s="19">
        <f t="shared" si="0"/>
        <v>507.70000000000005</v>
      </c>
      <c r="M19" s="19">
        <f t="shared" si="1"/>
        <v>507.70000000000005</v>
      </c>
      <c r="N19" s="17">
        <f t="shared" si="1"/>
        <v>150</v>
      </c>
      <c r="O19" s="19">
        <f t="shared" si="1"/>
        <v>132</v>
      </c>
      <c r="P19" s="1">
        <f t="shared" si="1"/>
        <v>0.5</v>
      </c>
    </row>
    <row r="20" spans="1:16" s="5" customFormat="1" x14ac:dyDescent="0.25">
      <c r="A20" s="496">
        <v>41091</v>
      </c>
      <c r="B20" s="497">
        <v>41455</v>
      </c>
      <c r="C20" s="373">
        <f t="shared" si="1"/>
        <v>114.7</v>
      </c>
      <c r="D20" s="375">
        <f t="shared" si="1"/>
        <v>0</v>
      </c>
      <c r="E20" s="374">
        <f t="shared" si="1"/>
        <v>336.4</v>
      </c>
      <c r="F20" s="375">
        <f t="shared" si="1"/>
        <v>0</v>
      </c>
      <c r="G20" s="374">
        <f t="shared" si="1"/>
        <v>381.3</v>
      </c>
      <c r="H20" s="375">
        <f t="shared" si="1"/>
        <v>0</v>
      </c>
      <c r="I20" s="242">
        <f t="shared" si="0"/>
        <v>519.79999999999995</v>
      </c>
      <c r="J20" s="374">
        <f t="shared" si="1"/>
        <v>519.79999999999995</v>
      </c>
      <c r="K20" s="375">
        <f t="shared" si="1"/>
        <v>0</v>
      </c>
      <c r="L20" s="242">
        <f t="shared" si="0"/>
        <v>519.79999999999995</v>
      </c>
      <c r="M20" s="242">
        <f t="shared" si="1"/>
        <v>519.79999999999995</v>
      </c>
      <c r="N20" s="375">
        <f t="shared" si="1"/>
        <v>152</v>
      </c>
      <c r="O20" s="242">
        <f t="shared" si="1"/>
        <v>134</v>
      </c>
      <c r="P20" s="397">
        <f t="shared" si="1"/>
        <v>0.5</v>
      </c>
    </row>
    <row r="21" spans="1:16" x14ac:dyDescent="0.25">
      <c r="A21" s="496">
        <v>41456</v>
      </c>
      <c r="B21" s="497">
        <v>41820</v>
      </c>
      <c r="C21" s="373">
        <f t="shared" si="1"/>
        <v>116.80000000000001</v>
      </c>
      <c r="D21" s="375">
        <f t="shared" si="1"/>
        <v>2.95</v>
      </c>
      <c r="E21" s="374">
        <f t="shared" si="1"/>
        <v>344.65</v>
      </c>
      <c r="F21" s="375">
        <f t="shared" si="1"/>
        <v>3.3</v>
      </c>
      <c r="G21" s="374">
        <f t="shared" si="1"/>
        <v>390.6</v>
      </c>
      <c r="H21" s="375">
        <f t="shared" si="1"/>
        <v>4.55</v>
      </c>
      <c r="I21" s="242">
        <f t="shared" si="0"/>
        <v>527.75</v>
      </c>
      <c r="J21" s="374">
        <f t="shared" si="1"/>
        <v>532.29999999999995</v>
      </c>
      <c r="K21" s="375">
        <f t="shared" si="1"/>
        <v>4.55</v>
      </c>
      <c r="L21" s="242">
        <f t="shared" si="0"/>
        <v>527.75</v>
      </c>
      <c r="M21" s="242">
        <f t="shared" si="1"/>
        <v>532.29999999999995</v>
      </c>
      <c r="N21" s="375">
        <f t="shared" si="1"/>
        <v>156</v>
      </c>
      <c r="O21" s="242">
        <f t="shared" si="1"/>
        <v>138</v>
      </c>
      <c r="P21" s="397">
        <f t="shared" si="1"/>
        <v>0.5</v>
      </c>
    </row>
    <row r="22" spans="1:16" x14ac:dyDescent="0.25">
      <c r="A22" s="496">
        <v>41821</v>
      </c>
      <c r="B22" s="497">
        <v>42185</v>
      </c>
      <c r="C22" s="373">
        <f t="shared" si="1"/>
        <v>119.95</v>
      </c>
      <c r="D22" s="375">
        <f t="shared" si="1"/>
        <v>5.9</v>
      </c>
      <c r="E22" s="374">
        <f t="shared" si="1"/>
        <v>356.04999999999995</v>
      </c>
      <c r="F22" s="375">
        <f t="shared" si="1"/>
        <v>6.6</v>
      </c>
      <c r="G22" s="374">
        <f t="shared" si="1"/>
        <v>403.45000000000005</v>
      </c>
      <c r="H22" s="375">
        <f t="shared" si="1"/>
        <v>9.1</v>
      </c>
      <c r="I22" s="242">
        <f t="shared" si="0"/>
        <v>540.54999999999995</v>
      </c>
      <c r="J22" s="374">
        <f t="shared" si="1"/>
        <v>549.65000000000009</v>
      </c>
      <c r="K22" s="375">
        <f t="shared" si="1"/>
        <v>9.1</v>
      </c>
      <c r="L22" s="242">
        <f t="shared" si="0"/>
        <v>540.54999999999995</v>
      </c>
      <c r="M22" s="242">
        <f t="shared" si="1"/>
        <v>549.65000000000009</v>
      </c>
      <c r="N22" s="375">
        <f t="shared" si="1"/>
        <v>160</v>
      </c>
      <c r="O22" s="242">
        <f t="shared" si="1"/>
        <v>142</v>
      </c>
      <c r="P22" s="397">
        <f t="shared" si="1"/>
        <v>0.5</v>
      </c>
    </row>
    <row r="23" spans="1:16" x14ac:dyDescent="0.25">
      <c r="A23" s="496">
        <v>42186</v>
      </c>
      <c r="B23" s="497">
        <v>42551</v>
      </c>
      <c r="C23" s="373">
        <f t="shared" si="1"/>
        <v>122.56666666666666</v>
      </c>
      <c r="D23" s="375">
        <f t="shared" si="1"/>
        <v>5.9</v>
      </c>
      <c r="E23" s="374">
        <f t="shared" si="1"/>
        <v>363.75185185185182</v>
      </c>
      <c r="F23" s="375">
        <f t="shared" si="1"/>
        <v>6.6</v>
      </c>
      <c r="G23" s="374">
        <f t="shared" si="1"/>
        <v>412.18888888888893</v>
      </c>
      <c r="H23" s="375">
        <f t="shared" si="1"/>
        <v>9.1</v>
      </c>
      <c r="I23" s="242">
        <f t="shared" si="0"/>
        <v>552.44814814814822</v>
      </c>
      <c r="J23" s="374">
        <f t="shared" si="1"/>
        <v>561.54814814814813</v>
      </c>
      <c r="K23" s="375">
        <f t="shared" si="1"/>
        <v>9.1</v>
      </c>
      <c r="L23" s="242">
        <f t="shared" si="0"/>
        <v>552.44814814814822</v>
      </c>
      <c r="M23" s="242">
        <f t="shared" si="1"/>
        <v>561.54814814814813</v>
      </c>
      <c r="N23" s="375">
        <f t="shared" si="1"/>
        <v>162</v>
      </c>
      <c r="O23" s="242">
        <f t="shared" si="1"/>
        <v>144</v>
      </c>
      <c r="P23" s="397">
        <f t="shared" si="1"/>
        <v>0.5</v>
      </c>
    </row>
    <row r="24" spans="1:16" x14ac:dyDescent="0.25">
      <c r="A24" s="496">
        <v>42552</v>
      </c>
      <c r="B24" s="497">
        <v>42916</v>
      </c>
      <c r="C24" s="373">
        <f t="shared" si="1"/>
        <v>124.1</v>
      </c>
      <c r="D24" s="375">
        <f t="shared" si="1"/>
        <v>5.9</v>
      </c>
      <c r="E24" s="374">
        <f t="shared" si="1"/>
        <v>368.3</v>
      </c>
      <c r="F24" s="375">
        <f t="shared" si="1"/>
        <v>6.6</v>
      </c>
      <c r="G24" s="374">
        <f t="shared" si="1"/>
        <v>417.35</v>
      </c>
      <c r="H24" s="375">
        <f t="shared" si="1"/>
        <v>9.1</v>
      </c>
      <c r="I24" s="242">
        <f t="shared" si="1"/>
        <v>559.45000000000005</v>
      </c>
      <c r="J24" s="374">
        <f t="shared" si="1"/>
        <v>568.54999999999995</v>
      </c>
      <c r="K24" s="375">
        <f t="shared" si="1"/>
        <v>9.1</v>
      </c>
      <c r="L24" s="242">
        <f t="shared" si="1"/>
        <v>559.45000000000005</v>
      </c>
      <c r="M24" s="242">
        <f t="shared" si="1"/>
        <v>568.54999999999995</v>
      </c>
      <c r="N24" s="375">
        <f t="shared" si="1"/>
        <v>164</v>
      </c>
      <c r="O24" s="242">
        <f t="shared" si="1"/>
        <v>146</v>
      </c>
      <c r="P24" s="397">
        <f t="shared" si="1"/>
        <v>0.5</v>
      </c>
    </row>
    <row r="25" spans="1:16" x14ac:dyDescent="0.25">
      <c r="A25" s="165">
        <v>42917</v>
      </c>
      <c r="B25" s="166">
        <v>43281</v>
      </c>
      <c r="C25" s="107">
        <f t="shared" si="1"/>
        <v>125.9</v>
      </c>
      <c r="D25" s="33">
        <f t="shared" si="1"/>
        <v>5.9</v>
      </c>
      <c r="E25" s="75">
        <f t="shared" si="1"/>
        <v>373.6</v>
      </c>
      <c r="F25" s="33">
        <f t="shared" si="1"/>
        <v>6.6</v>
      </c>
      <c r="G25" s="75">
        <f t="shared" si="1"/>
        <v>423.35</v>
      </c>
      <c r="H25" s="33">
        <f t="shared" si="1"/>
        <v>9.1</v>
      </c>
      <c r="I25" s="34">
        <f t="shared" si="1"/>
        <v>567.54999999999995</v>
      </c>
      <c r="J25" s="75">
        <f t="shared" si="1"/>
        <v>576.65</v>
      </c>
      <c r="K25" s="33">
        <f t="shared" si="1"/>
        <v>9.1</v>
      </c>
      <c r="L25" s="34">
        <f t="shared" si="1"/>
        <v>567.54999999999995</v>
      </c>
      <c r="M25" s="34">
        <f t="shared" si="1"/>
        <v>576.65</v>
      </c>
      <c r="N25" s="33">
        <f t="shared" si="1"/>
        <v>168</v>
      </c>
      <c r="O25" s="34">
        <f t="shared" si="1"/>
        <v>150</v>
      </c>
      <c r="P25" s="15">
        <f t="shared" si="1"/>
        <v>0.5</v>
      </c>
    </row>
    <row r="26" spans="1:16" x14ac:dyDescent="0.25">
      <c r="A26" s="165">
        <v>43282</v>
      </c>
      <c r="B26" s="166">
        <v>43646</v>
      </c>
      <c r="C26" s="107">
        <f t="shared" si="1"/>
        <v>128.35</v>
      </c>
      <c r="D26" s="33">
        <f t="shared" si="1"/>
        <v>5.9</v>
      </c>
      <c r="E26" s="75">
        <f t="shared" si="1"/>
        <v>380.8</v>
      </c>
      <c r="F26" s="33">
        <f t="shared" si="1"/>
        <v>6.6</v>
      </c>
      <c r="G26" s="75">
        <f t="shared" si="1"/>
        <v>431.5</v>
      </c>
      <c r="H26" s="33">
        <f t="shared" si="1"/>
        <v>9.1</v>
      </c>
      <c r="I26" s="34">
        <f t="shared" si="1"/>
        <v>578.59999999999991</v>
      </c>
      <c r="J26" s="75">
        <f t="shared" si="1"/>
        <v>587.70000000000005</v>
      </c>
      <c r="K26" s="33">
        <f t="shared" si="1"/>
        <v>9.1</v>
      </c>
      <c r="L26" s="34">
        <f t="shared" si="1"/>
        <v>578.59999999999991</v>
      </c>
      <c r="M26" s="34">
        <f t="shared" si="1"/>
        <v>587.70000000000005</v>
      </c>
      <c r="N26" s="33">
        <f t="shared" si="1"/>
        <v>170</v>
      </c>
      <c r="O26" s="34">
        <f t="shared" si="1"/>
        <v>152</v>
      </c>
      <c r="P26" s="15">
        <f t="shared" si="1"/>
        <v>0.5</v>
      </c>
    </row>
    <row r="27" spans="1:16" x14ac:dyDescent="0.25">
      <c r="A27" s="165">
        <v>43647</v>
      </c>
      <c r="B27" s="166">
        <v>44012</v>
      </c>
      <c r="C27" s="107">
        <f t="shared" si="1"/>
        <v>131.05000000000001</v>
      </c>
      <c r="D27" s="33">
        <f t="shared" si="1"/>
        <v>5.9</v>
      </c>
      <c r="E27" s="75">
        <f t="shared" si="1"/>
        <v>388.7</v>
      </c>
      <c r="F27" s="33">
        <f t="shared" si="1"/>
        <v>6.6</v>
      </c>
      <c r="G27" s="75">
        <f t="shared" si="1"/>
        <v>440.45</v>
      </c>
      <c r="H27" s="33">
        <f t="shared" si="1"/>
        <v>9.1</v>
      </c>
      <c r="I27" s="34">
        <f t="shared" si="1"/>
        <v>590.75</v>
      </c>
      <c r="J27" s="75">
        <f t="shared" si="1"/>
        <v>599.84999999999991</v>
      </c>
      <c r="K27" s="33">
        <f t="shared" si="1"/>
        <v>9.1</v>
      </c>
      <c r="L27" s="34">
        <f t="shared" si="1"/>
        <v>590.75</v>
      </c>
      <c r="M27" s="34">
        <f t="shared" si="1"/>
        <v>599.84999999999991</v>
      </c>
      <c r="N27" s="33">
        <f t="shared" si="1"/>
        <v>172</v>
      </c>
      <c r="O27" s="34">
        <f t="shared" si="1"/>
        <v>156</v>
      </c>
      <c r="P27" s="15">
        <f t="shared" si="1"/>
        <v>0.5</v>
      </c>
    </row>
    <row r="28" spans="1:16" x14ac:dyDescent="0.25">
      <c r="A28" s="165">
        <v>44013</v>
      </c>
      <c r="B28" s="166">
        <v>44377</v>
      </c>
      <c r="C28" s="107">
        <f t="shared" ref="C28:P28" si="2">AnnualAverage($A28,C$7,YouthDSPParms,YouthDSPDates,YouthDSPNames)</f>
        <v>134.15</v>
      </c>
      <c r="D28" s="33">
        <f t="shared" si="2"/>
        <v>5.9</v>
      </c>
      <c r="E28" s="75">
        <f t="shared" si="2"/>
        <v>397.75</v>
      </c>
      <c r="F28" s="33">
        <f t="shared" si="2"/>
        <v>6.6</v>
      </c>
      <c r="G28" s="75">
        <f t="shared" si="2"/>
        <v>450.7</v>
      </c>
      <c r="H28" s="33">
        <f t="shared" si="2"/>
        <v>9.1</v>
      </c>
      <c r="I28" s="34">
        <f t="shared" si="1"/>
        <v>604.65000000000009</v>
      </c>
      <c r="J28" s="75">
        <f t="shared" si="2"/>
        <v>613.75</v>
      </c>
      <c r="K28" s="33">
        <f t="shared" si="2"/>
        <v>9.1</v>
      </c>
      <c r="L28" s="34">
        <f t="shared" si="1"/>
        <v>604.65000000000009</v>
      </c>
      <c r="M28" s="34">
        <f t="shared" si="2"/>
        <v>613.75</v>
      </c>
      <c r="N28" s="33">
        <f t="shared" si="2"/>
        <v>176</v>
      </c>
      <c r="O28" s="34">
        <f t="shared" si="2"/>
        <v>160</v>
      </c>
      <c r="P28" s="15">
        <f t="shared" si="2"/>
        <v>0.5</v>
      </c>
    </row>
  </sheetData>
  <customSheetViews>
    <customSheetView guid="{E49C2F27-B0B9-497E-BEC0-5B59561292FE}">
      <selection activeCell="A22" sqref="A22"/>
      <pageMargins left="0.7" right="0.7" top="0.75" bottom="0.75" header="0.3" footer="0.3"/>
    </customSheetView>
    <customSheetView guid="{A5953138-1481-4137-BEAD-32FA4FDF03E6}">
      <selection activeCell="A22" sqref="A22"/>
      <pageMargins left="0.7" right="0.7" top="0.75" bottom="0.75" header="0.3" footer="0.3"/>
    </customSheetView>
    <customSheetView guid="{2A1F94CA-1A34-4418-88FD-EABF7586C2B2}">
      <selection activeCell="A22" sqref="A22"/>
      <pageMargins left="0.7" right="0.7" top="0.75" bottom="0.75" header="0.3" footer="0.3"/>
    </customSheetView>
  </customSheetViews>
  <mergeCells count="26">
    <mergeCell ref="G5:G6"/>
    <mergeCell ref="H5:H6"/>
    <mergeCell ref="J5:J6"/>
    <mergeCell ref="K5:K6"/>
    <mergeCell ref="A2:B3"/>
    <mergeCell ref="A4:A6"/>
    <mergeCell ref="B4:B6"/>
    <mergeCell ref="D5:D6"/>
    <mergeCell ref="F5:F6"/>
    <mergeCell ref="I5:I6"/>
    <mergeCell ref="L5:L6"/>
    <mergeCell ref="M5:M6"/>
    <mergeCell ref="N1:P1"/>
    <mergeCell ref="C1:M1"/>
    <mergeCell ref="C2:C6"/>
    <mergeCell ref="D2:J2"/>
    <mergeCell ref="K2:M2"/>
    <mergeCell ref="N2:P3"/>
    <mergeCell ref="D3:G3"/>
    <mergeCell ref="H3:J4"/>
    <mergeCell ref="K3:M4"/>
    <mergeCell ref="D4:E4"/>
    <mergeCell ref="F4:G4"/>
    <mergeCell ref="N4:O5"/>
    <mergeCell ref="P4:P6"/>
    <mergeCell ref="E5:E6"/>
  </mergeCells>
  <pageMargins left="0.7" right="0.7" top="0.75" bottom="0.75" header="0.3" footer="0.3"/>
  <legacyDrawing r:id="rId1"/>
</worksheet>
</file>

<file path=xl/worksheets/sheet1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sheetPr codeName="Sheet7">
    <tabColor rgb="FF00B0F0"/>
  </sheetPr>
  <dimension ref="A1:AF93"/>
  <sheetViews>
    <sheetView workbookViewId="0">
      <pane xSplit="2" ySplit="7" topLeftCell="C74" activePane="bottomRight" state="frozen"/>
      <selection pane="topRight" activeCell="C1" sqref="C1"/>
      <selection pane="bottomLeft" activeCell="A8" sqref="A8"/>
      <selection pane="bottomRight" activeCell="W97" sqref="W97"/>
    </sheetView>
  </sheetViews>
  <sheetFormatPr defaultRowHeight="15" x14ac:dyDescent="0.25"/>
  <cols>
    <col min="1" max="2" width="13" style="28" customWidth="1"/>
    <col min="3" max="3" width="12.85546875" style="28" bestFit="1" customWidth="1"/>
    <col min="4" max="5" width="15.7109375" style="28" customWidth="1"/>
    <col min="6" max="7" width="16.85546875" style="28" bestFit="1" customWidth="1"/>
    <col min="8" max="8" width="17.85546875" style="28" customWidth="1"/>
    <col min="9" max="11" width="15.7109375" style="28" customWidth="1"/>
    <col min="12" max="12" width="15.7109375" style="86" customWidth="1"/>
    <col min="13" max="14" width="15.7109375" style="28" customWidth="1"/>
    <col min="15" max="15" width="20" style="28" customWidth="1"/>
    <col min="16" max="16" width="20.7109375" style="28" customWidth="1"/>
    <col min="17" max="17" width="19.140625" style="28" customWidth="1"/>
    <col min="18" max="18" width="21.5703125" style="28" customWidth="1"/>
    <col min="19" max="19" width="19.28515625" style="28" customWidth="1"/>
    <col min="20" max="20" width="19.7109375" style="28" customWidth="1"/>
    <col min="21" max="21" width="19" style="28" customWidth="1"/>
    <col min="22" max="22" width="18.5703125" style="28" customWidth="1"/>
    <col min="23" max="23" width="25" style="28" customWidth="1"/>
    <col min="24" max="24" width="24.28515625" style="28" customWidth="1"/>
    <col min="25" max="25" width="16.7109375" style="28" customWidth="1"/>
    <col min="26" max="26" width="14.42578125" style="502" customWidth="1"/>
    <col min="27" max="27" width="16.7109375" style="502" customWidth="1"/>
    <col min="28" max="28" width="16.85546875" style="502" customWidth="1"/>
    <col min="29" max="30" width="9.140625" style="28"/>
    <col min="31" max="31" width="9.7109375" style="28" bestFit="1" customWidth="1"/>
    <col min="32" max="16384" width="9.140625" style="28"/>
  </cols>
  <sheetData>
    <row r="1" spans="1:28" ht="15.75" thickBot="1" x14ac:dyDescent="0.3">
      <c r="A1" s="87"/>
      <c r="B1" s="87"/>
      <c r="C1" s="1268" t="s">
        <v>214</v>
      </c>
      <c r="D1" s="1269"/>
      <c r="E1" s="1269"/>
      <c r="F1" s="1269"/>
      <c r="G1" s="1269"/>
      <c r="H1" s="1269"/>
      <c r="I1" s="1269"/>
      <c r="J1" s="1269"/>
      <c r="K1" s="1269"/>
      <c r="L1" s="1269"/>
      <c r="M1" s="1269"/>
      <c r="N1" s="1270"/>
      <c r="O1" s="1160" t="s">
        <v>168</v>
      </c>
      <c r="P1" s="1161"/>
      <c r="Q1" s="1161"/>
      <c r="R1" s="1161"/>
      <c r="S1" s="1161"/>
      <c r="T1" s="1161"/>
      <c r="U1" s="1161"/>
      <c r="V1" s="1161"/>
      <c r="W1" s="1161"/>
      <c r="X1" s="1162"/>
      <c r="Y1" s="1251" t="s">
        <v>553</v>
      </c>
      <c r="Z1" s="1251" t="s">
        <v>554</v>
      </c>
      <c r="AA1" s="1251" t="s">
        <v>555</v>
      </c>
      <c r="AB1" s="1251" t="s">
        <v>556</v>
      </c>
    </row>
    <row r="2" spans="1:28" ht="15.75" customHeight="1" thickBot="1" x14ac:dyDescent="0.3">
      <c r="A2" s="1164" t="s">
        <v>13</v>
      </c>
      <c r="B2" s="1214"/>
      <c r="C2" s="1271"/>
      <c r="D2" s="1272"/>
      <c r="E2" s="1272"/>
      <c r="F2" s="1272"/>
      <c r="G2" s="1272"/>
      <c r="H2" s="1272"/>
      <c r="I2" s="1272"/>
      <c r="J2" s="1272"/>
      <c r="K2" s="1272"/>
      <c r="L2" s="1272"/>
      <c r="M2" s="1272"/>
      <c r="N2" s="1273"/>
      <c r="O2" s="1211" t="s">
        <v>217</v>
      </c>
      <c r="P2" s="1212"/>
      <c r="Q2" s="1212"/>
      <c r="R2" s="1213"/>
      <c r="S2" s="1211" t="s">
        <v>118</v>
      </c>
      <c r="T2" s="1212"/>
      <c r="U2" s="1212"/>
      <c r="V2" s="1212"/>
      <c r="W2" s="1212"/>
      <c r="X2" s="1213"/>
      <c r="Y2" s="1252"/>
      <c r="Z2" s="1252"/>
      <c r="AA2" s="1252"/>
      <c r="AB2" s="1252"/>
    </row>
    <row r="3" spans="1:28" ht="15.75" thickBot="1" x14ac:dyDescent="0.3">
      <c r="A3" s="1215"/>
      <c r="B3" s="1236"/>
      <c r="C3" s="1211" t="s">
        <v>12</v>
      </c>
      <c r="D3" s="1212"/>
      <c r="E3" s="1212"/>
      <c r="F3" s="1212"/>
      <c r="G3" s="1212"/>
      <c r="H3" s="1212"/>
      <c r="I3" s="1212"/>
      <c r="J3" s="1212"/>
      <c r="K3" s="1213"/>
      <c r="L3" s="1164" t="s">
        <v>21</v>
      </c>
      <c r="M3" s="1214"/>
      <c r="N3" s="1165"/>
      <c r="O3" s="1235" t="s">
        <v>12</v>
      </c>
      <c r="P3" s="1235"/>
      <c r="Q3" s="1235" t="s">
        <v>21</v>
      </c>
      <c r="R3" s="1235"/>
      <c r="S3" s="1260" t="s">
        <v>155</v>
      </c>
      <c r="T3" s="1262"/>
      <c r="U3" s="1260" t="s">
        <v>158</v>
      </c>
      <c r="V3" s="1261"/>
      <c r="W3" s="1261"/>
      <c r="X3" s="1262"/>
      <c r="Y3" s="1252"/>
      <c r="Z3" s="1252"/>
      <c r="AA3" s="1252"/>
      <c r="AB3" s="1252"/>
    </row>
    <row r="4" spans="1:28" ht="15.75" customHeight="1" thickBot="1" x14ac:dyDescent="0.3">
      <c r="A4" s="1188" t="s">
        <v>16</v>
      </c>
      <c r="B4" s="1176" t="s">
        <v>17</v>
      </c>
      <c r="C4" s="1258" t="s">
        <v>211</v>
      </c>
      <c r="D4" s="1259"/>
      <c r="E4" s="1274"/>
      <c r="F4" s="1258" t="s">
        <v>210</v>
      </c>
      <c r="G4" s="1259"/>
      <c r="H4" s="1274"/>
      <c r="I4" s="1258" t="s">
        <v>213</v>
      </c>
      <c r="J4" s="1259"/>
      <c r="K4" s="1274"/>
      <c r="L4" s="1166"/>
      <c r="M4" s="1217"/>
      <c r="N4" s="1167"/>
      <c r="O4" s="1157" t="s">
        <v>29</v>
      </c>
      <c r="P4" s="1157" t="s">
        <v>41</v>
      </c>
      <c r="Q4" s="1157" t="s">
        <v>29</v>
      </c>
      <c r="R4" s="1250" t="s">
        <v>41</v>
      </c>
      <c r="S4" s="1263"/>
      <c r="T4" s="1265"/>
      <c r="U4" s="1263"/>
      <c r="V4" s="1264"/>
      <c r="W4" s="1264"/>
      <c r="X4" s="1265"/>
      <c r="Y4" s="1252"/>
      <c r="Z4" s="1252"/>
      <c r="AA4" s="1252"/>
      <c r="AB4" s="1252"/>
    </row>
    <row r="5" spans="1:28" ht="15" customHeight="1" thickBot="1" x14ac:dyDescent="0.3">
      <c r="A5" s="1188"/>
      <c r="B5" s="1176"/>
      <c r="C5" s="1248" t="s">
        <v>188</v>
      </c>
      <c r="D5" s="1239"/>
      <c r="E5" s="1157" t="s">
        <v>220</v>
      </c>
      <c r="F5" s="1248" t="s">
        <v>188</v>
      </c>
      <c r="G5" s="1238"/>
      <c r="H5" s="1157" t="s">
        <v>216</v>
      </c>
      <c r="I5" s="1248" t="s">
        <v>188</v>
      </c>
      <c r="J5" s="1238"/>
      <c r="K5" s="1157" t="s">
        <v>216</v>
      </c>
      <c r="L5" s="1248" t="s">
        <v>188</v>
      </c>
      <c r="M5" s="1238"/>
      <c r="N5" s="1157" t="s">
        <v>220</v>
      </c>
      <c r="O5" s="1158"/>
      <c r="P5" s="1158"/>
      <c r="Q5" s="1158"/>
      <c r="R5" s="1158"/>
      <c r="S5" s="1157" t="s">
        <v>156</v>
      </c>
      <c r="T5" s="1157" t="s">
        <v>157</v>
      </c>
      <c r="U5" s="1248" t="s">
        <v>218</v>
      </c>
      <c r="V5" s="1239"/>
      <c r="W5" s="1238" t="s">
        <v>219</v>
      </c>
      <c r="X5" s="1239"/>
      <c r="Y5" s="1252"/>
      <c r="Z5" s="1252"/>
      <c r="AA5" s="1252"/>
      <c r="AB5" s="1252"/>
    </row>
    <row r="6" spans="1:28" ht="27" customHeight="1" thickBot="1" x14ac:dyDescent="0.3">
      <c r="A6" s="1207"/>
      <c r="B6" s="1177"/>
      <c r="C6" s="88" t="s">
        <v>212</v>
      </c>
      <c r="D6" s="90" t="s">
        <v>606</v>
      </c>
      <c r="E6" s="1159"/>
      <c r="F6" s="88" t="s">
        <v>212</v>
      </c>
      <c r="G6" s="90" t="s">
        <v>606</v>
      </c>
      <c r="H6" s="1159"/>
      <c r="I6" s="88" t="s">
        <v>212</v>
      </c>
      <c r="J6" s="90" t="s">
        <v>606</v>
      </c>
      <c r="K6" s="1159"/>
      <c r="L6" s="210" t="s">
        <v>212</v>
      </c>
      <c r="M6" s="210" t="s">
        <v>606</v>
      </c>
      <c r="N6" s="1159"/>
      <c r="O6" s="1159"/>
      <c r="P6" s="1159"/>
      <c r="Q6" s="1159"/>
      <c r="R6" s="1159"/>
      <c r="S6" s="1159"/>
      <c r="T6" s="1159"/>
      <c r="U6" s="88" t="s">
        <v>156</v>
      </c>
      <c r="V6" s="90" t="s">
        <v>157</v>
      </c>
      <c r="W6" s="89" t="s">
        <v>156</v>
      </c>
      <c r="X6" s="90" t="s">
        <v>157</v>
      </c>
      <c r="Y6" s="1253"/>
      <c r="Z6" s="1253"/>
      <c r="AA6" s="1253"/>
      <c r="AB6" s="1253"/>
    </row>
    <row r="7" spans="1:28" ht="15.75" thickBot="1" x14ac:dyDescent="0.3">
      <c r="A7" s="713" t="s">
        <v>550</v>
      </c>
      <c r="B7" s="714" t="s">
        <v>551</v>
      </c>
      <c r="C7" s="298" t="s">
        <v>401</v>
      </c>
      <c r="D7" s="299" t="s">
        <v>618</v>
      </c>
      <c r="E7" s="300" t="s">
        <v>774</v>
      </c>
      <c r="F7" s="298" t="s">
        <v>402</v>
      </c>
      <c r="G7" s="299" t="s">
        <v>619</v>
      </c>
      <c r="H7" s="300" t="s">
        <v>775</v>
      </c>
      <c r="I7" s="298" t="s">
        <v>620</v>
      </c>
      <c r="J7" s="299" t="s">
        <v>621</v>
      </c>
      <c r="K7" s="300" t="s">
        <v>215</v>
      </c>
      <c r="L7" s="301" t="s">
        <v>569</v>
      </c>
      <c r="M7" s="299" t="s">
        <v>622</v>
      </c>
      <c r="N7" s="300" t="s">
        <v>776</v>
      </c>
      <c r="O7" s="298" t="s">
        <v>403</v>
      </c>
      <c r="P7" s="302" t="s">
        <v>404</v>
      </c>
      <c r="Q7" s="302" t="s">
        <v>405</v>
      </c>
      <c r="R7" s="299" t="s">
        <v>406</v>
      </c>
      <c r="S7" s="298" t="s">
        <v>407</v>
      </c>
      <c r="T7" s="299" t="s">
        <v>408</v>
      </c>
      <c r="U7" s="298" t="s">
        <v>409</v>
      </c>
      <c r="V7" s="302" t="s">
        <v>410</v>
      </c>
      <c r="W7" s="298" t="s">
        <v>567</v>
      </c>
      <c r="X7" s="299" t="s">
        <v>568</v>
      </c>
      <c r="Y7" s="671" t="s">
        <v>358</v>
      </c>
      <c r="Z7" s="671" t="s">
        <v>359</v>
      </c>
      <c r="AA7" s="671" t="s">
        <v>361</v>
      </c>
      <c r="AB7" s="672" t="s">
        <v>362</v>
      </c>
    </row>
    <row r="8" spans="1:28" x14ac:dyDescent="0.25">
      <c r="A8" s="161">
        <v>36708</v>
      </c>
      <c r="B8" s="162">
        <v>36788</v>
      </c>
      <c r="C8" s="18">
        <v>344.9</v>
      </c>
      <c r="D8" s="60"/>
      <c r="E8" s="92">
        <f>SUM(C8:D8)</f>
        <v>344.9</v>
      </c>
      <c r="F8" s="18">
        <v>373</v>
      </c>
      <c r="G8" s="60"/>
      <c r="H8" s="92">
        <v>373</v>
      </c>
      <c r="I8" s="18">
        <v>373</v>
      </c>
      <c r="J8" s="60"/>
      <c r="K8" s="18">
        <f>SUM(I8:J8)</f>
        <v>373</v>
      </c>
      <c r="L8" s="18">
        <v>311.10000000000002</v>
      </c>
      <c r="M8" s="60"/>
      <c r="N8" s="92">
        <f>SUM(L8:M8)</f>
        <v>311.10000000000002</v>
      </c>
      <c r="O8" s="18">
        <f>Pensions!AA8</f>
        <v>133250</v>
      </c>
      <c r="P8" s="20">
        <f>Pensions!AB8</f>
        <v>228750</v>
      </c>
      <c r="Q8" s="20">
        <f>Pensions!AC8</f>
        <v>189500</v>
      </c>
      <c r="R8" s="60">
        <f>Pensions!AD8</f>
        <v>285000</v>
      </c>
      <c r="S8" s="18">
        <v>62</v>
      </c>
      <c r="T8" s="60">
        <f>S8+80</f>
        <v>142</v>
      </c>
      <c r="U8" s="58">
        <v>0.5</v>
      </c>
      <c r="V8" s="57">
        <v>0.7</v>
      </c>
      <c r="W8" s="58">
        <v>0.5</v>
      </c>
      <c r="X8" s="57">
        <v>0.7</v>
      </c>
      <c r="Y8" s="57">
        <v>0.7</v>
      </c>
      <c r="Z8" s="662">
        <v>60</v>
      </c>
      <c r="AA8" s="662">
        <v>45</v>
      </c>
      <c r="AB8" s="662">
        <v>16</v>
      </c>
    </row>
    <row r="9" spans="1:28" x14ac:dyDescent="0.25">
      <c r="A9" s="163">
        <v>36789</v>
      </c>
      <c r="B9" s="164">
        <v>36891</v>
      </c>
      <c r="C9" s="17">
        <v>350.8</v>
      </c>
      <c r="D9" s="35"/>
      <c r="E9" s="93">
        <f t="shared" ref="E9:E69" si="0">SUM(C9:D9)</f>
        <v>350.8</v>
      </c>
      <c r="F9" s="17">
        <v>379.3</v>
      </c>
      <c r="G9" s="35"/>
      <c r="H9" s="93">
        <v>379.3</v>
      </c>
      <c r="I9" s="17">
        <v>379.3</v>
      </c>
      <c r="J9" s="35"/>
      <c r="K9" s="17">
        <f t="shared" ref="K9:K69" si="1">SUM(I9:J9)</f>
        <v>379.3</v>
      </c>
      <c r="L9" s="17">
        <v>316.40000000000003</v>
      </c>
      <c r="M9" s="35"/>
      <c r="N9" s="93">
        <f t="shared" ref="N9:N69" si="2">SUM(L9:M9)</f>
        <v>316.40000000000003</v>
      </c>
      <c r="O9" s="17">
        <f>Pensions!AA9</f>
        <v>133250</v>
      </c>
      <c r="P9" s="19">
        <f>Pensions!AB9</f>
        <v>228750</v>
      </c>
      <c r="Q9" s="19">
        <f>Pensions!AC9</f>
        <v>189500</v>
      </c>
      <c r="R9" s="35">
        <f>Pensions!AD9</f>
        <v>285000</v>
      </c>
      <c r="S9" s="17">
        <v>62</v>
      </c>
      <c r="T9" s="35">
        <f t="shared" ref="T9:T31" si="3">S9+80</f>
        <v>142</v>
      </c>
      <c r="U9" s="62">
        <v>0.5</v>
      </c>
      <c r="V9" s="61">
        <v>0.7</v>
      </c>
      <c r="W9" s="62">
        <v>0.5</v>
      </c>
      <c r="X9" s="61">
        <v>0.7</v>
      </c>
      <c r="Y9" s="61">
        <v>0.7</v>
      </c>
      <c r="Z9" s="663">
        <v>60</v>
      </c>
      <c r="AA9" s="663">
        <v>45</v>
      </c>
      <c r="AB9" s="663">
        <v>16</v>
      </c>
    </row>
    <row r="10" spans="1:28" x14ac:dyDescent="0.25">
      <c r="A10" s="163">
        <v>36892</v>
      </c>
      <c r="B10" s="164">
        <v>36969</v>
      </c>
      <c r="C10" s="17">
        <v>350.8</v>
      </c>
      <c r="D10" s="35"/>
      <c r="E10" s="93">
        <f t="shared" si="0"/>
        <v>350.8</v>
      </c>
      <c r="F10" s="17">
        <v>379.3</v>
      </c>
      <c r="G10" s="35"/>
      <c r="H10" s="93">
        <v>379.3</v>
      </c>
      <c r="I10" s="17">
        <v>379.3</v>
      </c>
      <c r="J10" s="35"/>
      <c r="K10" s="17">
        <f t="shared" si="1"/>
        <v>379.3</v>
      </c>
      <c r="L10" s="17">
        <v>316.39999999999998</v>
      </c>
      <c r="M10" s="35"/>
      <c r="N10" s="93">
        <f t="shared" si="2"/>
        <v>316.39999999999998</v>
      </c>
      <c r="O10" s="17">
        <f>Pensions!AA10</f>
        <v>133250</v>
      </c>
      <c r="P10" s="19">
        <f>Pensions!AB10</f>
        <v>228750</v>
      </c>
      <c r="Q10" s="19">
        <f>Pensions!AC10</f>
        <v>189500</v>
      </c>
      <c r="R10" s="35">
        <f>Pensions!AD10</f>
        <v>285000</v>
      </c>
      <c r="S10" s="17">
        <v>62</v>
      </c>
      <c r="T10" s="35">
        <f t="shared" si="3"/>
        <v>142</v>
      </c>
      <c r="U10" s="62">
        <v>0.5</v>
      </c>
      <c r="V10" s="61">
        <v>0.7</v>
      </c>
      <c r="W10" s="62">
        <v>0.5</v>
      </c>
      <c r="X10" s="61">
        <v>0.7</v>
      </c>
      <c r="Y10" s="61">
        <v>0.7</v>
      </c>
      <c r="Z10" s="663">
        <v>60</v>
      </c>
      <c r="AA10" s="663">
        <v>45</v>
      </c>
      <c r="AB10" s="663">
        <v>16</v>
      </c>
    </row>
    <row r="11" spans="1:28" ht="15.75" thickBot="1" x14ac:dyDescent="0.3">
      <c r="A11" s="180">
        <v>36970</v>
      </c>
      <c r="B11" s="181">
        <v>37072</v>
      </c>
      <c r="C11" s="65">
        <v>357.8</v>
      </c>
      <c r="D11" s="69"/>
      <c r="E11" s="94">
        <f t="shared" si="0"/>
        <v>357.8</v>
      </c>
      <c r="F11" s="65">
        <v>386.9</v>
      </c>
      <c r="G11" s="69"/>
      <c r="H11" s="94">
        <v>386.9</v>
      </c>
      <c r="I11" s="65">
        <v>386.9</v>
      </c>
      <c r="J11" s="69"/>
      <c r="K11" s="65">
        <f t="shared" si="1"/>
        <v>386.9</v>
      </c>
      <c r="L11" s="65">
        <v>322.8</v>
      </c>
      <c r="M11" s="69"/>
      <c r="N11" s="94">
        <f t="shared" si="2"/>
        <v>322.8</v>
      </c>
      <c r="O11" s="65">
        <f>Pensions!AA11</f>
        <v>133250</v>
      </c>
      <c r="P11" s="68">
        <f>Pensions!AB11</f>
        <v>228750</v>
      </c>
      <c r="Q11" s="68">
        <f>Pensions!AC11</f>
        <v>189500</v>
      </c>
      <c r="R11" s="69">
        <f>Pensions!AD11</f>
        <v>285000</v>
      </c>
      <c r="S11" s="65">
        <v>62</v>
      </c>
      <c r="T11" s="69">
        <f t="shared" si="3"/>
        <v>142</v>
      </c>
      <c r="U11" s="67">
        <v>0.5</v>
      </c>
      <c r="V11" s="66">
        <v>0.7</v>
      </c>
      <c r="W11" s="67">
        <v>0.5</v>
      </c>
      <c r="X11" s="66">
        <v>0.7</v>
      </c>
      <c r="Y11" s="66">
        <v>0.7</v>
      </c>
      <c r="Z11" s="664">
        <v>60</v>
      </c>
      <c r="AA11" s="664">
        <v>45</v>
      </c>
      <c r="AB11" s="664">
        <v>16</v>
      </c>
    </row>
    <row r="12" spans="1:28" x14ac:dyDescent="0.25">
      <c r="A12" s="161">
        <v>37073</v>
      </c>
      <c r="B12" s="162">
        <v>37153</v>
      </c>
      <c r="C12" s="18">
        <v>357.8</v>
      </c>
      <c r="D12" s="60"/>
      <c r="E12" s="92">
        <f t="shared" si="0"/>
        <v>357.8</v>
      </c>
      <c r="F12" s="18">
        <v>386.9</v>
      </c>
      <c r="G12" s="60"/>
      <c r="H12" s="92">
        <v>386.9</v>
      </c>
      <c r="I12" s="18">
        <v>386.9</v>
      </c>
      <c r="J12" s="60"/>
      <c r="K12" s="18">
        <f t="shared" si="1"/>
        <v>386.9</v>
      </c>
      <c r="L12" s="18">
        <v>322.8</v>
      </c>
      <c r="M12" s="60"/>
      <c r="N12" s="92">
        <f t="shared" si="2"/>
        <v>322.8</v>
      </c>
      <c r="O12" s="18">
        <f>Pensions!AA12</f>
        <v>141000</v>
      </c>
      <c r="P12" s="20">
        <f>Pensions!AB12</f>
        <v>242000</v>
      </c>
      <c r="Q12" s="20">
        <f>Pensions!AC12</f>
        <v>200500</v>
      </c>
      <c r="R12" s="60">
        <f>Pensions!AD12</f>
        <v>301500</v>
      </c>
      <c r="S12" s="18">
        <v>62</v>
      </c>
      <c r="T12" s="60">
        <f t="shared" si="3"/>
        <v>142</v>
      </c>
      <c r="U12" s="58">
        <v>0.5</v>
      </c>
      <c r="V12" s="57">
        <v>0.7</v>
      </c>
      <c r="W12" s="58">
        <v>0.5</v>
      </c>
      <c r="X12" s="57">
        <v>0.7</v>
      </c>
      <c r="Y12" s="57">
        <v>0.7</v>
      </c>
      <c r="Z12" s="662">
        <v>60</v>
      </c>
      <c r="AA12" s="662">
        <v>46</v>
      </c>
      <c r="AB12" s="662">
        <v>16</v>
      </c>
    </row>
    <row r="13" spans="1:28" x14ac:dyDescent="0.25">
      <c r="A13" s="163">
        <v>37154</v>
      </c>
      <c r="B13" s="164">
        <v>37256</v>
      </c>
      <c r="C13" s="17">
        <v>364.6</v>
      </c>
      <c r="D13" s="35"/>
      <c r="E13" s="93">
        <f t="shared" si="0"/>
        <v>364.6</v>
      </c>
      <c r="F13" s="17">
        <v>394.3</v>
      </c>
      <c r="G13" s="35"/>
      <c r="H13" s="93">
        <v>394.3</v>
      </c>
      <c r="I13" s="17">
        <v>394.3</v>
      </c>
      <c r="J13" s="35"/>
      <c r="K13" s="17">
        <f t="shared" si="1"/>
        <v>394.3</v>
      </c>
      <c r="L13" s="17">
        <v>328.90000000000003</v>
      </c>
      <c r="M13" s="35"/>
      <c r="N13" s="93">
        <f t="shared" si="2"/>
        <v>328.90000000000003</v>
      </c>
      <c r="O13" s="17">
        <f>Pensions!AA13</f>
        <v>141000</v>
      </c>
      <c r="P13" s="19">
        <f>Pensions!AB13</f>
        <v>242000</v>
      </c>
      <c r="Q13" s="19">
        <f>Pensions!AC13</f>
        <v>200500</v>
      </c>
      <c r="R13" s="35">
        <f>Pensions!AD13</f>
        <v>301500</v>
      </c>
      <c r="S13" s="17">
        <v>62</v>
      </c>
      <c r="T13" s="35">
        <f t="shared" si="3"/>
        <v>142</v>
      </c>
      <c r="U13" s="62">
        <v>0.5</v>
      </c>
      <c r="V13" s="61">
        <v>0.7</v>
      </c>
      <c r="W13" s="62">
        <v>0.5</v>
      </c>
      <c r="X13" s="61">
        <v>0.7</v>
      </c>
      <c r="Y13" s="61">
        <v>0.7</v>
      </c>
      <c r="Z13" s="663">
        <v>60</v>
      </c>
      <c r="AA13" s="663">
        <v>46</v>
      </c>
      <c r="AB13" s="663">
        <v>16</v>
      </c>
    </row>
    <row r="14" spans="1:28" x14ac:dyDescent="0.25">
      <c r="A14" s="163">
        <v>37257</v>
      </c>
      <c r="B14" s="164">
        <v>37334</v>
      </c>
      <c r="C14" s="17">
        <v>364.6</v>
      </c>
      <c r="D14" s="35"/>
      <c r="E14" s="93">
        <f t="shared" si="0"/>
        <v>364.6</v>
      </c>
      <c r="F14" s="17">
        <v>394.3</v>
      </c>
      <c r="G14" s="35"/>
      <c r="H14" s="93">
        <v>394.3</v>
      </c>
      <c r="I14" s="17">
        <v>394.3</v>
      </c>
      <c r="J14" s="35"/>
      <c r="K14" s="17">
        <f t="shared" si="1"/>
        <v>394.3</v>
      </c>
      <c r="L14" s="17">
        <v>328.90000000000003</v>
      </c>
      <c r="M14" s="35"/>
      <c r="N14" s="93">
        <f t="shared" si="2"/>
        <v>328.90000000000003</v>
      </c>
      <c r="O14" s="17">
        <f>Pensions!AA14</f>
        <v>141000</v>
      </c>
      <c r="P14" s="19">
        <f>Pensions!AB14</f>
        <v>242000</v>
      </c>
      <c r="Q14" s="19">
        <f>Pensions!AC14</f>
        <v>200500</v>
      </c>
      <c r="R14" s="35">
        <f>Pensions!AD14</f>
        <v>301500</v>
      </c>
      <c r="S14" s="17">
        <v>62</v>
      </c>
      <c r="T14" s="35">
        <f t="shared" si="3"/>
        <v>142</v>
      </c>
      <c r="U14" s="62">
        <v>0.5</v>
      </c>
      <c r="V14" s="61">
        <v>0.7</v>
      </c>
      <c r="W14" s="62">
        <v>0.5</v>
      </c>
      <c r="X14" s="61">
        <v>0.7</v>
      </c>
      <c r="Y14" s="61">
        <v>0.7</v>
      </c>
      <c r="Z14" s="663">
        <v>60</v>
      </c>
      <c r="AA14" s="663">
        <v>46</v>
      </c>
      <c r="AB14" s="663">
        <v>16</v>
      </c>
    </row>
    <row r="15" spans="1:28" ht="15.75" thickBot="1" x14ac:dyDescent="0.3">
      <c r="A15" s="180">
        <v>37335</v>
      </c>
      <c r="B15" s="181">
        <v>37437</v>
      </c>
      <c r="C15" s="65">
        <v>369</v>
      </c>
      <c r="D15" s="69"/>
      <c r="E15" s="94">
        <f t="shared" si="0"/>
        <v>369</v>
      </c>
      <c r="F15" s="65">
        <v>399</v>
      </c>
      <c r="G15" s="69"/>
      <c r="H15" s="94">
        <v>399</v>
      </c>
      <c r="I15" s="65">
        <v>399</v>
      </c>
      <c r="J15" s="69"/>
      <c r="K15" s="65">
        <f t="shared" si="1"/>
        <v>399</v>
      </c>
      <c r="L15" s="65">
        <v>332.8</v>
      </c>
      <c r="M15" s="69"/>
      <c r="N15" s="94">
        <f t="shared" si="2"/>
        <v>332.8</v>
      </c>
      <c r="O15" s="65">
        <f>Pensions!AA15</f>
        <v>141000</v>
      </c>
      <c r="P15" s="68">
        <f>Pensions!AB15</f>
        <v>242000</v>
      </c>
      <c r="Q15" s="68">
        <f>Pensions!AC15</f>
        <v>200500</v>
      </c>
      <c r="R15" s="69">
        <f>Pensions!AD15</f>
        <v>301500</v>
      </c>
      <c r="S15" s="65">
        <v>62</v>
      </c>
      <c r="T15" s="69">
        <f t="shared" si="3"/>
        <v>142</v>
      </c>
      <c r="U15" s="67">
        <v>0.5</v>
      </c>
      <c r="V15" s="66">
        <v>0.7</v>
      </c>
      <c r="W15" s="67">
        <v>0.5</v>
      </c>
      <c r="X15" s="66">
        <v>0.7</v>
      </c>
      <c r="Y15" s="66">
        <v>0.7</v>
      </c>
      <c r="Z15" s="664">
        <v>60</v>
      </c>
      <c r="AA15" s="664">
        <v>46</v>
      </c>
      <c r="AB15" s="664">
        <v>16</v>
      </c>
    </row>
    <row r="16" spans="1:28" x14ac:dyDescent="0.25">
      <c r="A16" s="161">
        <v>37438</v>
      </c>
      <c r="B16" s="162">
        <v>37518</v>
      </c>
      <c r="C16" s="18">
        <v>369</v>
      </c>
      <c r="D16" s="60"/>
      <c r="E16" s="92">
        <f t="shared" si="0"/>
        <v>369</v>
      </c>
      <c r="F16" s="18">
        <v>399</v>
      </c>
      <c r="G16" s="60"/>
      <c r="H16" s="92">
        <f t="shared" ref="H16:H69" si="4">SUM(F16:G16)</f>
        <v>399</v>
      </c>
      <c r="I16" s="18">
        <v>399</v>
      </c>
      <c r="J16" s="60"/>
      <c r="K16" s="18">
        <f t="shared" si="1"/>
        <v>399</v>
      </c>
      <c r="L16" s="18">
        <v>332.8</v>
      </c>
      <c r="M16" s="60"/>
      <c r="N16" s="92">
        <f t="shared" si="2"/>
        <v>332.8</v>
      </c>
      <c r="O16" s="18">
        <f>Pensions!AA16</f>
        <v>145250</v>
      </c>
      <c r="P16" s="20">
        <f>Pensions!AB16</f>
        <v>249750</v>
      </c>
      <c r="Q16" s="20">
        <f>Pensions!AC16</f>
        <v>206500</v>
      </c>
      <c r="R16" s="60">
        <f>Pensions!AD16</f>
        <v>311000</v>
      </c>
      <c r="S16" s="18">
        <v>62</v>
      </c>
      <c r="T16" s="60">
        <f t="shared" si="3"/>
        <v>142</v>
      </c>
      <c r="U16" s="58">
        <v>0.5</v>
      </c>
      <c r="V16" s="57">
        <v>0.7</v>
      </c>
      <c r="W16" s="58">
        <v>0.5</v>
      </c>
      <c r="X16" s="57">
        <v>0.7</v>
      </c>
      <c r="Y16" s="57">
        <v>0.7</v>
      </c>
      <c r="Z16" s="662">
        <v>60</v>
      </c>
      <c r="AA16" s="662">
        <f>YEAR(A16)-1955</f>
        <v>47</v>
      </c>
      <c r="AB16" s="662">
        <v>16</v>
      </c>
    </row>
    <row r="17" spans="1:28" x14ac:dyDescent="0.25">
      <c r="A17" s="163">
        <v>37519</v>
      </c>
      <c r="B17" s="164">
        <v>37621</v>
      </c>
      <c r="C17" s="17">
        <v>374.90000000000003</v>
      </c>
      <c r="D17" s="35"/>
      <c r="E17" s="93">
        <f t="shared" si="0"/>
        <v>374.90000000000003</v>
      </c>
      <c r="F17" s="17">
        <v>405.40000000000003</v>
      </c>
      <c r="G17" s="35"/>
      <c r="H17" s="93">
        <f t="shared" si="4"/>
        <v>405.40000000000003</v>
      </c>
      <c r="I17" s="17">
        <v>405.40000000000003</v>
      </c>
      <c r="J17" s="35"/>
      <c r="K17" s="17">
        <f t="shared" si="1"/>
        <v>405.40000000000003</v>
      </c>
      <c r="L17" s="17">
        <v>338.1</v>
      </c>
      <c r="M17" s="35"/>
      <c r="N17" s="93">
        <f t="shared" si="2"/>
        <v>338.1</v>
      </c>
      <c r="O17" s="17">
        <f>Pensions!AA17</f>
        <v>145250</v>
      </c>
      <c r="P17" s="19">
        <f>Pensions!AB17</f>
        <v>249750</v>
      </c>
      <c r="Q17" s="19">
        <f>Pensions!AC17</f>
        <v>206500</v>
      </c>
      <c r="R17" s="35">
        <f>Pensions!AD17</f>
        <v>311000</v>
      </c>
      <c r="S17" s="17">
        <v>62</v>
      </c>
      <c r="T17" s="35">
        <f t="shared" si="3"/>
        <v>142</v>
      </c>
      <c r="U17" s="62">
        <v>0.5</v>
      </c>
      <c r="V17" s="61">
        <v>0.7</v>
      </c>
      <c r="W17" s="62">
        <v>0.5</v>
      </c>
      <c r="X17" s="61">
        <v>0.7</v>
      </c>
      <c r="Y17" s="61">
        <v>0.7</v>
      </c>
      <c r="Z17" s="663">
        <v>60</v>
      </c>
      <c r="AA17" s="663">
        <f>YEAR(A17)-1955</f>
        <v>47</v>
      </c>
      <c r="AB17" s="663">
        <v>16</v>
      </c>
    </row>
    <row r="18" spans="1:28" x14ac:dyDescent="0.25">
      <c r="A18" s="163">
        <v>37622</v>
      </c>
      <c r="B18" s="164">
        <v>37699</v>
      </c>
      <c r="C18" s="17">
        <v>374.90000000000003</v>
      </c>
      <c r="D18" s="35"/>
      <c r="E18" s="93">
        <f t="shared" si="0"/>
        <v>374.90000000000003</v>
      </c>
      <c r="F18" s="17">
        <v>405.40000000000003</v>
      </c>
      <c r="G18" s="35"/>
      <c r="H18" s="93">
        <f t="shared" si="4"/>
        <v>405.40000000000003</v>
      </c>
      <c r="I18" s="17">
        <v>405.40000000000003</v>
      </c>
      <c r="J18" s="35"/>
      <c r="K18" s="17">
        <f t="shared" si="1"/>
        <v>405.40000000000003</v>
      </c>
      <c r="L18" s="17">
        <v>338.1</v>
      </c>
      <c r="M18" s="35"/>
      <c r="N18" s="93">
        <f t="shared" si="2"/>
        <v>338.1</v>
      </c>
      <c r="O18" s="17">
        <f>Pensions!AA18</f>
        <v>145250</v>
      </c>
      <c r="P18" s="19">
        <f>Pensions!AB18</f>
        <v>249750</v>
      </c>
      <c r="Q18" s="19">
        <f>Pensions!AC18</f>
        <v>206500</v>
      </c>
      <c r="R18" s="35">
        <f>Pensions!AD18</f>
        <v>311000</v>
      </c>
      <c r="S18" s="17">
        <v>62</v>
      </c>
      <c r="T18" s="35">
        <f t="shared" si="3"/>
        <v>142</v>
      </c>
      <c r="U18" s="62">
        <v>0.5</v>
      </c>
      <c r="V18" s="61">
        <v>0.7</v>
      </c>
      <c r="W18" s="62">
        <v>0.5</v>
      </c>
      <c r="X18" s="61">
        <v>0.7</v>
      </c>
      <c r="Y18" s="61">
        <v>0.7</v>
      </c>
      <c r="Z18" s="663">
        <v>60</v>
      </c>
      <c r="AA18" s="663">
        <v>47</v>
      </c>
      <c r="AB18" s="663">
        <v>16</v>
      </c>
    </row>
    <row r="19" spans="1:28" ht="15.75" thickBot="1" x14ac:dyDescent="0.3">
      <c r="A19" s="180">
        <v>37700</v>
      </c>
      <c r="B19" s="181">
        <v>37802</v>
      </c>
      <c r="C19" s="65">
        <v>380.1</v>
      </c>
      <c r="D19" s="69"/>
      <c r="E19" s="94">
        <f t="shared" si="0"/>
        <v>380.1</v>
      </c>
      <c r="F19" s="65">
        <v>411.1</v>
      </c>
      <c r="G19" s="69"/>
      <c r="H19" s="94">
        <f t="shared" si="4"/>
        <v>411.1</v>
      </c>
      <c r="I19" s="65">
        <v>411.1</v>
      </c>
      <c r="J19" s="69"/>
      <c r="K19" s="65">
        <f t="shared" si="1"/>
        <v>411.1</v>
      </c>
      <c r="L19" s="65">
        <v>342.8</v>
      </c>
      <c r="M19" s="69"/>
      <c r="N19" s="94">
        <f t="shared" si="2"/>
        <v>342.8</v>
      </c>
      <c r="O19" s="65">
        <f>Pensions!AA19</f>
        <v>145250</v>
      </c>
      <c r="P19" s="68">
        <f>Pensions!AB19</f>
        <v>249750</v>
      </c>
      <c r="Q19" s="68">
        <f>Pensions!AC19</f>
        <v>206500</v>
      </c>
      <c r="R19" s="69">
        <f>Pensions!AD19</f>
        <v>311000</v>
      </c>
      <c r="S19" s="65">
        <v>62</v>
      </c>
      <c r="T19" s="69">
        <f t="shared" si="3"/>
        <v>142</v>
      </c>
      <c r="U19" s="67">
        <v>0.5</v>
      </c>
      <c r="V19" s="66">
        <v>0.7</v>
      </c>
      <c r="W19" s="67">
        <v>0.5</v>
      </c>
      <c r="X19" s="66">
        <v>0.7</v>
      </c>
      <c r="Y19" s="66">
        <v>0.7</v>
      </c>
      <c r="Z19" s="664">
        <v>60</v>
      </c>
      <c r="AA19" s="664">
        <v>47</v>
      </c>
      <c r="AB19" s="664">
        <v>16</v>
      </c>
    </row>
    <row r="20" spans="1:28" x14ac:dyDescent="0.25">
      <c r="A20" s="161">
        <v>37803</v>
      </c>
      <c r="B20" s="162">
        <v>37883</v>
      </c>
      <c r="C20" s="18">
        <v>380.1</v>
      </c>
      <c r="D20" s="60"/>
      <c r="E20" s="92">
        <f t="shared" si="0"/>
        <v>380.1</v>
      </c>
      <c r="F20" s="18">
        <v>411.1</v>
      </c>
      <c r="G20" s="60"/>
      <c r="H20" s="92">
        <f t="shared" si="4"/>
        <v>411.1</v>
      </c>
      <c r="I20" s="18">
        <v>411.1</v>
      </c>
      <c r="J20" s="60"/>
      <c r="K20" s="18">
        <f t="shared" si="1"/>
        <v>411.1</v>
      </c>
      <c r="L20" s="18">
        <v>342.8</v>
      </c>
      <c r="M20" s="60"/>
      <c r="N20" s="92">
        <f t="shared" si="2"/>
        <v>342.8</v>
      </c>
      <c r="O20" s="18">
        <f>Pensions!AA20</f>
        <v>149500</v>
      </c>
      <c r="P20" s="20">
        <f>Pensions!AB20</f>
        <v>257500</v>
      </c>
      <c r="Q20" s="20">
        <f>Pensions!AC20</f>
        <v>212500</v>
      </c>
      <c r="R20" s="60">
        <f>Pensions!AD20</f>
        <v>320500</v>
      </c>
      <c r="S20" s="18">
        <v>62</v>
      </c>
      <c r="T20" s="60">
        <f t="shared" si="3"/>
        <v>142</v>
      </c>
      <c r="U20" s="58">
        <v>0.5</v>
      </c>
      <c r="V20" s="57">
        <v>0.7</v>
      </c>
      <c r="W20" s="58">
        <v>0.5</v>
      </c>
      <c r="X20" s="57">
        <v>0.7</v>
      </c>
      <c r="Y20" s="57">
        <v>0.7</v>
      </c>
      <c r="Z20" s="662">
        <v>60</v>
      </c>
      <c r="AA20" s="662">
        <f>YEAR(A20)-1955</f>
        <v>48</v>
      </c>
      <c r="AB20" s="662">
        <v>16</v>
      </c>
    </row>
    <row r="21" spans="1:28" x14ac:dyDescent="0.25">
      <c r="A21" s="163">
        <v>37884</v>
      </c>
      <c r="B21" s="164">
        <v>37986</v>
      </c>
      <c r="C21" s="17">
        <v>385</v>
      </c>
      <c r="D21" s="35"/>
      <c r="E21" s="93">
        <f t="shared" si="0"/>
        <v>385</v>
      </c>
      <c r="F21" s="17">
        <v>416.40000000000003</v>
      </c>
      <c r="G21" s="35"/>
      <c r="H21" s="93">
        <f t="shared" si="4"/>
        <v>416.40000000000003</v>
      </c>
      <c r="I21" s="17">
        <v>416.40000000000003</v>
      </c>
      <c r="J21" s="35"/>
      <c r="K21" s="17">
        <f t="shared" si="1"/>
        <v>416.40000000000003</v>
      </c>
      <c r="L21" s="17">
        <v>347.3</v>
      </c>
      <c r="M21" s="35"/>
      <c r="N21" s="93">
        <f t="shared" si="2"/>
        <v>347.3</v>
      </c>
      <c r="O21" s="17">
        <f>Pensions!AA21</f>
        <v>149500</v>
      </c>
      <c r="P21" s="19">
        <f>Pensions!AB21</f>
        <v>257500</v>
      </c>
      <c r="Q21" s="19">
        <f>Pensions!AC21</f>
        <v>212500</v>
      </c>
      <c r="R21" s="35">
        <f>Pensions!AD21</f>
        <v>320500</v>
      </c>
      <c r="S21" s="17">
        <v>62</v>
      </c>
      <c r="T21" s="35">
        <f t="shared" si="3"/>
        <v>142</v>
      </c>
      <c r="U21" s="62">
        <v>0.5</v>
      </c>
      <c r="V21" s="61">
        <v>0.7</v>
      </c>
      <c r="W21" s="62">
        <v>0.5</v>
      </c>
      <c r="X21" s="61">
        <v>0.7</v>
      </c>
      <c r="Y21" s="61">
        <v>0.7</v>
      </c>
      <c r="Z21" s="663">
        <v>60</v>
      </c>
      <c r="AA21" s="663">
        <f>YEAR(A21)-1955</f>
        <v>48</v>
      </c>
      <c r="AB21" s="663">
        <v>16</v>
      </c>
    </row>
    <row r="22" spans="1:28" x14ac:dyDescent="0.25">
      <c r="A22" s="163">
        <v>37987</v>
      </c>
      <c r="B22" s="164">
        <v>38065</v>
      </c>
      <c r="C22" s="17">
        <v>385</v>
      </c>
      <c r="D22" s="35"/>
      <c r="E22" s="93">
        <f t="shared" si="0"/>
        <v>385</v>
      </c>
      <c r="F22" s="17">
        <v>416.40000000000003</v>
      </c>
      <c r="G22" s="35"/>
      <c r="H22" s="93">
        <f t="shared" si="4"/>
        <v>416.40000000000003</v>
      </c>
      <c r="I22" s="17">
        <v>416.40000000000003</v>
      </c>
      <c r="J22" s="35"/>
      <c r="K22" s="17">
        <f t="shared" si="1"/>
        <v>416.40000000000003</v>
      </c>
      <c r="L22" s="17">
        <v>347.3</v>
      </c>
      <c r="M22" s="35"/>
      <c r="N22" s="93">
        <f t="shared" si="2"/>
        <v>347.3</v>
      </c>
      <c r="O22" s="17">
        <f>Pensions!AA22</f>
        <v>149500</v>
      </c>
      <c r="P22" s="19">
        <f>Pensions!AB22</f>
        <v>257500</v>
      </c>
      <c r="Q22" s="19">
        <f>Pensions!AC22</f>
        <v>212500</v>
      </c>
      <c r="R22" s="35">
        <f>Pensions!AD22</f>
        <v>320500</v>
      </c>
      <c r="S22" s="17">
        <v>62</v>
      </c>
      <c r="T22" s="35">
        <f t="shared" si="3"/>
        <v>142</v>
      </c>
      <c r="U22" s="62">
        <v>0.5</v>
      </c>
      <c r="V22" s="61">
        <v>0.7</v>
      </c>
      <c r="W22" s="62">
        <v>0.5</v>
      </c>
      <c r="X22" s="61">
        <v>0.7</v>
      </c>
      <c r="Y22" s="61">
        <v>0.7</v>
      </c>
      <c r="Z22" s="663">
        <v>60</v>
      </c>
      <c r="AA22" s="663">
        <v>48</v>
      </c>
      <c r="AB22" s="663">
        <v>16</v>
      </c>
    </row>
    <row r="23" spans="1:28" ht="15.75" thickBot="1" x14ac:dyDescent="0.3">
      <c r="A23" s="180">
        <v>38066</v>
      </c>
      <c r="B23" s="181">
        <v>38168</v>
      </c>
      <c r="C23" s="65">
        <v>389.20000000000005</v>
      </c>
      <c r="D23" s="69"/>
      <c r="E23" s="94">
        <f t="shared" si="0"/>
        <v>389.20000000000005</v>
      </c>
      <c r="F23" s="65">
        <v>421</v>
      </c>
      <c r="G23" s="69"/>
      <c r="H23" s="94">
        <f t="shared" si="4"/>
        <v>421</v>
      </c>
      <c r="I23" s="65">
        <v>421</v>
      </c>
      <c r="J23" s="69"/>
      <c r="K23" s="65">
        <f t="shared" si="1"/>
        <v>421</v>
      </c>
      <c r="L23" s="65">
        <v>351.1</v>
      </c>
      <c r="M23" s="69"/>
      <c r="N23" s="94">
        <f t="shared" si="2"/>
        <v>351.1</v>
      </c>
      <c r="O23" s="65">
        <f>Pensions!AA23</f>
        <v>149500</v>
      </c>
      <c r="P23" s="68">
        <f>Pensions!AB23</f>
        <v>257500</v>
      </c>
      <c r="Q23" s="68">
        <f>Pensions!AC23</f>
        <v>212500</v>
      </c>
      <c r="R23" s="69">
        <f>Pensions!AD23</f>
        <v>320500</v>
      </c>
      <c r="S23" s="65">
        <v>62</v>
      </c>
      <c r="T23" s="69">
        <f t="shared" si="3"/>
        <v>142</v>
      </c>
      <c r="U23" s="67">
        <v>0.5</v>
      </c>
      <c r="V23" s="66">
        <v>0.7</v>
      </c>
      <c r="W23" s="67">
        <v>0.5</v>
      </c>
      <c r="X23" s="66">
        <v>0.7</v>
      </c>
      <c r="Y23" s="66">
        <v>0.7</v>
      </c>
      <c r="Z23" s="664">
        <v>60</v>
      </c>
      <c r="AA23" s="664">
        <v>48</v>
      </c>
      <c r="AB23" s="664">
        <v>16</v>
      </c>
    </row>
    <row r="24" spans="1:28" x14ac:dyDescent="0.25">
      <c r="A24" s="161">
        <v>38169</v>
      </c>
      <c r="B24" s="162">
        <v>38249</v>
      </c>
      <c r="C24" s="18">
        <v>389.20000000000005</v>
      </c>
      <c r="D24" s="60"/>
      <c r="E24" s="92">
        <f t="shared" si="0"/>
        <v>389.20000000000005</v>
      </c>
      <c r="F24" s="18">
        <v>421</v>
      </c>
      <c r="G24" s="60"/>
      <c r="H24" s="92">
        <f t="shared" si="4"/>
        <v>421</v>
      </c>
      <c r="I24" s="18">
        <v>421</v>
      </c>
      <c r="J24" s="60"/>
      <c r="K24" s="18">
        <f t="shared" si="1"/>
        <v>421</v>
      </c>
      <c r="L24" s="18">
        <v>351.1</v>
      </c>
      <c r="M24" s="60"/>
      <c r="N24" s="92">
        <f t="shared" si="2"/>
        <v>351.1</v>
      </c>
      <c r="O24" s="18">
        <f>Pensions!AA24</f>
        <v>153000</v>
      </c>
      <c r="P24" s="20">
        <f>Pensions!AB24</f>
        <v>263500</v>
      </c>
      <c r="Q24" s="20">
        <f>Pensions!AC24</f>
        <v>217500</v>
      </c>
      <c r="R24" s="60">
        <f>Pensions!AD24</f>
        <v>328000</v>
      </c>
      <c r="S24" s="18">
        <v>62</v>
      </c>
      <c r="T24" s="60">
        <f t="shared" si="3"/>
        <v>142</v>
      </c>
      <c r="U24" s="58">
        <v>0.5</v>
      </c>
      <c r="V24" s="57">
        <v>0.7</v>
      </c>
      <c r="W24" s="58">
        <v>0.5</v>
      </c>
      <c r="X24" s="57">
        <v>0.7</v>
      </c>
      <c r="Y24" s="57">
        <v>0.7</v>
      </c>
      <c r="Z24" s="662">
        <v>60</v>
      </c>
      <c r="AA24" s="662">
        <v>49</v>
      </c>
      <c r="AB24" s="662">
        <v>16</v>
      </c>
    </row>
    <row r="25" spans="1:28" x14ac:dyDescent="0.25">
      <c r="A25" s="163">
        <v>38250</v>
      </c>
      <c r="B25" s="164">
        <v>38352</v>
      </c>
      <c r="C25" s="17">
        <v>394.6</v>
      </c>
      <c r="D25" s="35"/>
      <c r="E25" s="93">
        <f t="shared" si="0"/>
        <v>394.6</v>
      </c>
      <c r="F25" s="17">
        <v>426.90000000000003</v>
      </c>
      <c r="G25" s="35"/>
      <c r="H25" s="93">
        <f t="shared" si="4"/>
        <v>426.90000000000003</v>
      </c>
      <c r="I25" s="17">
        <v>426.90000000000003</v>
      </c>
      <c r="J25" s="35"/>
      <c r="K25" s="17">
        <f t="shared" si="1"/>
        <v>426.90000000000003</v>
      </c>
      <c r="L25" s="17">
        <v>356</v>
      </c>
      <c r="M25" s="35"/>
      <c r="N25" s="93">
        <f t="shared" si="2"/>
        <v>356</v>
      </c>
      <c r="O25" s="17">
        <f>Pensions!AA25</f>
        <v>153000</v>
      </c>
      <c r="P25" s="19">
        <f>Pensions!AB25</f>
        <v>263500</v>
      </c>
      <c r="Q25" s="19">
        <f>Pensions!AC25</f>
        <v>217500</v>
      </c>
      <c r="R25" s="35">
        <f>Pensions!AD25</f>
        <v>328000</v>
      </c>
      <c r="S25" s="17">
        <v>62</v>
      </c>
      <c r="T25" s="35">
        <f t="shared" si="3"/>
        <v>142</v>
      </c>
      <c r="U25" s="62">
        <v>0.5</v>
      </c>
      <c r="V25" s="61">
        <v>0.7</v>
      </c>
      <c r="W25" s="62">
        <v>0.5</v>
      </c>
      <c r="X25" s="61">
        <v>0.7</v>
      </c>
      <c r="Y25" s="61">
        <v>0.7</v>
      </c>
      <c r="Z25" s="663">
        <v>60</v>
      </c>
      <c r="AA25" s="663">
        <v>49</v>
      </c>
      <c r="AB25" s="663">
        <v>16</v>
      </c>
    </row>
    <row r="26" spans="1:28" x14ac:dyDescent="0.25">
      <c r="A26" s="163">
        <v>38353</v>
      </c>
      <c r="B26" s="164">
        <v>38430</v>
      </c>
      <c r="C26" s="17">
        <v>394.6</v>
      </c>
      <c r="D26" s="35"/>
      <c r="E26" s="93">
        <f t="shared" si="0"/>
        <v>394.6</v>
      </c>
      <c r="F26" s="17">
        <v>426.90000000000003</v>
      </c>
      <c r="G26" s="35"/>
      <c r="H26" s="93">
        <f t="shared" si="4"/>
        <v>426.90000000000003</v>
      </c>
      <c r="I26" s="17">
        <v>426.90000000000003</v>
      </c>
      <c r="J26" s="35"/>
      <c r="K26" s="17">
        <f t="shared" si="1"/>
        <v>426.90000000000003</v>
      </c>
      <c r="L26" s="17">
        <v>356</v>
      </c>
      <c r="M26" s="35"/>
      <c r="N26" s="93">
        <f t="shared" si="2"/>
        <v>356</v>
      </c>
      <c r="O26" s="17">
        <f>Pensions!AA26</f>
        <v>153000</v>
      </c>
      <c r="P26" s="19">
        <f>Pensions!AB26</f>
        <v>263500</v>
      </c>
      <c r="Q26" s="19">
        <f>Pensions!AC26</f>
        <v>217500</v>
      </c>
      <c r="R26" s="35">
        <f>Pensions!AD26</f>
        <v>328000</v>
      </c>
      <c r="S26" s="17">
        <v>62</v>
      </c>
      <c r="T26" s="35">
        <f t="shared" si="3"/>
        <v>142</v>
      </c>
      <c r="U26" s="62">
        <v>0.5</v>
      </c>
      <c r="V26" s="61">
        <v>0.7</v>
      </c>
      <c r="W26" s="62">
        <v>0.5</v>
      </c>
      <c r="X26" s="61">
        <v>0.7</v>
      </c>
      <c r="Y26" s="61">
        <v>0.7</v>
      </c>
      <c r="Z26" s="663">
        <v>60</v>
      </c>
      <c r="AA26" s="663">
        <v>49</v>
      </c>
      <c r="AB26" s="663">
        <v>16</v>
      </c>
    </row>
    <row r="27" spans="1:28" ht="15.75" thickBot="1" x14ac:dyDescent="0.3">
      <c r="A27" s="180">
        <v>38431</v>
      </c>
      <c r="B27" s="181">
        <v>38533</v>
      </c>
      <c r="C27" s="65">
        <v>399.3</v>
      </c>
      <c r="D27" s="69"/>
      <c r="E27" s="94">
        <f t="shared" si="0"/>
        <v>399.3</v>
      </c>
      <c r="F27" s="65">
        <v>432</v>
      </c>
      <c r="G27" s="69"/>
      <c r="H27" s="94">
        <f t="shared" si="4"/>
        <v>432</v>
      </c>
      <c r="I27" s="65">
        <v>432</v>
      </c>
      <c r="J27" s="69"/>
      <c r="K27" s="65">
        <f t="shared" si="1"/>
        <v>432</v>
      </c>
      <c r="L27" s="65">
        <v>360.3</v>
      </c>
      <c r="M27" s="69"/>
      <c r="N27" s="94">
        <f t="shared" si="2"/>
        <v>360.3</v>
      </c>
      <c r="O27" s="65">
        <f>Pensions!AA27</f>
        <v>153000</v>
      </c>
      <c r="P27" s="68">
        <f>Pensions!AB27</f>
        <v>263500</v>
      </c>
      <c r="Q27" s="68">
        <f>Pensions!AC27</f>
        <v>217500</v>
      </c>
      <c r="R27" s="69">
        <f>Pensions!AD27</f>
        <v>328000</v>
      </c>
      <c r="S27" s="65">
        <v>62</v>
      </c>
      <c r="T27" s="69">
        <f t="shared" si="3"/>
        <v>142</v>
      </c>
      <c r="U27" s="67">
        <v>0.5</v>
      </c>
      <c r="V27" s="66">
        <v>0.7</v>
      </c>
      <c r="W27" s="67">
        <v>0.5</v>
      </c>
      <c r="X27" s="66">
        <v>0.7</v>
      </c>
      <c r="Y27" s="66">
        <v>0.7</v>
      </c>
      <c r="Z27" s="664">
        <v>60</v>
      </c>
      <c r="AA27" s="664">
        <v>49</v>
      </c>
      <c r="AB27" s="664">
        <v>16</v>
      </c>
    </row>
    <row r="28" spans="1:28" x14ac:dyDescent="0.25">
      <c r="A28" s="161">
        <v>38534</v>
      </c>
      <c r="B28" s="162">
        <v>38614</v>
      </c>
      <c r="C28" s="18">
        <v>399.3</v>
      </c>
      <c r="D28" s="60"/>
      <c r="E28" s="92">
        <f t="shared" si="0"/>
        <v>399.3</v>
      </c>
      <c r="F28" s="18">
        <v>432</v>
      </c>
      <c r="G28" s="60"/>
      <c r="H28" s="92">
        <f t="shared" si="4"/>
        <v>432</v>
      </c>
      <c r="I28" s="18">
        <v>432</v>
      </c>
      <c r="J28" s="60"/>
      <c r="K28" s="18">
        <f t="shared" si="1"/>
        <v>432</v>
      </c>
      <c r="L28" s="18">
        <v>360.3</v>
      </c>
      <c r="M28" s="60"/>
      <c r="N28" s="92">
        <f t="shared" si="2"/>
        <v>360.3</v>
      </c>
      <c r="O28" s="18">
        <f>Pensions!AA28</f>
        <v>157000</v>
      </c>
      <c r="P28" s="20">
        <f>Pensions!AB28</f>
        <v>270500</v>
      </c>
      <c r="Q28" s="20">
        <f>Pensions!AC28</f>
        <v>223000</v>
      </c>
      <c r="R28" s="60">
        <f>Pensions!AD28</f>
        <v>336500</v>
      </c>
      <c r="S28" s="18">
        <v>62</v>
      </c>
      <c r="T28" s="60">
        <f t="shared" si="3"/>
        <v>142</v>
      </c>
      <c r="U28" s="58">
        <v>0.5</v>
      </c>
      <c r="V28" s="57">
        <v>0.7</v>
      </c>
      <c r="W28" s="58">
        <v>0.5</v>
      </c>
      <c r="X28" s="57">
        <v>0.7</v>
      </c>
      <c r="Y28" s="57">
        <v>0.7</v>
      </c>
      <c r="Z28" s="662">
        <v>60</v>
      </c>
      <c r="AA28" s="662">
        <v>50</v>
      </c>
      <c r="AB28" s="662">
        <v>16</v>
      </c>
    </row>
    <row r="29" spans="1:28" x14ac:dyDescent="0.25">
      <c r="A29" s="163">
        <v>38615</v>
      </c>
      <c r="B29" s="164">
        <v>38717</v>
      </c>
      <c r="C29" s="17">
        <v>404.5</v>
      </c>
      <c r="D29" s="35"/>
      <c r="E29" s="93">
        <f t="shared" si="0"/>
        <v>404.5</v>
      </c>
      <c r="F29" s="17">
        <v>437.6</v>
      </c>
      <c r="G29" s="35"/>
      <c r="H29" s="93">
        <f t="shared" si="4"/>
        <v>437.6</v>
      </c>
      <c r="I29" s="17">
        <v>437.6</v>
      </c>
      <c r="J29" s="35"/>
      <c r="K29" s="17">
        <f t="shared" si="1"/>
        <v>437.6</v>
      </c>
      <c r="L29" s="17">
        <v>365</v>
      </c>
      <c r="M29" s="35"/>
      <c r="N29" s="93">
        <f t="shared" si="2"/>
        <v>365</v>
      </c>
      <c r="O29" s="17">
        <f>Pensions!AA29</f>
        <v>157000</v>
      </c>
      <c r="P29" s="19">
        <f>Pensions!AB29</f>
        <v>270500</v>
      </c>
      <c r="Q29" s="19">
        <f>Pensions!AC29</f>
        <v>223000</v>
      </c>
      <c r="R29" s="35">
        <f>Pensions!AD29</f>
        <v>336500</v>
      </c>
      <c r="S29" s="17">
        <v>62</v>
      </c>
      <c r="T29" s="35">
        <f t="shared" si="3"/>
        <v>142</v>
      </c>
      <c r="U29" s="62">
        <v>0.5</v>
      </c>
      <c r="V29" s="61">
        <v>0.7</v>
      </c>
      <c r="W29" s="62">
        <v>0.5</v>
      </c>
      <c r="X29" s="61">
        <v>0.7</v>
      </c>
      <c r="Y29" s="61">
        <v>0.7</v>
      </c>
      <c r="Z29" s="663">
        <v>60</v>
      </c>
      <c r="AA29" s="663">
        <v>50</v>
      </c>
      <c r="AB29" s="663">
        <v>16</v>
      </c>
    </row>
    <row r="30" spans="1:28" x14ac:dyDescent="0.25">
      <c r="A30" s="163">
        <v>38718</v>
      </c>
      <c r="B30" s="164">
        <v>38795</v>
      </c>
      <c r="C30" s="17">
        <v>404.5</v>
      </c>
      <c r="D30" s="35"/>
      <c r="E30" s="93">
        <f t="shared" si="0"/>
        <v>404.5</v>
      </c>
      <c r="F30" s="17">
        <v>437.6</v>
      </c>
      <c r="G30" s="35"/>
      <c r="H30" s="93">
        <f t="shared" si="4"/>
        <v>437.6</v>
      </c>
      <c r="I30" s="17">
        <v>437.6</v>
      </c>
      <c r="J30" s="35"/>
      <c r="K30" s="17">
        <f t="shared" si="1"/>
        <v>437.6</v>
      </c>
      <c r="L30" s="17">
        <v>365</v>
      </c>
      <c r="M30" s="35"/>
      <c r="N30" s="93">
        <f t="shared" si="2"/>
        <v>365</v>
      </c>
      <c r="O30" s="17">
        <f>Pensions!AA30</f>
        <v>157000</v>
      </c>
      <c r="P30" s="19">
        <f>Pensions!AB30</f>
        <v>270500</v>
      </c>
      <c r="Q30" s="19">
        <f>Pensions!AC30</f>
        <v>223000</v>
      </c>
      <c r="R30" s="35">
        <f>Pensions!AD30</f>
        <v>336500</v>
      </c>
      <c r="S30" s="17">
        <v>62</v>
      </c>
      <c r="T30" s="35">
        <f t="shared" si="3"/>
        <v>142</v>
      </c>
      <c r="U30" s="62">
        <v>0.5</v>
      </c>
      <c r="V30" s="61">
        <v>0.7</v>
      </c>
      <c r="W30" s="62">
        <v>0.5</v>
      </c>
      <c r="X30" s="61">
        <v>0.7</v>
      </c>
      <c r="Y30" s="61">
        <v>0.7</v>
      </c>
      <c r="Z30" s="663">
        <v>60</v>
      </c>
      <c r="AA30" s="663">
        <v>50</v>
      </c>
      <c r="AB30" s="663">
        <v>16</v>
      </c>
    </row>
    <row r="31" spans="1:28" ht="15.75" thickBot="1" x14ac:dyDescent="0.3">
      <c r="A31" s="180">
        <v>38796</v>
      </c>
      <c r="B31" s="181">
        <v>38898</v>
      </c>
      <c r="C31" s="65">
        <v>410.6</v>
      </c>
      <c r="D31" s="69"/>
      <c r="E31" s="94">
        <f t="shared" si="0"/>
        <v>410.6</v>
      </c>
      <c r="F31" s="65">
        <v>444.20000000000005</v>
      </c>
      <c r="G31" s="69"/>
      <c r="H31" s="94">
        <f t="shared" si="4"/>
        <v>444.20000000000005</v>
      </c>
      <c r="I31" s="65">
        <v>444.20000000000005</v>
      </c>
      <c r="J31" s="69"/>
      <c r="K31" s="65">
        <f t="shared" si="1"/>
        <v>444.20000000000005</v>
      </c>
      <c r="L31" s="65">
        <v>370.5</v>
      </c>
      <c r="M31" s="69"/>
      <c r="N31" s="94">
        <f t="shared" si="2"/>
        <v>370.5</v>
      </c>
      <c r="O31" s="65">
        <f>Pensions!AA31</f>
        <v>157000</v>
      </c>
      <c r="P31" s="68">
        <f>Pensions!AB31</f>
        <v>270500</v>
      </c>
      <c r="Q31" s="68">
        <f>Pensions!AC31</f>
        <v>223000</v>
      </c>
      <c r="R31" s="69">
        <f>Pensions!AD31</f>
        <v>336500</v>
      </c>
      <c r="S31" s="65">
        <v>62</v>
      </c>
      <c r="T31" s="69">
        <f t="shared" si="3"/>
        <v>142</v>
      </c>
      <c r="U31" s="67">
        <v>0.5</v>
      </c>
      <c r="V31" s="66">
        <v>0.7</v>
      </c>
      <c r="W31" s="67">
        <v>0.5</v>
      </c>
      <c r="X31" s="66">
        <v>0.7</v>
      </c>
      <c r="Y31" s="66">
        <v>0.7</v>
      </c>
      <c r="Z31" s="664">
        <v>60</v>
      </c>
      <c r="AA31" s="664">
        <v>50</v>
      </c>
      <c r="AB31" s="664">
        <v>16</v>
      </c>
    </row>
    <row r="32" spans="1:28" x14ac:dyDescent="0.25">
      <c r="A32" s="161">
        <v>38899</v>
      </c>
      <c r="B32" s="162">
        <v>38979</v>
      </c>
      <c r="C32" s="18">
        <v>410.6</v>
      </c>
      <c r="D32" s="60"/>
      <c r="E32" s="92">
        <f t="shared" si="0"/>
        <v>410.6</v>
      </c>
      <c r="F32" s="18">
        <v>444.20000000000005</v>
      </c>
      <c r="G32" s="60"/>
      <c r="H32" s="92">
        <f t="shared" si="4"/>
        <v>444.20000000000005</v>
      </c>
      <c r="I32" s="18">
        <v>444.20000000000005</v>
      </c>
      <c r="J32" s="60"/>
      <c r="K32" s="18">
        <f t="shared" si="1"/>
        <v>444.20000000000005</v>
      </c>
      <c r="L32" s="18">
        <v>370.5</v>
      </c>
      <c r="M32" s="60"/>
      <c r="N32" s="92">
        <f t="shared" si="2"/>
        <v>370.5</v>
      </c>
      <c r="O32" s="18">
        <f>Pensions!AA32</f>
        <v>161500</v>
      </c>
      <c r="P32" s="20">
        <f>Pensions!AB32</f>
        <v>278500</v>
      </c>
      <c r="Q32" s="20">
        <f>Pensions!AC32</f>
        <v>229000</v>
      </c>
      <c r="R32" s="60">
        <f>Pensions!AD32</f>
        <v>346000</v>
      </c>
      <c r="S32" s="18">
        <v>62</v>
      </c>
      <c r="T32" s="60">
        <f>S32+188</f>
        <v>250</v>
      </c>
      <c r="U32" s="58">
        <v>0.5</v>
      </c>
      <c r="V32" s="57">
        <v>0.6</v>
      </c>
      <c r="W32" s="58">
        <v>0.5</v>
      </c>
      <c r="X32" s="57">
        <v>0.6</v>
      </c>
      <c r="Y32" s="57">
        <v>0.6</v>
      </c>
      <c r="Z32" s="662">
        <v>60</v>
      </c>
      <c r="AA32" s="662">
        <v>51</v>
      </c>
      <c r="AB32" s="662">
        <v>6</v>
      </c>
    </row>
    <row r="33" spans="1:28" x14ac:dyDescent="0.25">
      <c r="A33" s="163">
        <v>38980</v>
      </c>
      <c r="B33" s="164">
        <v>39082</v>
      </c>
      <c r="C33" s="17">
        <v>420.90000000000003</v>
      </c>
      <c r="D33" s="35"/>
      <c r="E33" s="93">
        <f t="shared" si="0"/>
        <v>420.90000000000003</v>
      </c>
      <c r="F33" s="17">
        <v>455.3</v>
      </c>
      <c r="G33" s="35"/>
      <c r="H33" s="93">
        <f t="shared" si="4"/>
        <v>455.3</v>
      </c>
      <c r="I33" s="17">
        <v>455.3</v>
      </c>
      <c r="J33" s="35"/>
      <c r="K33" s="17">
        <f t="shared" si="1"/>
        <v>455.3</v>
      </c>
      <c r="L33" s="17">
        <v>379.8</v>
      </c>
      <c r="M33" s="35"/>
      <c r="N33" s="93">
        <f t="shared" si="2"/>
        <v>379.8</v>
      </c>
      <c r="O33" s="17">
        <f>Pensions!AA33</f>
        <v>161500</v>
      </c>
      <c r="P33" s="19">
        <f>Pensions!AB33</f>
        <v>278500</v>
      </c>
      <c r="Q33" s="19">
        <f>Pensions!AC33</f>
        <v>229000</v>
      </c>
      <c r="R33" s="35">
        <f>Pensions!AD33</f>
        <v>346000</v>
      </c>
      <c r="S33" s="17">
        <v>62</v>
      </c>
      <c r="T33" s="35">
        <f t="shared" ref="T33:T62" si="5">S33+188</f>
        <v>250</v>
      </c>
      <c r="U33" s="62">
        <v>0.5</v>
      </c>
      <c r="V33" s="61">
        <v>0.6</v>
      </c>
      <c r="W33" s="62">
        <v>0.5</v>
      </c>
      <c r="X33" s="61">
        <v>0.6</v>
      </c>
      <c r="Y33" s="61">
        <v>0.6</v>
      </c>
      <c r="Z33" s="663">
        <v>60</v>
      </c>
      <c r="AA33" s="663">
        <v>51</v>
      </c>
      <c r="AB33" s="663">
        <v>6</v>
      </c>
    </row>
    <row r="34" spans="1:28" x14ac:dyDescent="0.25">
      <c r="A34" s="163">
        <v>39083</v>
      </c>
      <c r="B34" s="164">
        <v>39160</v>
      </c>
      <c r="C34" s="17">
        <v>420.90000000000003</v>
      </c>
      <c r="D34" s="35"/>
      <c r="E34" s="93">
        <f t="shared" si="0"/>
        <v>420.90000000000003</v>
      </c>
      <c r="F34" s="17">
        <v>455.3</v>
      </c>
      <c r="G34" s="35"/>
      <c r="H34" s="93">
        <f t="shared" si="4"/>
        <v>455.3</v>
      </c>
      <c r="I34" s="17">
        <v>455.3</v>
      </c>
      <c r="J34" s="35"/>
      <c r="K34" s="17">
        <f t="shared" si="1"/>
        <v>455.3</v>
      </c>
      <c r="L34" s="17">
        <v>379.8</v>
      </c>
      <c r="M34" s="35"/>
      <c r="N34" s="93">
        <f t="shared" si="2"/>
        <v>379.8</v>
      </c>
      <c r="O34" s="17">
        <f>Pensions!AA34</f>
        <v>161500</v>
      </c>
      <c r="P34" s="19">
        <f>Pensions!AB34</f>
        <v>278500</v>
      </c>
      <c r="Q34" s="19">
        <f>Pensions!AC34</f>
        <v>229000</v>
      </c>
      <c r="R34" s="35">
        <f>Pensions!AD34</f>
        <v>346000</v>
      </c>
      <c r="S34" s="17">
        <v>62</v>
      </c>
      <c r="T34" s="35">
        <f t="shared" si="5"/>
        <v>250</v>
      </c>
      <c r="U34" s="62">
        <v>0.5</v>
      </c>
      <c r="V34" s="61">
        <v>0.6</v>
      </c>
      <c r="W34" s="62">
        <v>0.5</v>
      </c>
      <c r="X34" s="61">
        <v>0.6</v>
      </c>
      <c r="Y34" s="61">
        <v>0.6</v>
      </c>
      <c r="Z34" s="663">
        <v>60</v>
      </c>
      <c r="AA34" s="663">
        <v>51</v>
      </c>
      <c r="AB34" s="663">
        <v>6</v>
      </c>
    </row>
    <row r="35" spans="1:28" ht="15.75" thickBot="1" x14ac:dyDescent="0.3">
      <c r="A35" s="180">
        <v>39161</v>
      </c>
      <c r="B35" s="181">
        <v>39263</v>
      </c>
      <c r="C35" s="65">
        <v>424.3</v>
      </c>
      <c r="D35" s="69"/>
      <c r="E35" s="94">
        <f t="shared" si="0"/>
        <v>424.3</v>
      </c>
      <c r="F35" s="65">
        <v>458.90000000000003</v>
      </c>
      <c r="G35" s="69"/>
      <c r="H35" s="94">
        <f t="shared" si="4"/>
        <v>458.90000000000003</v>
      </c>
      <c r="I35" s="65">
        <v>458.90000000000003</v>
      </c>
      <c r="J35" s="69"/>
      <c r="K35" s="65">
        <f t="shared" si="1"/>
        <v>458.90000000000003</v>
      </c>
      <c r="L35" s="65">
        <v>382.8</v>
      </c>
      <c r="M35" s="69"/>
      <c r="N35" s="94">
        <f t="shared" si="2"/>
        <v>382.8</v>
      </c>
      <c r="O35" s="65">
        <f>Pensions!AA35</f>
        <v>161500</v>
      </c>
      <c r="P35" s="68">
        <f>Pensions!AB35</f>
        <v>278500</v>
      </c>
      <c r="Q35" s="68">
        <f>Pensions!AC35</f>
        <v>229000</v>
      </c>
      <c r="R35" s="69">
        <f>Pensions!AD35</f>
        <v>346000</v>
      </c>
      <c r="S35" s="65">
        <v>62</v>
      </c>
      <c r="T35" s="69">
        <f t="shared" si="5"/>
        <v>250</v>
      </c>
      <c r="U35" s="67">
        <v>0.5</v>
      </c>
      <c r="V35" s="66">
        <v>0.6</v>
      </c>
      <c r="W35" s="67">
        <v>0.5</v>
      </c>
      <c r="X35" s="66">
        <v>0.6</v>
      </c>
      <c r="Y35" s="66">
        <v>0.6</v>
      </c>
      <c r="Z35" s="664">
        <v>60</v>
      </c>
      <c r="AA35" s="664">
        <v>51</v>
      </c>
      <c r="AB35" s="664">
        <v>6</v>
      </c>
    </row>
    <row r="36" spans="1:28" x14ac:dyDescent="0.25">
      <c r="A36" s="161">
        <v>39264</v>
      </c>
      <c r="B36" s="162">
        <v>39344</v>
      </c>
      <c r="C36" s="18">
        <v>424.3</v>
      </c>
      <c r="D36" s="60"/>
      <c r="E36" s="92">
        <f t="shared" si="0"/>
        <v>424.3</v>
      </c>
      <c r="F36" s="18">
        <v>458.90000000000003</v>
      </c>
      <c r="G36" s="60"/>
      <c r="H36" s="92">
        <f t="shared" si="4"/>
        <v>458.90000000000003</v>
      </c>
      <c r="I36" s="18">
        <v>458.90000000000003</v>
      </c>
      <c r="J36" s="60"/>
      <c r="K36" s="18">
        <f t="shared" si="1"/>
        <v>458.90000000000003</v>
      </c>
      <c r="L36" s="18">
        <v>382.8</v>
      </c>
      <c r="M36" s="60"/>
      <c r="N36" s="92">
        <f t="shared" si="2"/>
        <v>382.8</v>
      </c>
      <c r="O36" s="18">
        <f>Pensions!AA36</f>
        <v>166750</v>
      </c>
      <c r="P36" s="20">
        <f>Pensions!AB36</f>
        <v>287750</v>
      </c>
      <c r="Q36" s="20">
        <f>Pensions!AC36</f>
        <v>236500</v>
      </c>
      <c r="R36" s="60">
        <f>Pensions!AD36</f>
        <v>357500</v>
      </c>
      <c r="S36" s="18">
        <v>62</v>
      </c>
      <c r="T36" s="60">
        <f t="shared" si="5"/>
        <v>250</v>
      </c>
      <c r="U36" s="58">
        <v>0.5</v>
      </c>
      <c r="V36" s="57">
        <v>0.6</v>
      </c>
      <c r="W36" s="58">
        <v>0.5</v>
      </c>
      <c r="X36" s="57">
        <v>0.6</v>
      </c>
      <c r="Y36" s="57">
        <v>0.6</v>
      </c>
      <c r="Z36" s="662">
        <v>60</v>
      </c>
      <c r="AA36" s="662">
        <v>52</v>
      </c>
      <c r="AB36" s="662">
        <v>6</v>
      </c>
    </row>
    <row r="37" spans="1:28" x14ac:dyDescent="0.25">
      <c r="A37" s="163">
        <v>39345</v>
      </c>
      <c r="B37" s="164">
        <v>39447</v>
      </c>
      <c r="C37" s="17">
        <v>429.8</v>
      </c>
      <c r="D37" s="35"/>
      <c r="E37" s="93">
        <f t="shared" si="0"/>
        <v>429.8</v>
      </c>
      <c r="F37" s="17">
        <v>464.90000000000003</v>
      </c>
      <c r="G37" s="35"/>
      <c r="H37" s="93">
        <f t="shared" si="4"/>
        <v>464.90000000000003</v>
      </c>
      <c r="I37" s="17">
        <v>464.90000000000003</v>
      </c>
      <c r="J37" s="35"/>
      <c r="K37" s="17">
        <f t="shared" si="1"/>
        <v>464.90000000000003</v>
      </c>
      <c r="L37" s="17">
        <v>387.8</v>
      </c>
      <c r="M37" s="35"/>
      <c r="N37" s="93">
        <f t="shared" si="2"/>
        <v>387.8</v>
      </c>
      <c r="O37" s="17">
        <f>Pensions!AA37</f>
        <v>166750</v>
      </c>
      <c r="P37" s="19">
        <f>Pensions!AB37</f>
        <v>287750</v>
      </c>
      <c r="Q37" s="19">
        <f>Pensions!AC37</f>
        <v>236500</v>
      </c>
      <c r="R37" s="35">
        <f>Pensions!AD37</f>
        <v>357500</v>
      </c>
      <c r="S37" s="17">
        <v>62</v>
      </c>
      <c r="T37" s="35">
        <f t="shared" si="5"/>
        <v>250</v>
      </c>
      <c r="U37" s="62">
        <v>0.5</v>
      </c>
      <c r="V37" s="61">
        <v>0.6</v>
      </c>
      <c r="W37" s="62">
        <v>0.5</v>
      </c>
      <c r="X37" s="61">
        <v>0.6</v>
      </c>
      <c r="Y37" s="61">
        <v>0.6</v>
      </c>
      <c r="Z37" s="663">
        <v>60</v>
      </c>
      <c r="AA37" s="663">
        <v>52</v>
      </c>
      <c r="AB37" s="663">
        <v>6</v>
      </c>
    </row>
    <row r="38" spans="1:28" x14ac:dyDescent="0.25">
      <c r="A38" s="163">
        <v>39448</v>
      </c>
      <c r="B38" s="164">
        <v>39526</v>
      </c>
      <c r="C38" s="17">
        <v>429.8</v>
      </c>
      <c r="D38" s="35"/>
      <c r="E38" s="93">
        <f t="shared" si="0"/>
        <v>429.8</v>
      </c>
      <c r="F38" s="17">
        <v>464.90000000000003</v>
      </c>
      <c r="G38" s="35"/>
      <c r="H38" s="93">
        <f t="shared" si="4"/>
        <v>464.90000000000003</v>
      </c>
      <c r="I38" s="17">
        <v>464.90000000000003</v>
      </c>
      <c r="J38" s="35"/>
      <c r="K38" s="17">
        <f t="shared" si="1"/>
        <v>464.90000000000003</v>
      </c>
      <c r="L38" s="17">
        <v>387.8</v>
      </c>
      <c r="M38" s="35"/>
      <c r="N38" s="93">
        <f t="shared" si="2"/>
        <v>387.8</v>
      </c>
      <c r="O38" s="17">
        <f>Pensions!AA38</f>
        <v>166750</v>
      </c>
      <c r="P38" s="19">
        <f>Pensions!AB38</f>
        <v>287750</v>
      </c>
      <c r="Q38" s="19">
        <f>Pensions!AC38</f>
        <v>236500</v>
      </c>
      <c r="R38" s="35">
        <f>Pensions!AD38</f>
        <v>357500</v>
      </c>
      <c r="S38" s="17">
        <v>62</v>
      </c>
      <c r="T38" s="35">
        <f t="shared" si="5"/>
        <v>250</v>
      </c>
      <c r="U38" s="62">
        <v>0.5</v>
      </c>
      <c r="V38" s="61">
        <v>0.6</v>
      </c>
      <c r="W38" s="62">
        <v>0.5</v>
      </c>
      <c r="X38" s="61">
        <v>0.6</v>
      </c>
      <c r="Y38" s="61">
        <v>0.6</v>
      </c>
      <c r="Z38" s="663">
        <v>60</v>
      </c>
      <c r="AA38" s="663">
        <v>52</v>
      </c>
      <c r="AB38" s="663">
        <v>6</v>
      </c>
    </row>
    <row r="39" spans="1:28" ht="15.75" thickBot="1" x14ac:dyDescent="0.3">
      <c r="A39" s="180">
        <v>39527</v>
      </c>
      <c r="B39" s="181">
        <v>39629</v>
      </c>
      <c r="C39" s="65">
        <v>437.1</v>
      </c>
      <c r="D39" s="69"/>
      <c r="E39" s="94">
        <f t="shared" si="0"/>
        <v>437.1</v>
      </c>
      <c r="F39" s="65">
        <v>472.8</v>
      </c>
      <c r="G39" s="69"/>
      <c r="H39" s="94">
        <f t="shared" si="4"/>
        <v>472.8</v>
      </c>
      <c r="I39" s="65">
        <v>472.8</v>
      </c>
      <c r="J39" s="69"/>
      <c r="K39" s="65">
        <f t="shared" si="1"/>
        <v>472.8</v>
      </c>
      <c r="L39" s="65">
        <v>394.40000000000003</v>
      </c>
      <c r="M39" s="69"/>
      <c r="N39" s="94">
        <f t="shared" si="2"/>
        <v>394.40000000000003</v>
      </c>
      <c r="O39" s="65">
        <f>Pensions!AA39</f>
        <v>166750</v>
      </c>
      <c r="P39" s="68">
        <f>Pensions!AB39</f>
        <v>287750</v>
      </c>
      <c r="Q39" s="68">
        <f>Pensions!AC39</f>
        <v>236500</v>
      </c>
      <c r="R39" s="69">
        <f>Pensions!AD39</f>
        <v>357500</v>
      </c>
      <c r="S39" s="65">
        <v>62</v>
      </c>
      <c r="T39" s="69">
        <f t="shared" si="5"/>
        <v>250</v>
      </c>
      <c r="U39" s="67">
        <v>0.5</v>
      </c>
      <c r="V39" s="66">
        <v>0.6</v>
      </c>
      <c r="W39" s="67">
        <v>0.5</v>
      </c>
      <c r="X39" s="66">
        <v>0.6</v>
      </c>
      <c r="Y39" s="66">
        <v>0.6</v>
      </c>
      <c r="Z39" s="664">
        <v>60</v>
      </c>
      <c r="AA39" s="664">
        <v>52</v>
      </c>
      <c r="AB39" s="664">
        <v>6</v>
      </c>
    </row>
    <row r="40" spans="1:28" x14ac:dyDescent="0.25">
      <c r="A40" s="161">
        <v>39630</v>
      </c>
      <c r="B40" s="162">
        <v>39710</v>
      </c>
      <c r="C40" s="18">
        <v>437.1</v>
      </c>
      <c r="D40" s="60"/>
      <c r="E40" s="92">
        <f t="shared" si="0"/>
        <v>437.1</v>
      </c>
      <c r="F40" s="18">
        <v>472.8</v>
      </c>
      <c r="G40" s="60"/>
      <c r="H40" s="92">
        <f t="shared" si="4"/>
        <v>472.8</v>
      </c>
      <c r="I40" s="18">
        <v>472.8</v>
      </c>
      <c r="J40" s="60"/>
      <c r="K40" s="18">
        <f t="shared" si="1"/>
        <v>472.8</v>
      </c>
      <c r="L40" s="18">
        <v>394.40000000000003</v>
      </c>
      <c r="M40" s="60"/>
      <c r="N40" s="92">
        <f t="shared" si="2"/>
        <v>394.40000000000003</v>
      </c>
      <c r="O40" s="18">
        <f>Pensions!AA40</f>
        <v>171750</v>
      </c>
      <c r="P40" s="20">
        <f>Pensions!AB40</f>
        <v>296250</v>
      </c>
      <c r="Q40" s="20">
        <f>Pensions!AC40</f>
        <v>243500</v>
      </c>
      <c r="R40" s="60">
        <f>Pensions!AD40</f>
        <v>368000</v>
      </c>
      <c r="S40" s="18">
        <v>62</v>
      </c>
      <c r="T40" s="60">
        <f t="shared" si="5"/>
        <v>250</v>
      </c>
      <c r="U40" s="58">
        <v>0.5</v>
      </c>
      <c r="V40" s="57">
        <v>0.6</v>
      </c>
      <c r="W40" s="58">
        <v>0.5</v>
      </c>
      <c r="X40" s="57">
        <v>0.6</v>
      </c>
      <c r="Y40" s="57">
        <v>0.6</v>
      </c>
      <c r="Z40" s="662">
        <v>60</v>
      </c>
      <c r="AA40" s="662">
        <v>53</v>
      </c>
      <c r="AB40" s="662">
        <v>6</v>
      </c>
    </row>
    <row r="41" spans="1:28" x14ac:dyDescent="0.25">
      <c r="A41" s="163">
        <v>39711</v>
      </c>
      <c r="B41" s="164">
        <v>39813</v>
      </c>
      <c r="C41" s="17">
        <v>449.3</v>
      </c>
      <c r="D41" s="35"/>
      <c r="E41" s="93">
        <f t="shared" si="0"/>
        <v>449.3</v>
      </c>
      <c r="F41" s="17">
        <v>486</v>
      </c>
      <c r="G41" s="35"/>
      <c r="H41" s="93">
        <f t="shared" si="4"/>
        <v>486</v>
      </c>
      <c r="I41" s="17">
        <v>486</v>
      </c>
      <c r="J41" s="35"/>
      <c r="K41" s="17">
        <f t="shared" si="1"/>
        <v>486</v>
      </c>
      <c r="L41" s="17">
        <v>405.40000000000003</v>
      </c>
      <c r="M41" s="35"/>
      <c r="N41" s="93">
        <f t="shared" si="2"/>
        <v>405.40000000000003</v>
      </c>
      <c r="O41" s="17">
        <f>Pensions!AA41</f>
        <v>171750</v>
      </c>
      <c r="P41" s="19">
        <f>Pensions!AB41</f>
        <v>296250</v>
      </c>
      <c r="Q41" s="19">
        <f>Pensions!AC41</f>
        <v>243500</v>
      </c>
      <c r="R41" s="35">
        <f>Pensions!AD41</f>
        <v>368000</v>
      </c>
      <c r="S41" s="17">
        <v>62</v>
      </c>
      <c r="T41" s="35">
        <f t="shared" si="5"/>
        <v>250</v>
      </c>
      <c r="U41" s="62">
        <v>0.5</v>
      </c>
      <c r="V41" s="61">
        <v>0.6</v>
      </c>
      <c r="W41" s="62">
        <v>0.5</v>
      </c>
      <c r="X41" s="61">
        <v>0.6</v>
      </c>
      <c r="Y41" s="61">
        <v>0.6</v>
      </c>
      <c r="Z41" s="663"/>
      <c r="AA41" s="663">
        <v>53</v>
      </c>
      <c r="AB41" s="663">
        <v>6</v>
      </c>
    </row>
    <row r="42" spans="1:28" x14ac:dyDescent="0.25">
      <c r="A42" s="163">
        <v>39814</v>
      </c>
      <c r="B42" s="164">
        <v>39891</v>
      </c>
      <c r="C42" s="17">
        <v>449.3</v>
      </c>
      <c r="D42" s="35"/>
      <c r="E42" s="93">
        <f t="shared" si="0"/>
        <v>449.3</v>
      </c>
      <c r="F42" s="17">
        <v>486</v>
      </c>
      <c r="G42" s="35"/>
      <c r="H42" s="93">
        <f t="shared" si="4"/>
        <v>486</v>
      </c>
      <c r="I42" s="17">
        <v>486</v>
      </c>
      <c r="J42" s="35"/>
      <c r="K42" s="17">
        <f t="shared" si="1"/>
        <v>486</v>
      </c>
      <c r="L42" s="17">
        <v>405.40000000000003</v>
      </c>
      <c r="M42" s="35"/>
      <c r="N42" s="93">
        <f t="shared" si="2"/>
        <v>405.40000000000003</v>
      </c>
      <c r="O42" s="17">
        <f>Pensions!AA42</f>
        <v>171750</v>
      </c>
      <c r="P42" s="19">
        <f>Pensions!AB42</f>
        <v>296250</v>
      </c>
      <c r="Q42" s="19">
        <f>Pensions!AC42</f>
        <v>243500</v>
      </c>
      <c r="R42" s="35">
        <f>Pensions!AD42</f>
        <v>368000</v>
      </c>
      <c r="S42" s="17">
        <v>62</v>
      </c>
      <c r="T42" s="35">
        <f t="shared" si="5"/>
        <v>250</v>
      </c>
      <c r="U42" s="62">
        <v>0.5</v>
      </c>
      <c r="V42" s="61">
        <v>0.6</v>
      </c>
      <c r="W42" s="62">
        <v>0.5</v>
      </c>
      <c r="X42" s="61">
        <v>0.6</v>
      </c>
      <c r="Y42" s="61">
        <v>0.6</v>
      </c>
      <c r="Z42" s="663"/>
      <c r="AA42" s="663">
        <v>53</v>
      </c>
      <c r="AB42" s="663">
        <v>6</v>
      </c>
    </row>
    <row r="43" spans="1:28" ht="15.75" thickBot="1" x14ac:dyDescent="0.3">
      <c r="A43" s="180">
        <v>39892</v>
      </c>
      <c r="B43" s="181">
        <v>39994</v>
      </c>
      <c r="C43" s="65">
        <v>453.3</v>
      </c>
      <c r="D43" s="69"/>
      <c r="E43" s="94">
        <f t="shared" si="0"/>
        <v>453.3</v>
      </c>
      <c r="F43" s="65">
        <v>490.40000000000003</v>
      </c>
      <c r="G43" s="69"/>
      <c r="H43" s="94">
        <f t="shared" si="4"/>
        <v>490.40000000000003</v>
      </c>
      <c r="I43" s="65">
        <v>490.40000000000003</v>
      </c>
      <c r="J43" s="69"/>
      <c r="K43" s="65">
        <f t="shared" si="1"/>
        <v>490.40000000000003</v>
      </c>
      <c r="L43" s="65">
        <v>409</v>
      </c>
      <c r="M43" s="69"/>
      <c r="N43" s="94">
        <f t="shared" si="2"/>
        <v>409</v>
      </c>
      <c r="O43" s="65">
        <f>Pensions!AA43</f>
        <v>171750</v>
      </c>
      <c r="P43" s="68">
        <f>Pensions!AB43</f>
        <v>296250</v>
      </c>
      <c r="Q43" s="68">
        <f>Pensions!AC43</f>
        <v>243500</v>
      </c>
      <c r="R43" s="69">
        <f>Pensions!AD43</f>
        <v>368000</v>
      </c>
      <c r="S43" s="65">
        <v>62</v>
      </c>
      <c r="T43" s="69">
        <f t="shared" si="5"/>
        <v>250</v>
      </c>
      <c r="U43" s="67">
        <v>0.5</v>
      </c>
      <c r="V43" s="66">
        <v>0.6</v>
      </c>
      <c r="W43" s="67">
        <v>0.5</v>
      </c>
      <c r="X43" s="66">
        <v>0.6</v>
      </c>
      <c r="Y43" s="66">
        <v>0.6</v>
      </c>
      <c r="Z43" s="664"/>
      <c r="AA43" s="664">
        <v>53</v>
      </c>
      <c r="AB43" s="664">
        <v>6</v>
      </c>
    </row>
    <row r="44" spans="1:28" x14ac:dyDescent="0.25">
      <c r="A44" s="161">
        <v>39995</v>
      </c>
      <c r="B44" s="162">
        <v>40075</v>
      </c>
      <c r="C44" s="18">
        <v>453.3</v>
      </c>
      <c r="D44" s="60"/>
      <c r="E44" s="92">
        <f t="shared" si="0"/>
        <v>453.3</v>
      </c>
      <c r="F44" s="18">
        <v>490.40000000000003</v>
      </c>
      <c r="G44" s="60"/>
      <c r="H44" s="92">
        <f t="shared" si="4"/>
        <v>490.40000000000003</v>
      </c>
      <c r="I44" s="18">
        <v>490.40000000000003</v>
      </c>
      <c r="J44" s="60"/>
      <c r="K44" s="18">
        <f t="shared" si="1"/>
        <v>490.40000000000003</v>
      </c>
      <c r="L44" s="18">
        <v>409</v>
      </c>
      <c r="M44" s="60"/>
      <c r="N44" s="92">
        <f t="shared" si="2"/>
        <v>409</v>
      </c>
      <c r="O44" s="18">
        <f>Pensions!AA44</f>
        <v>178000</v>
      </c>
      <c r="P44" s="20">
        <f>Pensions!AB44</f>
        <v>307000</v>
      </c>
      <c r="Q44" s="20">
        <f>Pensions!AC44</f>
        <v>252500</v>
      </c>
      <c r="R44" s="60">
        <f>Pensions!AD44</f>
        <v>381500</v>
      </c>
      <c r="S44" s="18">
        <v>62</v>
      </c>
      <c r="T44" s="60">
        <f t="shared" si="5"/>
        <v>250</v>
      </c>
      <c r="U44" s="58">
        <v>0.5</v>
      </c>
      <c r="V44" s="57">
        <v>0.6</v>
      </c>
      <c r="W44" s="58">
        <v>0.5</v>
      </c>
      <c r="X44" s="57">
        <v>0.6</v>
      </c>
      <c r="Y44" s="57">
        <v>0.6</v>
      </c>
      <c r="Z44" s="662"/>
      <c r="AA44" s="662">
        <v>54</v>
      </c>
      <c r="AB44" s="662">
        <v>6</v>
      </c>
    </row>
    <row r="45" spans="1:28" x14ac:dyDescent="0.25">
      <c r="A45" s="163">
        <v>40076</v>
      </c>
      <c r="B45" s="164">
        <v>40178</v>
      </c>
      <c r="C45" s="17">
        <v>456</v>
      </c>
      <c r="D45" s="35"/>
      <c r="E45" s="93">
        <f t="shared" si="0"/>
        <v>456</v>
      </c>
      <c r="F45" s="17">
        <v>493.3</v>
      </c>
      <c r="G45" s="35"/>
      <c r="H45" s="93">
        <f t="shared" si="4"/>
        <v>493.3</v>
      </c>
      <c r="I45" s="17">
        <v>493.3</v>
      </c>
      <c r="J45" s="35"/>
      <c r="K45" s="17">
        <f t="shared" si="1"/>
        <v>493.3</v>
      </c>
      <c r="L45" s="17">
        <v>411.5</v>
      </c>
      <c r="M45" s="35"/>
      <c r="N45" s="93">
        <f t="shared" si="2"/>
        <v>411.5</v>
      </c>
      <c r="O45" s="17">
        <f>Pensions!AA45</f>
        <v>178000</v>
      </c>
      <c r="P45" s="19">
        <f>Pensions!AB45</f>
        <v>307000</v>
      </c>
      <c r="Q45" s="19">
        <f>Pensions!AC45</f>
        <v>252500</v>
      </c>
      <c r="R45" s="35">
        <f>Pensions!AD45</f>
        <v>381500</v>
      </c>
      <c r="S45" s="17">
        <v>62</v>
      </c>
      <c r="T45" s="35">
        <f t="shared" si="5"/>
        <v>250</v>
      </c>
      <c r="U45" s="62">
        <v>0.5</v>
      </c>
      <c r="V45" s="61">
        <v>0.6</v>
      </c>
      <c r="W45" s="62">
        <v>0.5</v>
      </c>
      <c r="X45" s="61">
        <v>0.6</v>
      </c>
      <c r="Y45" s="61">
        <v>0.6</v>
      </c>
      <c r="Z45" s="663"/>
      <c r="AA45" s="663">
        <v>54</v>
      </c>
      <c r="AB45" s="663">
        <v>6</v>
      </c>
    </row>
    <row r="46" spans="1:28" x14ac:dyDescent="0.25">
      <c r="A46" s="163">
        <v>40179</v>
      </c>
      <c r="B46" s="164">
        <v>40256</v>
      </c>
      <c r="C46" s="17">
        <v>456</v>
      </c>
      <c r="D46" s="35"/>
      <c r="E46" s="93">
        <f t="shared" si="0"/>
        <v>456</v>
      </c>
      <c r="F46" s="17">
        <v>493.3</v>
      </c>
      <c r="G46" s="35"/>
      <c r="H46" s="93">
        <f t="shared" si="4"/>
        <v>493.3</v>
      </c>
      <c r="I46" s="17">
        <v>493.3</v>
      </c>
      <c r="J46" s="35"/>
      <c r="K46" s="17">
        <f t="shared" si="1"/>
        <v>493.3</v>
      </c>
      <c r="L46" s="17">
        <v>411.5</v>
      </c>
      <c r="M46" s="35"/>
      <c r="N46" s="93">
        <f t="shared" si="2"/>
        <v>411.5</v>
      </c>
      <c r="O46" s="17">
        <f>Pensions!AA46</f>
        <v>178000</v>
      </c>
      <c r="P46" s="19">
        <f>Pensions!AB46</f>
        <v>307000</v>
      </c>
      <c r="Q46" s="19">
        <f>Pensions!AC46</f>
        <v>252500</v>
      </c>
      <c r="R46" s="35">
        <f>Pensions!AD46</f>
        <v>381500</v>
      </c>
      <c r="S46" s="17">
        <v>62</v>
      </c>
      <c r="T46" s="35">
        <f t="shared" si="5"/>
        <v>250</v>
      </c>
      <c r="U46" s="62">
        <v>0.5</v>
      </c>
      <c r="V46" s="61">
        <v>0.6</v>
      </c>
      <c r="W46" s="62">
        <v>0.5</v>
      </c>
      <c r="X46" s="61">
        <v>0.6</v>
      </c>
      <c r="Y46" s="61">
        <v>0.6</v>
      </c>
      <c r="Z46" s="663"/>
      <c r="AA46" s="663">
        <v>54</v>
      </c>
      <c r="AB46" s="663">
        <v>6</v>
      </c>
    </row>
    <row r="47" spans="1:28" ht="15.75" thickBot="1" x14ac:dyDescent="0.3">
      <c r="A47" s="180">
        <v>40257</v>
      </c>
      <c r="B47" s="181">
        <v>40359</v>
      </c>
      <c r="C47" s="65">
        <v>462.8</v>
      </c>
      <c r="D47" s="69"/>
      <c r="E47" s="94">
        <f t="shared" si="0"/>
        <v>462.8</v>
      </c>
      <c r="F47" s="65">
        <v>500.70000000000005</v>
      </c>
      <c r="G47" s="69"/>
      <c r="H47" s="94">
        <f t="shared" si="4"/>
        <v>500.70000000000005</v>
      </c>
      <c r="I47" s="65">
        <v>500.70000000000005</v>
      </c>
      <c r="J47" s="69"/>
      <c r="K47" s="65">
        <f t="shared" si="1"/>
        <v>500.70000000000005</v>
      </c>
      <c r="L47" s="65">
        <v>417.70000000000005</v>
      </c>
      <c r="M47" s="69"/>
      <c r="N47" s="94">
        <f t="shared" si="2"/>
        <v>417.70000000000005</v>
      </c>
      <c r="O47" s="65">
        <f>Pensions!AA47</f>
        <v>178000</v>
      </c>
      <c r="P47" s="68">
        <f>Pensions!AB47</f>
        <v>307000</v>
      </c>
      <c r="Q47" s="68">
        <f>Pensions!AC47</f>
        <v>252500</v>
      </c>
      <c r="R47" s="69">
        <f>Pensions!AD47</f>
        <v>381500</v>
      </c>
      <c r="S47" s="65">
        <v>62</v>
      </c>
      <c r="T47" s="69">
        <f t="shared" si="5"/>
        <v>250</v>
      </c>
      <c r="U47" s="67">
        <v>0.5</v>
      </c>
      <c r="V47" s="66">
        <v>0.6</v>
      </c>
      <c r="W47" s="67">
        <v>0.5</v>
      </c>
      <c r="X47" s="66">
        <v>0.6</v>
      </c>
      <c r="Y47" s="66">
        <v>0.6</v>
      </c>
      <c r="Z47" s="664"/>
      <c r="AA47" s="664">
        <v>54</v>
      </c>
      <c r="AB47" s="664">
        <v>6</v>
      </c>
    </row>
    <row r="48" spans="1:28" x14ac:dyDescent="0.25">
      <c r="A48" s="161">
        <v>40360</v>
      </c>
      <c r="B48" s="162">
        <v>40440</v>
      </c>
      <c r="C48" s="18">
        <v>462.8</v>
      </c>
      <c r="D48" s="60"/>
      <c r="E48" s="92">
        <f t="shared" si="0"/>
        <v>462.8</v>
      </c>
      <c r="F48" s="18">
        <v>500.70000000000005</v>
      </c>
      <c r="G48" s="60"/>
      <c r="H48" s="92">
        <f t="shared" si="4"/>
        <v>500.70000000000005</v>
      </c>
      <c r="I48" s="18">
        <v>500.70000000000005</v>
      </c>
      <c r="J48" s="60"/>
      <c r="K48" s="18">
        <f t="shared" si="1"/>
        <v>500.70000000000005</v>
      </c>
      <c r="L48" s="18">
        <v>417.70000000000005</v>
      </c>
      <c r="M48" s="60"/>
      <c r="N48" s="92">
        <f t="shared" si="2"/>
        <v>417.70000000000005</v>
      </c>
      <c r="O48" s="18">
        <f>Pensions!AA48</f>
        <v>181750</v>
      </c>
      <c r="P48" s="20">
        <f>Pensions!AB48</f>
        <v>313250</v>
      </c>
      <c r="Q48" s="20">
        <f>Pensions!AC48</f>
        <v>258000</v>
      </c>
      <c r="R48" s="60">
        <f>Pensions!AD48</f>
        <v>389500</v>
      </c>
      <c r="S48" s="18">
        <v>62</v>
      </c>
      <c r="T48" s="60">
        <f t="shared" si="5"/>
        <v>250</v>
      </c>
      <c r="U48" s="58">
        <v>0.5</v>
      </c>
      <c r="V48" s="57">
        <v>0.6</v>
      </c>
      <c r="W48" s="58">
        <v>0.5</v>
      </c>
      <c r="X48" s="57">
        <v>0.6</v>
      </c>
      <c r="Y48" s="57">
        <v>0.6</v>
      </c>
      <c r="Z48" s="662"/>
      <c r="AA48" s="662">
        <v>55</v>
      </c>
      <c r="AB48" s="662">
        <v>6</v>
      </c>
    </row>
    <row r="49" spans="1:28" x14ac:dyDescent="0.25">
      <c r="A49" s="163">
        <v>40441</v>
      </c>
      <c r="B49" s="164">
        <v>40543</v>
      </c>
      <c r="C49" s="17">
        <v>469.70000000000005</v>
      </c>
      <c r="D49" s="35"/>
      <c r="E49" s="93">
        <f t="shared" si="0"/>
        <v>469.70000000000005</v>
      </c>
      <c r="F49" s="17">
        <v>508.20000000000005</v>
      </c>
      <c r="G49" s="35"/>
      <c r="H49" s="93">
        <f t="shared" si="4"/>
        <v>508.20000000000005</v>
      </c>
      <c r="I49" s="17">
        <v>508.20000000000005</v>
      </c>
      <c r="J49" s="35"/>
      <c r="K49" s="17">
        <f t="shared" si="1"/>
        <v>508.20000000000005</v>
      </c>
      <c r="L49" s="17">
        <v>424</v>
      </c>
      <c r="M49" s="35"/>
      <c r="N49" s="93">
        <f t="shared" si="2"/>
        <v>424</v>
      </c>
      <c r="O49" s="17">
        <f>Pensions!AA49</f>
        <v>181750</v>
      </c>
      <c r="P49" s="19">
        <f>Pensions!AB49</f>
        <v>313250</v>
      </c>
      <c r="Q49" s="19">
        <f>Pensions!AC49</f>
        <v>258000</v>
      </c>
      <c r="R49" s="35">
        <f>Pensions!AD49</f>
        <v>389500</v>
      </c>
      <c r="S49" s="17">
        <v>62</v>
      </c>
      <c r="T49" s="35">
        <f t="shared" si="5"/>
        <v>250</v>
      </c>
      <c r="U49" s="62">
        <v>0.5</v>
      </c>
      <c r="V49" s="61">
        <v>0.6</v>
      </c>
      <c r="W49" s="62">
        <v>0.5</v>
      </c>
      <c r="X49" s="61">
        <v>0.6</v>
      </c>
      <c r="Y49" s="61">
        <v>0.6</v>
      </c>
      <c r="Z49" s="663"/>
      <c r="AA49" s="663">
        <v>55</v>
      </c>
      <c r="AB49" s="663">
        <v>6</v>
      </c>
    </row>
    <row r="50" spans="1:28" x14ac:dyDescent="0.25">
      <c r="A50" s="163">
        <v>40544</v>
      </c>
      <c r="B50" s="164">
        <v>40621</v>
      </c>
      <c r="C50" s="17">
        <v>469.70000000000005</v>
      </c>
      <c r="D50" s="35"/>
      <c r="E50" s="93">
        <f t="shared" si="0"/>
        <v>469.70000000000005</v>
      </c>
      <c r="F50" s="17">
        <v>508.20000000000005</v>
      </c>
      <c r="G50" s="35"/>
      <c r="H50" s="93">
        <f t="shared" si="4"/>
        <v>508.20000000000005</v>
      </c>
      <c r="I50" s="17">
        <v>508.20000000000005</v>
      </c>
      <c r="J50" s="35"/>
      <c r="K50" s="17">
        <f t="shared" si="1"/>
        <v>508.20000000000005</v>
      </c>
      <c r="L50" s="17">
        <v>424</v>
      </c>
      <c r="M50" s="35"/>
      <c r="N50" s="93">
        <f t="shared" si="2"/>
        <v>424</v>
      </c>
      <c r="O50" s="17">
        <f>Pensions!AA50</f>
        <v>181750</v>
      </c>
      <c r="P50" s="19">
        <f>Pensions!AB50</f>
        <v>313250</v>
      </c>
      <c r="Q50" s="19">
        <f>Pensions!AC50</f>
        <v>258000</v>
      </c>
      <c r="R50" s="35">
        <f>Pensions!AD50</f>
        <v>389500</v>
      </c>
      <c r="S50" s="17">
        <v>62</v>
      </c>
      <c r="T50" s="35">
        <f t="shared" si="5"/>
        <v>250</v>
      </c>
      <c r="U50" s="62">
        <v>0.5</v>
      </c>
      <c r="V50" s="61">
        <v>0.6</v>
      </c>
      <c r="W50" s="62">
        <v>0.5</v>
      </c>
      <c r="X50" s="61">
        <v>0.6</v>
      </c>
      <c r="Y50" s="61">
        <v>0.6</v>
      </c>
      <c r="Z50" s="663"/>
      <c r="AA50" s="663">
        <v>55</v>
      </c>
      <c r="AB50" s="663">
        <v>6</v>
      </c>
    </row>
    <row r="51" spans="1:28" ht="15.75" thickBot="1" x14ac:dyDescent="0.3">
      <c r="A51" s="180">
        <v>40622</v>
      </c>
      <c r="B51" s="181">
        <v>40724</v>
      </c>
      <c r="C51" s="65">
        <v>474.90000000000003</v>
      </c>
      <c r="D51" s="69"/>
      <c r="E51" s="94">
        <f t="shared" si="0"/>
        <v>474.90000000000003</v>
      </c>
      <c r="F51" s="65">
        <v>513.80000000000007</v>
      </c>
      <c r="G51" s="69"/>
      <c r="H51" s="94">
        <f t="shared" si="4"/>
        <v>513.80000000000007</v>
      </c>
      <c r="I51" s="65">
        <v>513.80000000000007</v>
      </c>
      <c r="J51" s="69"/>
      <c r="K51" s="65">
        <f t="shared" si="1"/>
        <v>513.80000000000007</v>
      </c>
      <c r="L51" s="65">
        <v>428.70000000000005</v>
      </c>
      <c r="M51" s="69"/>
      <c r="N51" s="94">
        <f t="shared" si="2"/>
        <v>428.70000000000005</v>
      </c>
      <c r="O51" s="65">
        <f>Pensions!AA51</f>
        <v>181750</v>
      </c>
      <c r="P51" s="68">
        <f>Pensions!AB51</f>
        <v>313250</v>
      </c>
      <c r="Q51" s="68">
        <f>Pensions!AC51</f>
        <v>258000</v>
      </c>
      <c r="R51" s="69">
        <f>Pensions!AD51</f>
        <v>389500</v>
      </c>
      <c r="S51" s="65">
        <v>62</v>
      </c>
      <c r="T51" s="69">
        <f t="shared" si="5"/>
        <v>250</v>
      </c>
      <c r="U51" s="67">
        <v>0.5</v>
      </c>
      <c r="V51" s="66">
        <v>0.6</v>
      </c>
      <c r="W51" s="67">
        <v>0.5</v>
      </c>
      <c r="X51" s="66">
        <v>0.6</v>
      </c>
      <c r="Y51" s="66">
        <v>0.6</v>
      </c>
      <c r="Z51" s="664"/>
      <c r="AA51" s="664">
        <v>55</v>
      </c>
      <c r="AB51" s="664">
        <v>6</v>
      </c>
    </row>
    <row r="52" spans="1:28" x14ac:dyDescent="0.25">
      <c r="A52" s="161">
        <v>40725</v>
      </c>
      <c r="B52" s="162">
        <v>40805</v>
      </c>
      <c r="C52" s="18">
        <v>474.90000000000003</v>
      </c>
      <c r="D52" s="60"/>
      <c r="E52" s="92">
        <f t="shared" si="0"/>
        <v>474.90000000000003</v>
      </c>
      <c r="F52" s="18">
        <v>513.80000000000007</v>
      </c>
      <c r="G52" s="60"/>
      <c r="H52" s="92">
        <f t="shared" si="4"/>
        <v>513.80000000000007</v>
      </c>
      <c r="I52" s="18">
        <v>513.80000000000007</v>
      </c>
      <c r="J52" s="60"/>
      <c r="K52" s="18">
        <f t="shared" si="1"/>
        <v>513.80000000000007</v>
      </c>
      <c r="L52" s="18">
        <v>428.70000000000005</v>
      </c>
      <c r="M52" s="60"/>
      <c r="N52" s="92">
        <f t="shared" si="2"/>
        <v>428.70000000000005</v>
      </c>
      <c r="O52" s="18">
        <f>Pensions!AA52</f>
        <v>186750</v>
      </c>
      <c r="P52" s="20">
        <f>Pensions!AB52</f>
        <v>321750</v>
      </c>
      <c r="Q52" s="20">
        <f>Pensions!AC52</f>
        <v>265000</v>
      </c>
      <c r="R52" s="60">
        <f>Pensions!AD52</f>
        <v>400000</v>
      </c>
      <c r="S52" s="18">
        <v>62</v>
      </c>
      <c r="T52" s="60">
        <f t="shared" si="5"/>
        <v>250</v>
      </c>
      <c r="U52" s="58">
        <v>0.5</v>
      </c>
      <c r="V52" s="57">
        <v>0.6</v>
      </c>
      <c r="W52" s="58">
        <v>0.5</v>
      </c>
      <c r="X52" s="57">
        <v>0.6</v>
      </c>
      <c r="Y52" s="57">
        <v>0.6</v>
      </c>
      <c r="Z52" s="662"/>
      <c r="AA52" s="662">
        <v>56</v>
      </c>
      <c r="AB52" s="662">
        <v>6</v>
      </c>
    </row>
    <row r="53" spans="1:28" x14ac:dyDescent="0.25">
      <c r="A53" s="163">
        <v>40806</v>
      </c>
      <c r="B53" s="164">
        <v>40908</v>
      </c>
      <c r="C53" s="17">
        <v>486.8</v>
      </c>
      <c r="D53" s="35"/>
      <c r="E53" s="93">
        <f t="shared" si="0"/>
        <v>486.8</v>
      </c>
      <c r="F53" s="17">
        <v>526.6</v>
      </c>
      <c r="G53" s="35"/>
      <c r="H53" s="93">
        <f t="shared" si="4"/>
        <v>526.6</v>
      </c>
      <c r="I53" s="17">
        <v>526.6</v>
      </c>
      <c r="J53" s="35"/>
      <c r="K53" s="17">
        <f t="shared" si="1"/>
        <v>526.6</v>
      </c>
      <c r="L53" s="17">
        <v>439.40000000000003</v>
      </c>
      <c r="M53" s="35"/>
      <c r="N53" s="93">
        <f t="shared" si="2"/>
        <v>439.40000000000003</v>
      </c>
      <c r="O53" s="17">
        <f>Pensions!AA53</f>
        <v>186750</v>
      </c>
      <c r="P53" s="19">
        <f>Pensions!AB53</f>
        <v>321750</v>
      </c>
      <c r="Q53" s="19">
        <f>Pensions!AC53</f>
        <v>265000</v>
      </c>
      <c r="R53" s="35">
        <f>Pensions!AD53</f>
        <v>400000</v>
      </c>
      <c r="S53" s="17">
        <v>62</v>
      </c>
      <c r="T53" s="35">
        <f t="shared" si="5"/>
        <v>250</v>
      </c>
      <c r="U53" s="62">
        <v>0.5</v>
      </c>
      <c r="V53" s="61">
        <v>0.6</v>
      </c>
      <c r="W53" s="62">
        <v>0.5</v>
      </c>
      <c r="X53" s="61">
        <v>0.6</v>
      </c>
      <c r="Y53" s="61">
        <v>0.6</v>
      </c>
      <c r="Z53" s="663"/>
      <c r="AA53" s="663">
        <v>56</v>
      </c>
      <c r="AB53" s="663">
        <v>6</v>
      </c>
    </row>
    <row r="54" spans="1:28" x14ac:dyDescent="0.25">
      <c r="A54" s="163">
        <v>40909</v>
      </c>
      <c r="B54" s="164">
        <v>40987</v>
      </c>
      <c r="C54" s="17">
        <v>486.8</v>
      </c>
      <c r="D54" s="35"/>
      <c r="E54" s="93">
        <f t="shared" si="0"/>
        <v>486.8</v>
      </c>
      <c r="F54" s="17">
        <v>526.6</v>
      </c>
      <c r="G54" s="35"/>
      <c r="H54" s="93">
        <f t="shared" si="4"/>
        <v>526.6</v>
      </c>
      <c r="I54" s="17">
        <v>526.6</v>
      </c>
      <c r="J54" s="35"/>
      <c r="K54" s="17">
        <f t="shared" si="1"/>
        <v>526.6</v>
      </c>
      <c r="L54" s="17">
        <v>439.40000000000003</v>
      </c>
      <c r="M54" s="35"/>
      <c r="N54" s="93">
        <f t="shared" si="2"/>
        <v>439.40000000000003</v>
      </c>
      <c r="O54" s="17">
        <f>Pensions!AA54</f>
        <v>186750</v>
      </c>
      <c r="P54" s="19">
        <f>Pensions!AB54</f>
        <v>321750</v>
      </c>
      <c r="Q54" s="19">
        <f>Pensions!AC54</f>
        <v>265000</v>
      </c>
      <c r="R54" s="35">
        <f>Pensions!AD54</f>
        <v>400000</v>
      </c>
      <c r="S54" s="17">
        <v>62</v>
      </c>
      <c r="T54" s="35">
        <f t="shared" si="5"/>
        <v>250</v>
      </c>
      <c r="U54" s="62">
        <v>0.5</v>
      </c>
      <c r="V54" s="61">
        <v>0.6</v>
      </c>
      <c r="W54" s="62">
        <v>0.5</v>
      </c>
      <c r="X54" s="61">
        <v>0.6</v>
      </c>
      <c r="Y54" s="61">
        <v>0.6</v>
      </c>
      <c r="Z54" s="663"/>
      <c r="AA54" s="663">
        <v>56</v>
      </c>
      <c r="AB54" s="663">
        <v>6</v>
      </c>
    </row>
    <row r="55" spans="1:28" ht="15.75" thickBot="1" x14ac:dyDescent="0.3">
      <c r="A55" s="180">
        <v>40988</v>
      </c>
      <c r="B55" s="181">
        <v>41090</v>
      </c>
      <c r="C55" s="65">
        <v>489.70000000000005</v>
      </c>
      <c r="D55" s="69"/>
      <c r="E55" s="94">
        <f t="shared" si="0"/>
        <v>489.70000000000005</v>
      </c>
      <c r="F55" s="65">
        <v>529.80000000000007</v>
      </c>
      <c r="G55" s="69"/>
      <c r="H55" s="94">
        <f t="shared" si="4"/>
        <v>529.80000000000007</v>
      </c>
      <c r="I55" s="65">
        <v>529.80000000000007</v>
      </c>
      <c r="J55" s="69"/>
      <c r="K55" s="65">
        <f t="shared" si="1"/>
        <v>529.80000000000007</v>
      </c>
      <c r="L55" s="65">
        <v>442</v>
      </c>
      <c r="M55" s="69"/>
      <c r="N55" s="94">
        <f t="shared" si="2"/>
        <v>442</v>
      </c>
      <c r="O55" s="65">
        <f>Pensions!AA55</f>
        <v>186750</v>
      </c>
      <c r="P55" s="68">
        <f>Pensions!AB55</f>
        <v>321750</v>
      </c>
      <c r="Q55" s="68">
        <f>Pensions!AC55</f>
        <v>265000</v>
      </c>
      <c r="R55" s="69">
        <f>Pensions!AD55</f>
        <v>400000</v>
      </c>
      <c r="S55" s="65">
        <v>62</v>
      </c>
      <c r="T55" s="69">
        <f t="shared" si="5"/>
        <v>250</v>
      </c>
      <c r="U55" s="67">
        <v>0.5</v>
      </c>
      <c r="V55" s="66">
        <v>0.6</v>
      </c>
      <c r="W55" s="67">
        <v>0.5</v>
      </c>
      <c r="X55" s="66">
        <v>0.6</v>
      </c>
      <c r="Y55" s="66">
        <v>0.6</v>
      </c>
      <c r="Z55" s="664"/>
      <c r="AA55" s="664">
        <v>56</v>
      </c>
      <c r="AB55" s="664">
        <v>6</v>
      </c>
    </row>
    <row r="56" spans="1:28" x14ac:dyDescent="0.25">
      <c r="A56" s="161">
        <v>41091</v>
      </c>
      <c r="B56" s="162">
        <v>41171</v>
      </c>
      <c r="C56" s="18">
        <v>489.70000000000005</v>
      </c>
      <c r="D56" s="60"/>
      <c r="E56" s="92">
        <f t="shared" si="0"/>
        <v>489.70000000000005</v>
      </c>
      <c r="F56" s="18">
        <v>529.80000000000007</v>
      </c>
      <c r="G56" s="60"/>
      <c r="H56" s="92">
        <f t="shared" si="4"/>
        <v>529.80000000000007</v>
      </c>
      <c r="I56" s="18">
        <v>529.80000000000007</v>
      </c>
      <c r="J56" s="60"/>
      <c r="K56" s="18">
        <f t="shared" si="1"/>
        <v>529.80000000000007</v>
      </c>
      <c r="L56" s="18">
        <v>442</v>
      </c>
      <c r="M56" s="60"/>
      <c r="N56" s="92">
        <f t="shared" si="2"/>
        <v>442</v>
      </c>
      <c r="O56" s="18">
        <f>Pensions!AA56</f>
        <v>192500</v>
      </c>
      <c r="P56" s="20">
        <f>Pensions!AB56</f>
        <v>332000</v>
      </c>
      <c r="Q56" s="20">
        <f>Pensions!AC56</f>
        <v>273000</v>
      </c>
      <c r="R56" s="60">
        <f>Pensions!AD56</f>
        <v>412500</v>
      </c>
      <c r="S56" s="18">
        <v>62</v>
      </c>
      <c r="T56" s="60">
        <f t="shared" si="5"/>
        <v>250</v>
      </c>
      <c r="U56" s="58">
        <v>0.5</v>
      </c>
      <c r="V56" s="57">
        <v>0.6</v>
      </c>
      <c r="W56" s="58">
        <v>0.5</v>
      </c>
      <c r="X56" s="57">
        <v>0.6</v>
      </c>
      <c r="Y56" s="57">
        <v>0.6</v>
      </c>
      <c r="Z56" s="662"/>
      <c r="AA56" s="662">
        <v>57</v>
      </c>
      <c r="AB56" s="662">
        <v>6</v>
      </c>
    </row>
    <row r="57" spans="1:28" s="5" customFormat="1" x14ac:dyDescent="0.25">
      <c r="A57" s="496">
        <v>41172</v>
      </c>
      <c r="B57" s="497">
        <v>41274</v>
      </c>
      <c r="C57" s="375">
        <v>492.6</v>
      </c>
      <c r="D57" s="374"/>
      <c r="E57" s="373">
        <f t="shared" si="0"/>
        <v>492.6</v>
      </c>
      <c r="F57" s="375">
        <v>533</v>
      </c>
      <c r="G57" s="374"/>
      <c r="H57" s="373">
        <f t="shared" si="4"/>
        <v>533</v>
      </c>
      <c r="I57" s="375">
        <v>533</v>
      </c>
      <c r="J57" s="374"/>
      <c r="K57" s="375">
        <f t="shared" si="1"/>
        <v>533</v>
      </c>
      <c r="L57" s="375">
        <v>444.70000000000005</v>
      </c>
      <c r="M57" s="374"/>
      <c r="N57" s="373">
        <f t="shared" si="2"/>
        <v>444.70000000000005</v>
      </c>
      <c r="O57" s="375">
        <f>Pensions!AA57</f>
        <v>192500</v>
      </c>
      <c r="P57" s="242">
        <f>Pensions!AB57</f>
        <v>332000</v>
      </c>
      <c r="Q57" s="242">
        <f>Pensions!AC57</f>
        <v>273000</v>
      </c>
      <c r="R57" s="374">
        <f>Pensions!AD57</f>
        <v>412500</v>
      </c>
      <c r="S57" s="375">
        <v>62</v>
      </c>
      <c r="T57" s="374">
        <f t="shared" si="5"/>
        <v>250</v>
      </c>
      <c r="U57" s="403">
        <v>0.5</v>
      </c>
      <c r="V57" s="377">
        <v>0.6</v>
      </c>
      <c r="W57" s="403">
        <v>0.5</v>
      </c>
      <c r="X57" s="377">
        <v>0.6</v>
      </c>
      <c r="Y57" s="377">
        <v>0.6</v>
      </c>
      <c r="Z57" s="599"/>
      <c r="AA57" s="599">
        <v>57</v>
      </c>
      <c r="AB57" s="599">
        <v>6</v>
      </c>
    </row>
    <row r="58" spans="1:28" s="5" customFormat="1" x14ac:dyDescent="0.25">
      <c r="A58" s="496">
        <v>41275</v>
      </c>
      <c r="B58" s="497">
        <v>41352</v>
      </c>
      <c r="C58" s="375">
        <v>492.6</v>
      </c>
      <c r="D58" s="374"/>
      <c r="E58" s="373">
        <f t="shared" si="0"/>
        <v>492.6</v>
      </c>
      <c r="F58" s="375">
        <v>533</v>
      </c>
      <c r="G58" s="374"/>
      <c r="H58" s="373">
        <f t="shared" si="4"/>
        <v>533</v>
      </c>
      <c r="I58" s="375">
        <v>533</v>
      </c>
      <c r="J58" s="374"/>
      <c r="K58" s="375">
        <f t="shared" si="1"/>
        <v>533</v>
      </c>
      <c r="L58" s="375">
        <v>444.70000000000005</v>
      </c>
      <c r="M58" s="374"/>
      <c r="N58" s="373">
        <f t="shared" si="2"/>
        <v>444.70000000000005</v>
      </c>
      <c r="O58" s="375">
        <f>Pensions!AA58</f>
        <v>192500</v>
      </c>
      <c r="P58" s="242">
        <f>Pensions!AB58</f>
        <v>332000</v>
      </c>
      <c r="Q58" s="242">
        <f>Pensions!AC58</f>
        <v>273000</v>
      </c>
      <c r="R58" s="374">
        <f>Pensions!AD58</f>
        <v>412500</v>
      </c>
      <c r="S58" s="375">
        <v>62</v>
      </c>
      <c r="T58" s="374">
        <f t="shared" si="5"/>
        <v>250</v>
      </c>
      <c r="U58" s="403">
        <v>0.5</v>
      </c>
      <c r="V58" s="377">
        <v>0.6</v>
      </c>
      <c r="W58" s="403">
        <v>0.4</v>
      </c>
      <c r="X58" s="377">
        <v>0.4</v>
      </c>
      <c r="Y58" s="377">
        <v>0.6</v>
      </c>
      <c r="Z58" s="599"/>
      <c r="AA58" s="599">
        <v>57</v>
      </c>
      <c r="AB58" s="599">
        <v>6</v>
      </c>
    </row>
    <row r="59" spans="1:28" s="5" customFormat="1" ht="15.75" thickBot="1" x14ac:dyDescent="0.3">
      <c r="A59" s="538">
        <v>41353</v>
      </c>
      <c r="B59" s="539">
        <v>41455</v>
      </c>
      <c r="C59" s="540">
        <v>497</v>
      </c>
      <c r="D59" s="541">
        <v>8.4</v>
      </c>
      <c r="E59" s="542">
        <f t="shared" si="0"/>
        <v>505.4</v>
      </c>
      <c r="F59" s="540">
        <v>537.79999999999995</v>
      </c>
      <c r="G59" s="541">
        <v>9.1</v>
      </c>
      <c r="H59" s="542">
        <f t="shared" si="4"/>
        <v>546.9</v>
      </c>
      <c r="I59" s="540">
        <v>537.79999999999995</v>
      </c>
      <c r="J59" s="541">
        <v>9.1</v>
      </c>
      <c r="K59" s="540">
        <f t="shared" si="1"/>
        <v>546.9</v>
      </c>
      <c r="L59" s="540">
        <v>448.7</v>
      </c>
      <c r="M59" s="541">
        <f>MROUND(0.017*L59,0.1)</f>
        <v>7.6000000000000005</v>
      </c>
      <c r="N59" s="542">
        <f t="shared" si="2"/>
        <v>456.3</v>
      </c>
      <c r="O59" s="540">
        <f>Pensions!AA59</f>
        <v>192500</v>
      </c>
      <c r="P59" s="543">
        <f>Pensions!AB59</f>
        <v>332000</v>
      </c>
      <c r="Q59" s="543">
        <f>Pensions!AC59</f>
        <v>273000</v>
      </c>
      <c r="R59" s="541">
        <f>Pensions!AD59</f>
        <v>412500</v>
      </c>
      <c r="S59" s="540">
        <v>62</v>
      </c>
      <c r="T59" s="541">
        <f t="shared" si="5"/>
        <v>250</v>
      </c>
      <c r="U59" s="544">
        <v>0.5</v>
      </c>
      <c r="V59" s="545">
        <v>0.6</v>
      </c>
      <c r="W59" s="544">
        <v>0.4</v>
      </c>
      <c r="X59" s="545">
        <v>0.4</v>
      </c>
      <c r="Y59" s="545">
        <v>0.6</v>
      </c>
      <c r="Z59" s="665"/>
      <c r="AA59" s="665">
        <v>57</v>
      </c>
      <c r="AB59" s="665">
        <v>6</v>
      </c>
    </row>
    <row r="60" spans="1:28" s="5" customFormat="1" x14ac:dyDescent="0.25">
      <c r="A60" s="531">
        <v>41456</v>
      </c>
      <c r="B60" s="532">
        <v>41536</v>
      </c>
      <c r="C60" s="534">
        <v>497</v>
      </c>
      <c r="D60" s="535">
        <v>8.4</v>
      </c>
      <c r="E60" s="533">
        <f t="shared" si="0"/>
        <v>505.4</v>
      </c>
      <c r="F60" s="534">
        <v>537.79999999999995</v>
      </c>
      <c r="G60" s="535">
        <v>9.1</v>
      </c>
      <c r="H60" s="533">
        <f t="shared" si="4"/>
        <v>546.9</v>
      </c>
      <c r="I60" s="534">
        <v>537.79999999999995</v>
      </c>
      <c r="J60" s="535">
        <v>9.1</v>
      </c>
      <c r="K60" s="534">
        <f t="shared" si="1"/>
        <v>546.9</v>
      </c>
      <c r="L60" s="534">
        <v>448.7</v>
      </c>
      <c r="M60" s="535">
        <f>M59</f>
        <v>7.6000000000000005</v>
      </c>
      <c r="N60" s="533">
        <f t="shared" si="2"/>
        <v>456.3</v>
      </c>
      <c r="O60" s="534">
        <f>Pensions!AA60</f>
        <v>196750</v>
      </c>
      <c r="P60" s="536">
        <f>Pensions!AB60</f>
        <v>339250</v>
      </c>
      <c r="Q60" s="536">
        <f>Pensions!AC60</f>
        <v>279000</v>
      </c>
      <c r="R60" s="535">
        <f>Pensions!AD60</f>
        <v>421500</v>
      </c>
      <c r="S60" s="534">
        <v>62</v>
      </c>
      <c r="T60" s="535">
        <f t="shared" si="5"/>
        <v>250</v>
      </c>
      <c r="U60" s="546">
        <v>0.5</v>
      </c>
      <c r="V60" s="547">
        <v>0.6</v>
      </c>
      <c r="W60" s="546">
        <v>0.4</v>
      </c>
      <c r="X60" s="547">
        <v>0.4</v>
      </c>
      <c r="Y60" s="547">
        <v>0.6</v>
      </c>
      <c r="Z60" s="666"/>
      <c r="AA60" s="666">
        <v>58</v>
      </c>
      <c r="AB60" s="666">
        <v>6</v>
      </c>
    </row>
    <row r="61" spans="1:28" s="5" customFormat="1" x14ac:dyDescent="0.25">
      <c r="A61" s="496">
        <v>41537</v>
      </c>
      <c r="B61" s="497">
        <v>41639</v>
      </c>
      <c r="C61" s="375">
        <v>501</v>
      </c>
      <c r="D61" s="374">
        <v>8.5</v>
      </c>
      <c r="E61" s="373">
        <f t="shared" si="0"/>
        <v>509.5</v>
      </c>
      <c r="F61" s="375">
        <v>542.1</v>
      </c>
      <c r="G61" s="374">
        <v>9.1999999999999993</v>
      </c>
      <c r="H61" s="373">
        <f t="shared" si="4"/>
        <v>551.30000000000007</v>
      </c>
      <c r="I61" s="375">
        <v>542.1</v>
      </c>
      <c r="J61" s="374">
        <v>9.1999999999999993</v>
      </c>
      <c r="K61" s="375">
        <f t="shared" si="1"/>
        <v>551.30000000000007</v>
      </c>
      <c r="L61" s="375">
        <v>452.3</v>
      </c>
      <c r="M61" s="374">
        <v>7.7</v>
      </c>
      <c r="N61" s="373">
        <f t="shared" si="2"/>
        <v>460</v>
      </c>
      <c r="O61" s="375">
        <f>Pensions!AA61</f>
        <v>196750</v>
      </c>
      <c r="P61" s="242">
        <f>Pensions!AB61</f>
        <v>339250</v>
      </c>
      <c r="Q61" s="242">
        <f>Pensions!AC61</f>
        <v>279000</v>
      </c>
      <c r="R61" s="374">
        <f>Pensions!AD61</f>
        <v>421500</v>
      </c>
      <c r="S61" s="375">
        <v>62</v>
      </c>
      <c r="T61" s="374">
        <f t="shared" si="5"/>
        <v>250</v>
      </c>
      <c r="U61" s="403">
        <v>0.5</v>
      </c>
      <c r="V61" s="377">
        <v>0.6</v>
      </c>
      <c r="W61" s="403">
        <v>0.4</v>
      </c>
      <c r="X61" s="377">
        <v>0.4</v>
      </c>
      <c r="Y61" s="377">
        <v>0.6</v>
      </c>
      <c r="Z61" s="599"/>
      <c r="AA61" s="599">
        <v>58</v>
      </c>
      <c r="AB61" s="599">
        <v>6</v>
      </c>
    </row>
    <row r="62" spans="1:28" s="5" customFormat="1" x14ac:dyDescent="0.25">
      <c r="A62" s="496">
        <v>41640</v>
      </c>
      <c r="B62" s="497">
        <v>41717</v>
      </c>
      <c r="C62" s="375">
        <v>501</v>
      </c>
      <c r="D62" s="374">
        <v>8.5</v>
      </c>
      <c r="E62" s="373">
        <f t="shared" si="0"/>
        <v>509.5</v>
      </c>
      <c r="F62" s="375">
        <v>542.1</v>
      </c>
      <c r="G62" s="374">
        <v>9.1999999999999993</v>
      </c>
      <c r="H62" s="373">
        <f t="shared" si="4"/>
        <v>551.30000000000007</v>
      </c>
      <c r="I62" s="375">
        <v>542.1</v>
      </c>
      <c r="J62" s="374">
        <v>9.1999999999999993</v>
      </c>
      <c r="K62" s="375">
        <f t="shared" si="1"/>
        <v>551.30000000000007</v>
      </c>
      <c r="L62" s="375">
        <v>452.3</v>
      </c>
      <c r="M62" s="374">
        <f>M61</f>
        <v>7.7</v>
      </c>
      <c r="N62" s="373">
        <f t="shared" si="2"/>
        <v>460</v>
      </c>
      <c r="O62" s="375">
        <f>Pensions!AA62</f>
        <v>196750</v>
      </c>
      <c r="P62" s="242">
        <f>Pensions!AB62</f>
        <v>339250</v>
      </c>
      <c r="Q62" s="242">
        <f>Pensions!AC62</f>
        <v>279000</v>
      </c>
      <c r="R62" s="374">
        <f>Pensions!AD62</f>
        <v>421500</v>
      </c>
      <c r="S62" s="375">
        <v>62</v>
      </c>
      <c r="T62" s="374">
        <f t="shared" si="5"/>
        <v>250</v>
      </c>
      <c r="U62" s="403">
        <v>0.5</v>
      </c>
      <c r="V62" s="377">
        <v>0.6</v>
      </c>
      <c r="W62" s="403">
        <v>0.4</v>
      </c>
      <c r="X62" s="377">
        <v>0.4</v>
      </c>
      <c r="Y62" s="377">
        <v>0.6</v>
      </c>
      <c r="Z62" s="599"/>
      <c r="AA62" s="599">
        <v>58</v>
      </c>
      <c r="AB62" s="599">
        <v>6</v>
      </c>
    </row>
    <row r="63" spans="1:28" s="5" customFormat="1" ht="15.75" thickBot="1" x14ac:dyDescent="0.3">
      <c r="A63" s="538">
        <v>41718</v>
      </c>
      <c r="B63" s="539">
        <v>41820</v>
      </c>
      <c r="C63" s="540">
        <v>510.5</v>
      </c>
      <c r="D63" s="541">
        <v>8.7000000000000011</v>
      </c>
      <c r="E63" s="542">
        <f t="shared" si="0"/>
        <v>519.20000000000005</v>
      </c>
      <c r="F63" s="540">
        <v>552.4</v>
      </c>
      <c r="G63" s="541">
        <v>9.4</v>
      </c>
      <c r="H63" s="542">
        <f t="shared" si="4"/>
        <v>561.79999999999995</v>
      </c>
      <c r="I63" s="540">
        <v>552.4</v>
      </c>
      <c r="J63" s="541">
        <v>9.4</v>
      </c>
      <c r="K63" s="540">
        <f t="shared" si="1"/>
        <v>561.79999999999995</v>
      </c>
      <c r="L63" s="540">
        <v>460.90000000000003</v>
      </c>
      <c r="M63" s="541">
        <f>IndexAmt(M62,"peCpiFp",$B61,0.1,6)</f>
        <v>7.8000000000000007</v>
      </c>
      <c r="N63" s="542">
        <f t="shared" si="2"/>
        <v>468.70000000000005</v>
      </c>
      <c r="O63" s="540">
        <f>Pensions!AA63</f>
        <v>196750</v>
      </c>
      <c r="P63" s="543">
        <f>Pensions!AB63</f>
        <v>339250</v>
      </c>
      <c r="Q63" s="543">
        <f>Pensions!AC63</f>
        <v>279000</v>
      </c>
      <c r="R63" s="541">
        <f>Pensions!AD63</f>
        <v>421500</v>
      </c>
      <c r="S63" s="540">
        <v>100</v>
      </c>
      <c r="T63" s="541">
        <v>250</v>
      </c>
      <c r="U63" s="544">
        <v>0.5</v>
      </c>
      <c r="V63" s="545">
        <v>0.6</v>
      </c>
      <c r="W63" s="544">
        <v>0.4</v>
      </c>
      <c r="X63" s="545">
        <v>0.4</v>
      </c>
      <c r="Y63" s="545">
        <v>0.6</v>
      </c>
      <c r="Z63" s="665"/>
      <c r="AA63" s="665">
        <v>58</v>
      </c>
      <c r="AB63" s="665">
        <v>6</v>
      </c>
    </row>
    <row r="64" spans="1:28" x14ac:dyDescent="0.25">
      <c r="A64" s="531">
        <v>41821</v>
      </c>
      <c r="B64" s="532">
        <v>41901</v>
      </c>
      <c r="C64" s="534">
        <v>510.5</v>
      </c>
      <c r="D64" s="535">
        <v>8.6999999999999993</v>
      </c>
      <c r="E64" s="533">
        <f t="shared" si="0"/>
        <v>519.20000000000005</v>
      </c>
      <c r="F64" s="534">
        <v>552.4</v>
      </c>
      <c r="G64" s="535">
        <v>9.4</v>
      </c>
      <c r="H64" s="533">
        <f t="shared" si="4"/>
        <v>561.79999999999995</v>
      </c>
      <c r="I64" s="534">
        <v>552.4</v>
      </c>
      <c r="J64" s="535">
        <v>9.4</v>
      </c>
      <c r="K64" s="534">
        <f t="shared" si="1"/>
        <v>561.79999999999995</v>
      </c>
      <c r="L64" s="534">
        <v>460.90000000000003</v>
      </c>
      <c r="M64" s="535">
        <f>M63</f>
        <v>7.8000000000000007</v>
      </c>
      <c r="N64" s="533">
        <f t="shared" si="2"/>
        <v>468.70000000000005</v>
      </c>
      <c r="O64" s="534">
        <v>202000</v>
      </c>
      <c r="P64" s="536">
        <v>348500</v>
      </c>
      <c r="Q64" s="536">
        <v>286500</v>
      </c>
      <c r="R64" s="535">
        <v>433000</v>
      </c>
      <c r="S64" s="534">
        <v>100</v>
      </c>
      <c r="T64" s="535">
        <f t="shared" ref="T64:T91" si="6">S64+150</f>
        <v>250</v>
      </c>
      <c r="U64" s="546">
        <v>0.5</v>
      </c>
      <c r="V64" s="547">
        <v>0.6</v>
      </c>
      <c r="W64" s="546">
        <v>0.4</v>
      </c>
      <c r="X64" s="547">
        <v>0.4</v>
      </c>
      <c r="Y64" s="547">
        <v>0.6</v>
      </c>
      <c r="Z64" s="666"/>
      <c r="AA64" s="666">
        <v>59</v>
      </c>
      <c r="AB64" s="666">
        <v>6</v>
      </c>
    </row>
    <row r="65" spans="1:32" x14ac:dyDescent="0.25">
      <c r="A65" s="496">
        <v>41902</v>
      </c>
      <c r="B65" s="497">
        <v>42004</v>
      </c>
      <c r="C65" s="375">
        <v>515.6</v>
      </c>
      <c r="D65" s="374">
        <v>8.8000000000000007</v>
      </c>
      <c r="E65" s="373">
        <f t="shared" si="0"/>
        <v>524.4</v>
      </c>
      <c r="F65" s="375">
        <v>557.9</v>
      </c>
      <c r="G65" s="374">
        <v>9.5</v>
      </c>
      <c r="H65" s="373">
        <f t="shared" si="4"/>
        <v>567.4</v>
      </c>
      <c r="I65" s="375">
        <v>557.9</v>
      </c>
      <c r="J65" s="374">
        <v>9.5</v>
      </c>
      <c r="K65" s="375">
        <f t="shared" si="1"/>
        <v>567.4</v>
      </c>
      <c r="L65" s="375">
        <v>465.5</v>
      </c>
      <c r="M65" s="374">
        <v>7.9</v>
      </c>
      <c r="N65" s="373">
        <f t="shared" si="2"/>
        <v>473.4</v>
      </c>
      <c r="O65" s="375">
        <f>O64</f>
        <v>202000</v>
      </c>
      <c r="P65" s="242">
        <f>P64</f>
        <v>348500</v>
      </c>
      <c r="Q65" s="242">
        <f>Q64</f>
        <v>286500</v>
      </c>
      <c r="R65" s="374">
        <f>R64</f>
        <v>433000</v>
      </c>
      <c r="S65" s="375">
        <v>100</v>
      </c>
      <c r="T65" s="374">
        <f t="shared" si="6"/>
        <v>250</v>
      </c>
      <c r="U65" s="403">
        <v>0.5</v>
      </c>
      <c r="V65" s="377">
        <v>0.6</v>
      </c>
      <c r="W65" s="403">
        <v>0.4</v>
      </c>
      <c r="X65" s="377">
        <v>0.4</v>
      </c>
      <c r="Y65" s="377">
        <v>0.6</v>
      </c>
      <c r="Z65" s="599"/>
      <c r="AA65" s="599">
        <v>59</v>
      </c>
      <c r="AB65" s="599">
        <v>6</v>
      </c>
      <c r="AF65" s="999"/>
    </row>
    <row r="66" spans="1:32" x14ac:dyDescent="0.25">
      <c r="A66" s="496">
        <v>42005</v>
      </c>
      <c r="B66" s="497">
        <v>42082</v>
      </c>
      <c r="C66" s="375">
        <v>515.6</v>
      </c>
      <c r="D66" s="374">
        <v>8.8000000000000007</v>
      </c>
      <c r="E66" s="373">
        <f t="shared" si="0"/>
        <v>524.4</v>
      </c>
      <c r="F66" s="375">
        <v>557.9</v>
      </c>
      <c r="G66" s="374">
        <v>9.5</v>
      </c>
      <c r="H66" s="373">
        <f t="shared" si="4"/>
        <v>567.4</v>
      </c>
      <c r="I66" s="375">
        <v>557.9</v>
      </c>
      <c r="J66" s="374">
        <v>9.5</v>
      </c>
      <c r="K66" s="375">
        <f t="shared" si="1"/>
        <v>567.4</v>
      </c>
      <c r="L66" s="375">
        <v>465.5</v>
      </c>
      <c r="M66" s="374">
        <f t="shared" ref="M66:M91" si="7">M65</f>
        <v>7.9</v>
      </c>
      <c r="N66" s="373">
        <f t="shared" si="2"/>
        <v>473.4</v>
      </c>
      <c r="O66" s="375">
        <f t="shared" ref="O66:O73" si="8">O65</f>
        <v>202000</v>
      </c>
      <c r="P66" s="242">
        <f t="shared" ref="P66:P73" si="9">P65</f>
        <v>348500</v>
      </c>
      <c r="Q66" s="242">
        <f t="shared" ref="Q66:Q73" si="10">Q65</f>
        <v>286500</v>
      </c>
      <c r="R66" s="374">
        <f t="shared" ref="R66:R73" si="11">R65</f>
        <v>433000</v>
      </c>
      <c r="S66" s="375">
        <v>100</v>
      </c>
      <c r="T66" s="374">
        <f t="shared" si="6"/>
        <v>250</v>
      </c>
      <c r="U66" s="403">
        <v>0.5</v>
      </c>
      <c r="V66" s="377">
        <v>0.6</v>
      </c>
      <c r="W66" s="403">
        <v>0.4</v>
      </c>
      <c r="X66" s="377">
        <v>0.4</v>
      </c>
      <c r="Y66" s="377">
        <v>0.6</v>
      </c>
      <c r="Z66" s="599"/>
      <c r="AA66" s="599">
        <v>59</v>
      </c>
      <c r="AB66" s="599">
        <v>6</v>
      </c>
    </row>
    <row r="67" spans="1:32" ht="15.75" thickBot="1" x14ac:dyDescent="0.3">
      <c r="A67" s="538">
        <v>42083</v>
      </c>
      <c r="B67" s="539">
        <v>42185</v>
      </c>
      <c r="C67" s="540">
        <v>519.20000000000005</v>
      </c>
      <c r="D67" s="541">
        <v>8.8000000000000007</v>
      </c>
      <c r="E67" s="542">
        <f t="shared" si="0"/>
        <v>528</v>
      </c>
      <c r="F67" s="540">
        <v>561.80000000000007</v>
      </c>
      <c r="G67" s="541">
        <v>9.5</v>
      </c>
      <c r="H67" s="542">
        <f t="shared" si="4"/>
        <v>571.30000000000007</v>
      </c>
      <c r="I67" s="540">
        <v>561.80000000000007</v>
      </c>
      <c r="J67" s="541">
        <v>9.5</v>
      </c>
      <c r="K67" s="540">
        <f t="shared" si="1"/>
        <v>571.30000000000007</v>
      </c>
      <c r="L67" s="540">
        <v>468.8</v>
      </c>
      <c r="M67" s="541">
        <f t="shared" si="7"/>
        <v>7.9</v>
      </c>
      <c r="N67" s="542">
        <f t="shared" si="2"/>
        <v>476.7</v>
      </c>
      <c r="O67" s="540">
        <f t="shared" si="8"/>
        <v>202000</v>
      </c>
      <c r="P67" s="543">
        <f t="shared" si="9"/>
        <v>348500</v>
      </c>
      <c r="Q67" s="543">
        <f t="shared" si="10"/>
        <v>286500</v>
      </c>
      <c r="R67" s="541">
        <f t="shared" si="11"/>
        <v>433000</v>
      </c>
      <c r="S67" s="540">
        <v>100</v>
      </c>
      <c r="T67" s="541">
        <f t="shared" si="6"/>
        <v>250</v>
      </c>
      <c r="U67" s="544">
        <v>0.5</v>
      </c>
      <c r="V67" s="545">
        <v>0.6</v>
      </c>
      <c r="W67" s="544">
        <v>0.4</v>
      </c>
      <c r="X67" s="545">
        <v>0.4</v>
      </c>
      <c r="Y67" s="545">
        <v>0.6</v>
      </c>
      <c r="Z67" s="665"/>
      <c r="AA67" s="665">
        <v>59</v>
      </c>
      <c r="AB67" s="665">
        <v>6</v>
      </c>
    </row>
    <row r="68" spans="1:32" x14ac:dyDescent="0.25">
      <c r="A68" s="531">
        <v>42186</v>
      </c>
      <c r="B68" s="532">
        <v>42266</v>
      </c>
      <c r="C68" s="534">
        <v>519.20000000000005</v>
      </c>
      <c r="D68" s="535">
        <v>8.8000000000000007</v>
      </c>
      <c r="E68" s="533">
        <f t="shared" si="0"/>
        <v>528</v>
      </c>
      <c r="F68" s="534">
        <v>561.80000000000007</v>
      </c>
      <c r="G68" s="535">
        <v>9.5</v>
      </c>
      <c r="H68" s="533">
        <f t="shared" si="4"/>
        <v>571.30000000000007</v>
      </c>
      <c r="I68" s="534">
        <v>561.80000000000007</v>
      </c>
      <c r="J68" s="535">
        <v>9.5</v>
      </c>
      <c r="K68" s="534">
        <f t="shared" si="1"/>
        <v>571.30000000000007</v>
      </c>
      <c r="L68" s="534">
        <v>468.8</v>
      </c>
      <c r="M68" s="535">
        <f t="shared" si="7"/>
        <v>7.9</v>
      </c>
      <c r="N68" s="533">
        <f t="shared" si="2"/>
        <v>476.7</v>
      </c>
      <c r="O68" s="534">
        <f t="shared" si="8"/>
        <v>202000</v>
      </c>
      <c r="P68" s="536">
        <f t="shared" si="9"/>
        <v>348500</v>
      </c>
      <c r="Q68" s="536">
        <f t="shared" si="10"/>
        <v>286500</v>
      </c>
      <c r="R68" s="535">
        <f t="shared" si="11"/>
        <v>433000</v>
      </c>
      <c r="S68" s="534">
        <f>IndexAmt(S67,"peCpiFp",$B62,2,12)</f>
        <v>102</v>
      </c>
      <c r="T68" s="535">
        <f>S68+150</f>
        <v>252</v>
      </c>
      <c r="U68" s="546">
        <v>0.5</v>
      </c>
      <c r="V68" s="547">
        <v>0.6</v>
      </c>
      <c r="W68" s="546">
        <v>0.4</v>
      </c>
      <c r="X68" s="547">
        <v>0.4</v>
      </c>
      <c r="Y68" s="547">
        <v>0.6</v>
      </c>
      <c r="Z68" s="666"/>
      <c r="AA68" s="666">
        <v>60</v>
      </c>
      <c r="AB68" s="666">
        <v>6</v>
      </c>
    </row>
    <row r="69" spans="1:32" x14ac:dyDescent="0.25">
      <c r="A69" s="496">
        <v>42267</v>
      </c>
      <c r="B69" s="497">
        <v>42369</v>
      </c>
      <c r="C69" s="375">
        <v>523.4</v>
      </c>
      <c r="D69" s="374">
        <v>8.8000000000000007</v>
      </c>
      <c r="E69" s="373">
        <f t="shared" si="0"/>
        <v>532.19999999999993</v>
      </c>
      <c r="F69" s="375">
        <v>566.30000000000007</v>
      </c>
      <c r="G69" s="374">
        <v>9.5</v>
      </c>
      <c r="H69" s="373">
        <f t="shared" si="4"/>
        <v>575.80000000000007</v>
      </c>
      <c r="I69" s="375">
        <v>566.30000000000007</v>
      </c>
      <c r="J69" s="374">
        <v>9.5</v>
      </c>
      <c r="K69" s="375">
        <f t="shared" si="1"/>
        <v>575.80000000000007</v>
      </c>
      <c r="L69" s="375">
        <v>472.6</v>
      </c>
      <c r="M69" s="374">
        <f t="shared" si="7"/>
        <v>7.9</v>
      </c>
      <c r="N69" s="373">
        <f t="shared" si="2"/>
        <v>480.5</v>
      </c>
      <c r="O69" s="375">
        <f t="shared" si="8"/>
        <v>202000</v>
      </c>
      <c r="P69" s="242">
        <f t="shared" si="9"/>
        <v>348500</v>
      </c>
      <c r="Q69" s="242">
        <f t="shared" si="10"/>
        <v>286500</v>
      </c>
      <c r="R69" s="374">
        <f t="shared" si="11"/>
        <v>433000</v>
      </c>
      <c r="S69" s="375">
        <f t="shared" ref="S69:S75" si="12">S68</f>
        <v>102</v>
      </c>
      <c r="T69" s="374">
        <f t="shared" si="6"/>
        <v>252</v>
      </c>
      <c r="U69" s="403">
        <v>0.5</v>
      </c>
      <c r="V69" s="377">
        <v>0.6</v>
      </c>
      <c r="W69" s="403">
        <v>0.4</v>
      </c>
      <c r="X69" s="377">
        <v>0.4</v>
      </c>
      <c r="Y69" s="377">
        <v>0.6</v>
      </c>
      <c r="Z69" s="599"/>
      <c r="AA69" s="599">
        <v>60</v>
      </c>
      <c r="AB69" s="599">
        <v>6</v>
      </c>
      <c r="AE69" s="209"/>
    </row>
    <row r="70" spans="1:32" x14ac:dyDescent="0.25">
      <c r="A70" s="496">
        <v>42370</v>
      </c>
      <c r="B70" s="497">
        <v>42448</v>
      </c>
      <c r="C70" s="375">
        <v>523.4</v>
      </c>
      <c r="D70" s="374">
        <v>8.8000000000000007</v>
      </c>
      <c r="E70" s="373">
        <v>532.19999999999993</v>
      </c>
      <c r="F70" s="375">
        <v>566.30000000000007</v>
      </c>
      <c r="G70" s="374">
        <v>9.5</v>
      </c>
      <c r="H70" s="373">
        <v>575.80000000000007</v>
      </c>
      <c r="I70" s="375">
        <v>566.30000000000007</v>
      </c>
      <c r="J70" s="374">
        <v>9.5</v>
      </c>
      <c r="K70" s="375">
        <v>575.80000000000007</v>
      </c>
      <c r="L70" s="375">
        <v>472.6</v>
      </c>
      <c r="M70" s="374">
        <v>7.9</v>
      </c>
      <c r="N70" s="373">
        <v>480.5</v>
      </c>
      <c r="O70" s="375">
        <v>202000</v>
      </c>
      <c r="P70" s="242">
        <v>348500</v>
      </c>
      <c r="Q70" s="242">
        <v>286500</v>
      </c>
      <c r="R70" s="374">
        <v>433000</v>
      </c>
      <c r="S70" s="375">
        <v>102</v>
      </c>
      <c r="T70" s="374">
        <v>252</v>
      </c>
      <c r="U70" s="403">
        <v>0.5</v>
      </c>
      <c r="V70" s="377">
        <v>0.6</v>
      </c>
      <c r="W70" s="403">
        <v>0.4</v>
      </c>
      <c r="X70" s="377">
        <v>0.4</v>
      </c>
      <c r="Y70" s="377">
        <v>0.6</v>
      </c>
      <c r="Z70" s="599"/>
      <c r="AA70" s="599">
        <v>60</v>
      </c>
      <c r="AB70" s="599">
        <v>6</v>
      </c>
      <c r="AF70" s="999"/>
    </row>
    <row r="71" spans="1:32" ht="15.75" thickBot="1" x14ac:dyDescent="0.3">
      <c r="A71" s="538">
        <v>42449</v>
      </c>
      <c r="B71" s="539">
        <v>42551</v>
      </c>
      <c r="C71" s="540">
        <v>527.6</v>
      </c>
      <c r="D71" s="541">
        <v>8.8000000000000007</v>
      </c>
      <c r="E71" s="542">
        <v>536.4</v>
      </c>
      <c r="F71" s="540">
        <v>570.80000000000007</v>
      </c>
      <c r="G71" s="541">
        <v>9.5</v>
      </c>
      <c r="H71" s="542">
        <v>580.30000000000007</v>
      </c>
      <c r="I71" s="540">
        <v>570.80000000000007</v>
      </c>
      <c r="J71" s="541">
        <v>9.5</v>
      </c>
      <c r="K71" s="540">
        <v>580.30000000000007</v>
      </c>
      <c r="L71" s="540">
        <v>476.40000000000003</v>
      </c>
      <c r="M71" s="541">
        <v>7.9</v>
      </c>
      <c r="N71" s="542">
        <v>484.3</v>
      </c>
      <c r="O71" s="540">
        <v>202000</v>
      </c>
      <c r="P71" s="543">
        <v>348500</v>
      </c>
      <c r="Q71" s="543">
        <v>286500</v>
      </c>
      <c r="R71" s="541">
        <v>433000</v>
      </c>
      <c r="S71" s="540">
        <v>102</v>
      </c>
      <c r="T71" s="541">
        <v>252</v>
      </c>
      <c r="U71" s="544">
        <v>0.5</v>
      </c>
      <c r="V71" s="545">
        <v>0.6</v>
      </c>
      <c r="W71" s="544">
        <v>0.4</v>
      </c>
      <c r="X71" s="545">
        <v>0.4</v>
      </c>
      <c r="Y71" s="545">
        <v>0.6</v>
      </c>
      <c r="Z71" s="665"/>
      <c r="AA71" s="665">
        <v>60</v>
      </c>
      <c r="AB71" s="665">
        <v>6</v>
      </c>
      <c r="AD71" s="1005"/>
      <c r="AE71" s="598"/>
    </row>
    <row r="72" spans="1:32" x14ac:dyDescent="0.25">
      <c r="A72" s="531">
        <v>42552</v>
      </c>
      <c r="B72" s="532">
        <v>42632</v>
      </c>
      <c r="C72" s="534">
        <v>527.6</v>
      </c>
      <c r="D72" s="535">
        <v>8.8000000000000007</v>
      </c>
      <c r="E72" s="533">
        <v>536.4</v>
      </c>
      <c r="F72" s="534">
        <v>570.80000000000007</v>
      </c>
      <c r="G72" s="535">
        <v>9.5</v>
      </c>
      <c r="H72" s="533">
        <v>580.30000000000007</v>
      </c>
      <c r="I72" s="534">
        <v>570.80000000000007</v>
      </c>
      <c r="J72" s="535">
        <v>9.5</v>
      </c>
      <c r="K72" s="534">
        <v>580.30000000000007</v>
      </c>
      <c r="L72" s="534">
        <v>476.40000000000003</v>
      </c>
      <c r="M72" s="535">
        <v>7.9</v>
      </c>
      <c r="N72" s="533">
        <v>484.3</v>
      </c>
      <c r="O72" s="534">
        <v>202000</v>
      </c>
      <c r="P72" s="536">
        <v>348500</v>
      </c>
      <c r="Q72" s="536">
        <v>286500</v>
      </c>
      <c r="R72" s="535">
        <v>433000</v>
      </c>
      <c r="S72" s="534">
        <v>104</v>
      </c>
      <c r="T72" s="535">
        <v>254</v>
      </c>
      <c r="U72" s="546">
        <v>0.5</v>
      </c>
      <c r="V72" s="547">
        <v>0.6</v>
      </c>
      <c r="W72" s="546">
        <v>0.4</v>
      </c>
      <c r="X72" s="547">
        <v>0.4</v>
      </c>
      <c r="Y72" s="547">
        <v>0.6</v>
      </c>
      <c r="Z72" s="666"/>
      <c r="AA72" s="666">
        <v>61</v>
      </c>
      <c r="AB72" s="666">
        <v>6</v>
      </c>
      <c r="AC72" s="5"/>
    </row>
    <row r="73" spans="1:32" x14ac:dyDescent="0.25">
      <c r="A73" s="496">
        <v>42633</v>
      </c>
      <c r="B73" s="497">
        <v>42735</v>
      </c>
      <c r="C73" s="375">
        <f>IndexAmt(C72,"peCpiFp",$A72,0.1,6)</f>
        <v>528.70000000000005</v>
      </c>
      <c r="D73" s="374">
        <f t="shared" ref="D73:D91" si="13">D72</f>
        <v>8.8000000000000007</v>
      </c>
      <c r="E73" s="373">
        <f>SUM(C73:D73)</f>
        <v>537.5</v>
      </c>
      <c r="F73" s="375">
        <f>IndexAmt(F72,"peCpiFp",$A72,0.1,6)</f>
        <v>571.9</v>
      </c>
      <c r="G73" s="374">
        <f t="shared" ref="G73:G91" si="14">G72</f>
        <v>9.5</v>
      </c>
      <c r="H73" s="373">
        <f t="shared" ref="H73:H91" si="15">SUM(F73:G73)</f>
        <v>581.4</v>
      </c>
      <c r="I73" s="375">
        <f>IndexAmt(I72,"peCpiFp",$A72,0.1,6)</f>
        <v>571.9</v>
      </c>
      <c r="J73" s="374">
        <f t="shared" ref="J73:J91" si="16">J72</f>
        <v>9.5</v>
      </c>
      <c r="K73" s="375">
        <f t="shared" ref="K73:K91" si="17">SUM(I73:J73)</f>
        <v>581.4</v>
      </c>
      <c r="L73" s="375">
        <f>IndexAmt(L72,"peCpiFp",$A72,0.1,6)</f>
        <v>477.40000000000003</v>
      </c>
      <c r="M73" s="374">
        <f t="shared" si="7"/>
        <v>7.9</v>
      </c>
      <c r="N73" s="373">
        <f t="shared" ref="N73:N91" si="18">SUM(L73:M73)</f>
        <v>485.3</v>
      </c>
      <c r="O73" s="375">
        <f t="shared" si="8"/>
        <v>202000</v>
      </c>
      <c r="P73" s="242">
        <f t="shared" si="9"/>
        <v>348500</v>
      </c>
      <c r="Q73" s="242">
        <f t="shared" si="10"/>
        <v>286500</v>
      </c>
      <c r="R73" s="374">
        <f t="shared" si="11"/>
        <v>433000</v>
      </c>
      <c r="S73" s="375">
        <f t="shared" si="12"/>
        <v>104</v>
      </c>
      <c r="T73" s="374">
        <f t="shared" si="6"/>
        <v>254</v>
      </c>
      <c r="U73" s="403">
        <f t="shared" ref="U73:X80" si="19">U72</f>
        <v>0.5</v>
      </c>
      <c r="V73" s="377">
        <f t="shared" si="19"/>
        <v>0.6</v>
      </c>
      <c r="W73" s="403">
        <f t="shared" si="19"/>
        <v>0.4</v>
      </c>
      <c r="X73" s="377">
        <f t="shared" si="19"/>
        <v>0.4</v>
      </c>
      <c r="Y73" s="377">
        <v>0.6</v>
      </c>
      <c r="Z73" s="599"/>
      <c r="AA73" s="599">
        <v>61</v>
      </c>
      <c r="AB73" s="599">
        <v>6</v>
      </c>
    </row>
    <row r="74" spans="1:32" x14ac:dyDescent="0.25">
      <c r="A74" s="496">
        <v>42736</v>
      </c>
      <c r="B74" s="497">
        <v>42813</v>
      </c>
      <c r="C74" s="375">
        <f>C73</f>
        <v>528.70000000000005</v>
      </c>
      <c r="D74" s="374">
        <f t="shared" si="13"/>
        <v>8.8000000000000007</v>
      </c>
      <c r="E74" s="373">
        <f t="shared" ref="E74:E91" si="20">SUM(C74:D74)</f>
        <v>537.5</v>
      </c>
      <c r="F74" s="375">
        <f>F73</f>
        <v>571.9</v>
      </c>
      <c r="G74" s="374">
        <f t="shared" si="14"/>
        <v>9.5</v>
      </c>
      <c r="H74" s="373">
        <f t="shared" si="15"/>
        <v>581.4</v>
      </c>
      <c r="I74" s="375">
        <f>I73</f>
        <v>571.9</v>
      </c>
      <c r="J74" s="374">
        <f t="shared" si="16"/>
        <v>9.5</v>
      </c>
      <c r="K74" s="375">
        <f t="shared" si="17"/>
        <v>581.4</v>
      </c>
      <c r="L74" s="375">
        <f>L73</f>
        <v>477.40000000000003</v>
      </c>
      <c r="M74" s="374">
        <f t="shared" si="7"/>
        <v>7.9</v>
      </c>
      <c r="N74" s="373">
        <f t="shared" si="18"/>
        <v>485.3</v>
      </c>
      <c r="O74" s="375">
        <f>Pensions!AA74</f>
        <v>250000</v>
      </c>
      <c r="P74" s="242">
        <f>Pensions!AB74</f>
        <v>450000</v>
      </c>
      <c r="Q74" s="242">
        <f>Pensions!AC74</f>
        <v>375000</v>
      </c>
      <c r="R74" s="374">
        <f>Pensions!AD74</f>
        <v>575000</v>
      </c>
      <c r="S74" s="375">
        <f t="shared" si="12"/>
        <v>104</v>
      </c>
      <c r="T74" s="374">
        <f t="shared" si="6"/>
        <v>254</v>
      </c>
      <c r="U74" s="403">
        <f t="shared" si="19"/>
        <v>0.5</v>
      </c>
      <c r="V74" s="377">
        <f t="shared" si="19"/>
        <v>0.6</v>
      </c>
      <c r="W74" s="403">
        <f t="shared" si="19"/>
        <v>0.4</v>
      </c>
      <c r="X74" s="377">
        <f t="shared" si="19"/>
        <v>0.4</v>
      </c>
      <c r="Y74" s="377">
        <v>0.6</v>
      </c>
      <c r="Z74" s="599"/>
      <c r="AA74" s="599">
        <v>61</v>
      </c>
      <c r="AB74" s="599">
        <v>6</v>
      </c>
    </row>
    <row r="75" spans="1:32" ht="15.75" thickBot="1" x14ac:dyDescent="0.3">
      <c r="A75" s="538">
        <v>42814</v>
      </c>
      <c r="B75" s="539">
        <v>42916</v>
      </c>
      <c r="C75" s="375">
        <f>IndexAmt(C74,"peCpiFp",$A74,0.1,6)</f>
        <v>535.6</v>
      </c>
      <c r="D75" s="541">
        <f t="shared" si="13"/>
        <v>8.8000000000000007</v>
      </c>
      <c r="E75" s="542">
        <f t="shared" si="20"/>
        <v>544.4</v>
      </c>
      <c r="F75" s="375">
        <f>IndexAmt(F74,"peCpiFp",$A74,0.1,6)</f>
        <v>579.30000000000007</v>
      </c>
      <c r="G75" s="541">
        <f t="shared" si="14"/>
        <v>9.5</v>
      </c>
      <c r="H75" s="542">
        <f t="shared" si="15"/>
        <v>588.80000000000007</v>
      </c>
      <c r="I75" s="375">
        <f>IndexAmt(I74,"peCpiFp",$A74,0.1,6)</f>
        <v>579.30000000000007</v>
      </c>
      <c r="J75" s="541">
        <f t="shared" si="16"/>
        <v>9.5</v>
      </c>
      <c r="K75" s="540">
        <f t="shared" si="17"/>
        <v>588.80000000000007</v>
      </c>
      <c r="L75" s="375">
        <f>IndexAmt(L74,"peCpiFp",$A74,0.1,6)</f>
        <v>483.6</v>
      </c>
      <c r="M75" s="541">
        <f t="shared" si="7"/>
        <v>7.9</v>
      </c>
      <c r="N75" s="542">
        <f t="shared" si="18"/>
        <v>491.5</v>
      </c>
      <c r="O75" s="375">
        <f>Pensions!AA75</f>
        <v>250000</v>
      </c>
      <c r="P75" s="242">
        <f>Pensions!AB75</f>
        <v>450000</v>
      </c>
      <c r="Q75" s="242">
        <f>Pensions!AC75</f>
        <v>375000</v>
      </c>
      <c r="R75" s="374">
        <f>Pensions!AD75</f>
        <v>575000</v>
      </c>
      <c r="S75" s="540">
        <f t="shared" si="12"/>
        <v>104</v>
      </c>
      <c r="T75" s="541">
        <f t="shared" si="6"/>
        <v>254</v>
      </c>
      <c r="U75" s="544">
        <f t="shared" si="19"/>
        <v>0.5</v>
      </c>
      <c r="V75" s="545">
        <f t="shared" si="19"/>
        <v>0.6</v>
      </c>
      <c r="W75" s="544">
        <f t="shared" si="19"/>
        <v>0.4</v>
      </c>
      <c r="X75" s="545">
        <f t="shared" si="19"/>
        <v>0.4</v>
      </c>
      <c r="Y75" s="545">
        <v>0.6</v>
      </c>
      <c r="Z75" s="665"/>
      <c r="AA75" s="665">
        <v>61</v>
      </c>
      <c r="AB75" s="665">
        <v>6</v>
      </c>
    </row>
    <row r="76" spans="1:32" x14ac:dyDescent="0.25">
      <c r="A76" s="531">
        <v>42917</v>
      </c>
      <c r="B76" s="532">
        <v>42997</v>
      </c>
      <c r="C76" s="534">
        <f>C75</f>
        <v>535.6</v>
      </c>
      <c r="D76" s="535">
        <f t="shared" si="13"/>
        <v>8.8000000000000007</v>
      </c>
      <c r="E76" s="533">
        <f t="shared" si="20"/>
        <v>544.4</v>
      </c>
      <c r="F76" s="534">
        <f>F75</f>
        <v>579.30000000000007</v>
      </c>
      <c r="G76" s="535">
        <f t="shared" si="14"/>
        <v>9.5</v>
      </c>
      <c r="H76" s="533">
        <f t="shared" si="15"/>
        <v>588.80000000000007</v>
      </c>
      <c r="I76" s="534">
        <f>I75</f>
        <v>579.30000000000007</v>
      </c>
      <c r="J76" s="535">
        <f t="shared" si="16"/>
        <v>9.5</v>
      </c>
      <c r="K76" s="534">
        <f t="shared" si="17"/>
        <v>588.80000000000007</v>
      </c>
      <c r="L76" s="534">
        <f>L75</f>
        <v>483.6</v>
      </c>
      <c r="M76" s="535">
        <f t="shared" si="7"/>
        <v>7.9</v>
      </c>
      <c r="N76" s="534">
        <f t="shared" si="18"/>
        <v>491.5</v>
      </c>
      <c r="O76" s="534">
        <f>Pensions!AA76</f>
        <v>253750</v>
      </c>
      <c r="P76" s="536">
        <f>Pensions!AB76</f>
        <v>456750</v>
      </c>
      <c r="Q76" s="536">
        <f>Pensions!AC76</f>
        <v>380500</v>
      </c>
      <c r="R76" s="535">
        <f>Pensions!AD76</f>
        <v>583500</v>
      </c>
      <c r="S76" s="534">
        <f t="shared" ref="S76:S83" si="21">S75</f>
        <v>104</v>
      </c>
      <c r="T76" s="535">
        <f t="shared" si="6"/>
        <v>254</v>
      </c>
      <c r="U76" s="546">
        <f t="shared" si="19"/>
        <v>0.5</v>
      </c>
      <c r="V76" s="547">
        <f t="shared" si="19"/>
        <v>0.6</v>
      </c>
      <c r="W76" s="546">
        <f t="shared" si="19"/>
        <v>0.4</v>
      </c>
      <c r="X76" s="547">
        <f t="shared" si="19"/>
        <v>0.4</v>
      </c>
      <c r="Y76" s="547">
        <v>0.6</v>
      </c>
      <c r="Z76" s="666"/>
      <c r="AA76" s="666">
        <v>62</v>
      </c>
      <c r="AB76" s="666">
        <v>6</v>
      </c>
      <c r="AC76" s="999"/>
      <c r="AD76" s="999"/>
    </row>
    <row r="77" spans="1:32" x14ac:dyDescent="0.25">
      <c r="A77" s="165">
        <v>42998</v>
      </c>
      <c r="B77" s="166">
        <v>43100</v>
      </c>
      <c r="C77" s="33">
        <f>IndexAmt(C76,"peCpiFp",$A76,0.1,6)</f>
        <v>538.80000000000007</v>
      </c>
      <c r="D77" s="862">
        <f t="shared" si="13"/>
        <v>8.8000000000000007</v>
      </c>
      <c r="E77" s="107">
        <f t="shared" si="20"/>
        <v>547.6</v>
      </c>
      <c r="F77" s="33">
        <f>IndexAmt(F76,"peCpiFp",$A76,0.1,6)</f>
        <v>582.80000000000007</v>
      </c>
      <c r="G77" s="862">
        <f t="shared" si="14"/>
        <v>9.5</v>
      </c>
      <c r="H77" s="107">
        <f t="shared" si="15"/>
        <v>592.30000000000007</v>
      </c>
      <c r="I77" s="33">
        <f>IndexAmt(I76,"peCpiFp",$A76,0.1,6)</f>
        <v>582.80000000000007</v>
      </c>
      <c r="J77" s="862">
        <f t="shared" si="16"/>
        <v>9.5</v>
      </c>
      <c r="K77" s="33">
        <f t="shared" si="17"/>
        <v>592.30000000000007</v>
      </c>
      <c r="L77" s="33">
        <f>IndexAmt(L76,"peCpiFp",$A76,0.1,6)</f>
        <v>486.5</v>
      </c>
      <c r="M77" s="862">
        <f t="shared" si="7"/>
        <v>7.9</v>
      </c>
      <c r="N77" s="33">
        <f t="shared" si="18"/>
        <v>494.4</v>
      </c>
      <c r="O77" s="33">
        <f>Pensions!AA77</f>
        <v>253750</v>
      </c>
      <c r="P77" s="34">
        <f>Pensions!AB77</f>
        <v>456750</v>
      </c>
      <c r="Q77" s="34">
        <f>Pensions!AC77</f>
        <v>380500</v>
      </c>
      <c r="R77" s="75">
        <f>Pensions!AD77</f>
        <v>583500</v>
      </c>
      <c r="S77" s="33">
        <f t="shared" si="21"/>
        <v>104</v>
      </c>
      <c r="T77" s="75">
        <f t="shared" si="6"/>
        <v>254</v>
      </c>
      <c r="U77" s="106">
        <f t="shared" si="19"/>
        <v>0.5</v>
      </c>
      <c r="V77" s="104">
        <f t="shared" si="19"/>
        <v>0.6</v>
      </c>
      <c r="W77" s="106">
        <f t="shared" si="19"/>
        <v>0.4</v>
      </c>
      <c r="X77" s="104">
        <f t="shared" si="19"/>
        <v>0.4</v>
      </c>
      <c r="Y77" s="104">
        <v>0.6</v>
      </c>
      <c r="Z77" s="667"/>
      <c r="AA77" s="667">
        <v>62</v>
      </c>
      <c r="AB77" s="667">
        <v>6</v>
      </c>
      <c r="AC77" s="999"/>
      <c r="AD77" s="999"/>
    </row>
    <row r="78" spans="1:32" x14ac:dyDescent="0.25">
      <c r="A78" s="165">
        <v>43101</v>
      </c>
      <c r="B78" s="166">
        <v>43178</v>
      </c>
      <c r="C78" s="33">
        <f>C77</f>
        <v>538.80000000000007</v>
      </c>
      <c r="D78" s="75">
        <f t="shared" si="13"/>
        <v>8.8000000000000007</v>
      </c>
      <c r="E78" s="107">
        <f t="shared" si="20"/>
        <v>547.6</v>
      </c>
      <c r="F78" s="33">
        <f>F77</f>
        <v>582.80000000000007</v>
      </c>
      <c r="G78" s="75">
        <f t="shared" si="14"/>
        <v>9.5</v>
      </c>
      <c r="H78" s="107">
        <f t="shared" si="15"/>
        <v>592.30000000000007</v>
      </c>
      <c r="I78" s="33">
        <f>I77</f>
        <v>582.80000000000007</v>
      </c>
      <c r="J78" s="75">
        <f t="shared" si="16"/>
        <v>9.5</v>
      </c>
      <c r="K78" s="33">
        <f t="shared" si="17"/>
        <v>592.30000000000007</v>
      </c>
      <c r="L78" s="33">
        <f>L77</f>
        <v>486.5</v>
      </c>
      <c r="M78" s="75">
        <f t="shared" si="7"/>
        <v>7.9</v>
      </c>
      <c r="N78" s="33">
        <f t="shared" si="18"/>
        <v>494.4</v>
      </c>
      <c r="O78" s="33">
        <f>Pensions!AA78</f>
        <v>253750</v>
      </c>
      <c r="P78" s="34">
        <f>Pensions!AB78</f>
        <v>456750</v>
      </c>
      <c r="Q78" s="34">
        <f>Pensions!AC78</f>
        <v>380500</v>
      </c>
      <c r="R78" s="75">
        <f>Pensions!AD78</f>
        <v>583500</v>
      </c>
      <c r="S78" s="33">
        <f t="shared" si="21"/>
        <v>104</v>
      </c>
      <c r="T78" s="75">
        <f t="shared" si="6"/>
        <v>254</v>
      </c>
      <c r="U78" s="106">
        <f t="shared" si="19"/>
        <v>0.5</v>
      </c>
      <c r="V78" s="104">
        <f t="shared" si="19"/>
        <v>0.6</v>
      </c>
      <c r="W78" s="106">
        <f t="shared" si="19"/>
        <v>0.4</v>
      </c>
      <c r="X78" s="104">
        <f t="shared" si="19"/>
        <v>0.4</v>
      </c>
      <c r="Y78" s="104">
        <v>0.6</v>
      </c>
      <c r="Z78" s="667"/>
      <c r="AA78" s="1085">
        <v>62</v>
      </c>
      <c r="AB78" s="667">
        <v>6</v>
      </c>
      <c r="AC78" s="999"/>
      <c r="AD78" s="999"/>
    </row>
    <row r="79" spans="1:32" ht="15.75" thickBot="1" x14ac:dyDescent="0.3">
      <c r="A79" s="167">
        <v>43179</v>
      </c>
      <c r="B79" s="168">
        <v>43281</v>
      </c>
      <c r="C79" s="77">
        <f>IndexAmt(C78,"peCpiFp",$A78,0.1,6)</f>
        <v>544.20000000000005</v>
      </c>
      <c r="D79" s="79">
        <f t="shared" si="13"/>
        <v>8.8000000000000007</v>
      </c>
      <c r="E79" s="111">
        <f t="shared" si="20"/>
        <v>553</v>
      </c>
      <c r="F79" s="77">
        <f>IndexAmt(F78,"peCpiFp",$A78,0.1,6)</f>
        <v>588.6</v>
      </c>
      <c r="G79" s="79">
        <f t="shared" si="14"/>
        <v>9.5</v>
      </c>
      <c r="H79" s="111">
        <f t="shared" si="15"/>
        <v>598.1</v>
      </c>
      <c r="I79" s="77">
        <f>IndexAmt(I78,"peCpiFp",$A78,0.1,6)</f>
        <v>588.6</v>
      </c>
      <c r="J79" s="79">
        <f t="shared" si="16"/>
        <v>9.5</v>
      </c>
      <c r="K79" s="77">
        <f t="shared" si="17"/>
        <v>598.1</v>
      </c>
      <c r="L79" s="77">
        <f>IndexAmt(L78,"peCpiFp",$A78,0.1,6)</f>
        <v>491.40000000000003</v>
      </c>
      <c r="M79" s="79">
        <f t="shared" si="7"/>
        <v>7.9</v>
      </c>
      <c r="N79" s="77">
        <f t="shared" si="18"/>
        <v>499.3</v>
      </c>
      <c r="O79" s="77">
        <f>Pensions!AA79</f>
        <v>253750</v>
      </c>
      <c r="P79" s="78">
        <f>Pensions!AB79</f>
        <v>456750</v>
      </c>
      <c r="Q79" s="78">
        <f>Pensions!AC79</f>
        <v>380500</v>
      </c>
      <c r="R79" s="79">
        <f>Pensions!AD79</f>
        <v>583500</v>
      </c>
      <c r="S79" s="77">
        <f t="shared" si="21"/>
        <v>104</v>
      </c>
      <c r="T79" s="79">
        <f t="shared" si="6"/>
        <v>254</v>
      </c>
      <c r="U79" s="110">
        <f t="shared" si="19"/>
        <v>0.5</v>
      </c>
      <c r="V79" s="108">
        <f t="shared" si="19"/>
        <v>0.6</v>
      </c>
      <c r="W79" s="110">
        <f t="shared" si="19"/>
        <v>0.4</v>
      </c>
      <c r="X79" s="108">
        <f t="shared" si="19"/>
        <v>0.4</v>
      </c>
      <c r="Y79" s="108">
        <v>0.6</v>
      </c>
      <c r="Z79" s="668"/>
      <c r="AA79" s="1086">
        <v>62</v>
      </c>
      <c r="AB79" s="668">
        <v>6</v>
      </c>
      <c r="AC79" s="999"/>
      <c r="AD79" s="999"/>
    </row>
    <row r="80" spans="1:32" x14ac:dyDescent="0.25">
      <c r="A80" s="169">
        <v>43282</v>
      </c>
      <c r="B80" s="170">
        <v>43362</v>
      </c>
      <c r="C80" s="188">
        <f>C79</f>
        <v>544.20000000000005</v>
      </c>
      <c r="D80" s="172">
        <f t="shared" si="13"/>
        <v>8.8000000000000007</v>
      </c>
      <c r="E80" s="189">
        <f t="shared" si="20"/>
        <v>553</v>
      </c>
      <c r="F80" s="188">
        <f>F79</f>
        <v>588.6</v>
      </c>
      <c r="G80" s="172">
        <f t="shared" si="14"/>
        <v>9.5</v>
      </c>
      <c r="H80" s="189">
        <f t="shared" si="15"/>
        <v>598.1</v>
      </c>
      <c r="I80" s="188">
        <f>I79</f>
        <v>588.6</v>
      </c>
      <c r="J80" s="172">
        <f t="shared" si="16"/>
        <v>9.5</v>
      </c>
      <c r="K80" s="188">
        <f t="shared" si="17"/>
        <v>598.1</v>
      </c>
      <c r="L80" s="188">
        <f>L79</f>
        <v>491.40000000000003</v>
      </c>
      <c r="M80" s="172">
        <f t="shared" si="7"/>
        <v>7.9</v>
      </c>
      <c r="N80" s="189">
        <f t="shared" si="18"/>
        <v>499.3</v>
      </c>
      <c r="O80" s="860">
        <f>Pensions!AA80</f>
        <v>257750</v>
      </c>
      <c r="P80" s="171">
        <f>Pensions!AB80</f>
        <v>464250</v>
      </c>
      <c r="Q80" s="171">
        <f>Pensions!AC80</f>
        <v>386500</v>
      </c>
      <c r="R80" s="172">
        <f>Pensions!AD80</f>
        <v>593000</v>
      </c>
      <c r="S80" s="860">
        <f t="shared" si="21"/>
        <v>104</v>
      </c>
      <c r="T80" s="172">
        <f t="shared" si="6"/>
        <v>254</v>
      </c>
      <c r="U80" s="198">
        <f t="shared" si="19"/>
        <v>0.5</v>
      </c>
      <c r="V80" s="190">
        <f t="shared" si="19"/>
        <v>0.6</v>
      </c>
      <c r="W80" s="198">
        <f t="shared" si="19"/>
        <v>0.4</v>
      </c>
      <c r="X80" s="190">
        <f t="shared" si="19"/>
        <v>0.4</v>
      </c>
      <c r="Y80" s="190">
        <v>0.6</v>
      </c>
      <c r="Z80" s="669"/>
      <c r="AA80" s="1084">
        <v>63</v>
      </c>
      <c r="AB80" s="669">
        <v>6</v>
      </c>
      <c r="AC80" s="999"/>
      <c r="AD80" s="999"/>
    </row>
    <row r="81" spans="1:30" x14ac:dyDescent="0.25">
      <c r="A81" s="165">
        <v>43363</v>
      </c>
      <c r="B81" s="166">
        <v>43465</v>
      </c>
      <c r="C81" s="33">
        <f>IndexAmt(C80,"peCpiFp",$A80,0.1,6)</f>
        <v>549.6</v>
      </c>
      <c r="D81" s="75">
        <f t="shared" si="13"/>
        <v>8.8000000000000007</v>
      </c>
      <c r="E81" s="107">
        <f t="shared" si="20"/>
        <v>558.4</v>
      </c>
      <c r="F81" s="33">
        <f>IndexAmt(F80,"peCpiFp",$A80,0.1,6)</f>
        <v>594.5</v>
      </c>
      <c r="G81" s="75">
        <f t="shared" si="14"/>
        <v>9.5</v>
      </c>
      <c r="H81" s="107">
        <f t="shared" si="15"/>
        <v>604</v>
      </c>
      <c r="I81" s="33">
        <f>IndexAmt(I80,"peCpiFp",$A80,0.1,6)</f>
        <v>594.5</v>
      </c>
      <c r="J81" s="75">
        <f t="shared" si="16"/>
        <v>9.5</v>
      </c>
      <c r="K81" s="33">
        <f t="shared" si="17"/>
        <v>604</v>
      </c>
      <c r="L81" s="33">
        <f>IndexAmt(L80,"peCpiFp",$A80,0.1,6)</f>
        <v>496.3</v>
      </c>
      <c r="M81" s="75">
        <f t="shared" si="7"/>
        <v>7.9</v>
      </c>
      <c r="N81" s="107">
        <f t="shared" si="18"/>
        <v>504.2</v>
      </c>
      <c r="O81" s="33">
        <f>Pensions!AA81</f>
        <v>257750</v>
      </c>
      <c r="P81" s="34">
        <f>Pensions!AB81</f>
        <v>464250</v>
      </c>
      <c r="Q81" s="34">
        <f>Pensions!AC81</f>
        <v>386500</v>
      </c>
      <c r="R81" s="75">
        <f>Pensions!AD81</f>
        <v>593000</v>
      </c>
      <c r="S81" s="33">
        <f t="shared" si="21"/>
        <v>104</v>
      </c>
      <c r="T81" s="75">
        <f t="shared" si="6"/>
        <v>254</v>
      </c>
      <c r="U81" s="106">
        <f t="shared" ref="U81:X91" si="22">U80</f>
        <v>0.5</v>
      </c>
      <c r="V81" s="104">
        <f t="shared" si="22"/>
        <v>0.6</v>
      </c>
      <c r="W81" s="106">
        <f t="shared" si="22"/>
        <v>0.4</v>
      </c>
      <c r="X81" s="104">
        <f t="shared" si="22"/>
        <v>0.4</v>
      </c>
      <c r="Y81" s="104">
        <v>0.6</v>
      </c>
      <c r="Z81" s="667"/>
      <c r="AA81" s="1085">
        <v>63</v>
      </c>
      <c r="AB81" s="667">
        <v>6</v>
      </c>
      <c r="AC81" s="999"/>
      <c r="AD81" s="999"/>
    </row>
    <row r="82" spans="1:30" x14ac:dyDescent="0.25">
      <c r="A82" s="165">
        <v>43466</v>
      </c>
      <c r="B82" s="166">
        <v>43543</v>
      </c>
      <c r="C82" s="33">
        <f>C81</f>
        <v>549.6</v>
      </c>
      <c r="D82" s="75">
        <f t="shared" si="13"/>
        <v>8.8000000000000007</v>
      </c>
      <c r="E82" s="107">
        <f t="shared" si="20"/>
        <v>558.4</v>
      </c>
      <c r="F82" s="33">
        <f>F81</f>
        <v>594.5</v>
      </c>
      <c r="G82" s="75">
        <f t="shared" si="14"/>
        <v>9.5</v>
      </c>
      <c r="H82" s="107">
        <f t="shared" si="15"/>
        <v>604</v>
      </c>
      <c r="I82" s="33">
        <f>I81</f>
        <v>594.5</v>
      </c>
      <c r="J82" s="75">
        <f t="shared" si="16"/>
        <v>9.5</v>
      </c>
      <c r="K82" s="33">
        <f t="shared" si="17"/>
        <v>604</v>
      </c>
      <c r="L82" s="33">
        <f>L81</f>
        <v>496.3</v>
      </c>
      <c r="M82" s="75">
        <f t="shared" si="7"/>
        <v>7.9</v>
      </c>
      <c r="N82" s="107">
        <f t="shared" si="18"/>
        <v>504.2</v>
      </c>
      <c r="O82" s="33">
        <f>Pensions!AA82</f>
        <v>257750</v>
      </c>
      <c r="P82" s="34">
        <f>Pensions!AB82</f>
        <v>464250</v>
      </c>
      <c r="Q82" s="34">
        <f>Pensions!AC82</f>
        <v>386500</v>
      </c>
      <c r="R82" s="75">
        <f>Pensions!AD82</f>
        <v>593000</v>
      </c>
      <c r="S82" s="33">
        <f t="shared" si="21"/>
        <v>104</v>
      </c>
      <c r="T82" s="75">
        <f t="shared" si="6"/>
        <v>254</v>
      </c>
      <c r="U82" s="106">
        <f t="shared" si="22"/>
        <v>0.5</v>
      </c>
      <c r="V82" s="104">
        <f t="shared" si="22"/>
        <v>0.6</v>
      </c>
      <c r="W82" s="106">
        <f t="shared" si="22"/>
        <v>0.4</v>
      </c>
      <c r="X82" s="104">
        <f t="shared" si="22"/>
        <v>0.4</v>
      </c>
      <c r="Y82" s="104">
        <v>0.6</v>
      </c>
      <c r="Z82" s="667"/>
      <c r="AA82" s="1085">
        <v>63</v>
      </c>
      <c r="AB82" s="667">
        <v>6</v>
      </c>
      <c r="AC82" s="999"/>
      <c r="AD82" s="999"/>
    </row>
    <row r="83" spans="1:30" ht="15.75" thickBot="1" x14ac:dyDescent="0.3">
      <c r="A83" s="167">
        <v>43544</v>
      </c>
      <c r="B83" s="168">
        <v>43646</v>
      </c>
      <c r="C83" s="77">
        <f>IndexAmt(C82,"peCpiFp",$A82,0.1,6)</f>
        <v>555.6</v>
      </c>
      <c r="D83" s="79">
        <f t="shared" si="13"/>
        <v>8.8000000000000007</v>
      </c>
      <c r="E83" s="111">
        <f t="shared" si="20"/>
        <v>564.4</v>
      </c>
      <c r="F83" s="77">
        <f>IndexAmt(F82,"peCpiFp",$A82,0.1,6)</f>
        <v>601</v>
      </c>
      <c r="G83" s="79">
        <f t="shared" si="14"/>
        <v>9.5</v>
      </c>
      <c r="H83" s="111">
        <f t="shared" si="15"/>
        <v>610.5</v>
      </c>
      <c r="I83" s="77">
        <f>IndexAmt(I82,"peCpiFp",$A82,0.1,6)</f>
        <v>601</v>
      </c>
      <c r="J83" s="79">
        <f t="shared" si="16"/>
        <v>9.5</v>
      </c>
      <c r="K83" s="77">
        <f t="shared" si="17"/>
        <v>610.5</v>
      </c>
      <c r="L83" s="77">
        <f>IndexAmt(L82,"peCpiFp",$A82,0.1,6)</f>
        <v>501.8</v>
      </c>
      <c r="M83" s="79">
        <f t="shared" si="7"/>
        <v>7.9</v>
      </c>
      <c r="N83" s="111">
        <f t="shared" si="18"/>
        <v>509.7</v>
      </c>
      <c r="O83" s="77">
        <f>Pensions!AA83</f>
        <v>257750</v>
      </c>
      <c r="P83" s="78">
        <f>Pensions!AB83</f>
        <v>464250</v>
      </c>
      <c r="Q83" s="78">
        <f>Pensions!AC83</f>
        <v>386500</v>
      </c>
      <c r="R83" s="79">
        <f>Pensions!AD83</f>
        <v>593000</v>
      </c>
      <c r="S83" s="77">
        <f t="shared" si="21"/>
        <v>104</v>
      </c>
      <c r="T83" s="79">
        <f t="shared" si="6"/>
        <v>254</v>
      </c>
      <c r="U83" s="110">
        <f t="shared" si="22"/>
        <v>0.5</v>
      </c>
      <c r="V83" s="108">
        <f t="shared" si="22"/>
        <v>0.6</v>
      </c>
      <c r="W83" s="110">
        <f t="shared" si="22"/>
        <v>0.4</v>
      </c>
      <c r="X83" s="108">
        <f t="shared" si="22"/>
        <v>0.4</v>
      </c>
      <c r="Y83" s="108">
        <v>0.6</v>
      </c>
      <c r="Z83" s="668"/>
      <c r="AA83" s="1086">
        <v>63</v>
      </c>
      <c r="AB83" s="668">
        <v>6</v>
      </c>
      <c r="AC83" s="999"/>
      <c r="AD83" s="999"/>
    </row>
    <row r="84" spans="1:30" x14ac:dyDescent="0.25">
      <c r="A84" s="169">
        <v>43647</v>
      </c>
      <c r="B84" s="170">
        <v>43727</v>
      </c>
      <c r="C84" s="188">
        <f>C83</f>
        <v>555.6</v>
      </c>
      <c r="D84" s="172">
        <f t="shared" si="13"/>
        <v>8.8000000000000007</v>
      </c>
      <c r="E84" s="189">
        <f t="shared" si="20"/>
        <v>564.4</v>
      </c>
      <c r="F84" s="188">
        <f>F83</f>
        <v>601</v>
      </c>
      <c r="G84" s="172">
        <f t="shared" si="14"/>
        <v>9.5</v>
      </c>
      <c r="H84" s="189">
        <f t="shared" si="15"/>
        <v>610.5</v>
      </c>
      <c r="I84" s="188">
        <f>I83</f>
        <v>601</v>
      </c>
      <c r="J84" s="172">
        <f t="shared" si="16"/>
        <v>9.5</v>
      </c>
      <c r="K84" s="188">
        <f t="shared" si="17"/>
        <v>610.5</v>
      </c>
      <c r="L84" s="188">
        <f>L83</f>
        <v>501.8</v>
      </c>
      <c r="M84" s="172">
        <f t="shared" si="7"/>
        <v>7.9</v>
      </c>
      <c r="N84" s="189">
        <f t="shared" si="18"/>
        <v>509.7</v>
      </c>
      <c r="O84" s="860">
        <f>Pensions!AA84</f>
        <v>263250</v>
      </c>
      <c r="P84" s="171">
        <f>Pensions!AB84</f>
        <v>474250</v>
      </c>
      <c r="Q84" s="171">
        <f>Pensions!AC84</f>
        <v>394500</v>
      </c>
      <c r="R84" s="172">
        <f>Pensions!AD84</f>
        <v>605500</v>
      </c>
      <c r="S84" s="860">
        <f>S83</f>
        <v>104</v>
      </c>
      <c r="T84" s="172">
        <f t="shared" si="6"/>
        <v>254</v>
      </c>
      <c r="U84" s="198">
        <f t="shared" si="22"/>
        <v>0.5</v>
      </c>
      <c r="V84" s="190">
        <f t="shared" si="22"/>
        <v>0.6</v>
      </c>
      <c r="W84" s="198">
        <f t="shared" si="22"/>
        <v>0.4</v>
      </c>
      <c r="X84" s="190">
        <f t="shared" si="22"/>
        <v>0.4</v>
      </c>
      <c r="Y84" s="190">
        <v>0.6</v>
      </c>
      <c r="Z84" s="669"/>
      <c r="AA84" s="1084">
        <v>64</v>
      </c>
      <c r="AB84" s="669">
        <v>6</v>
      </c>
      <c r="AC84" s="999"/>
      <c r="AD84" s="999"/>
    </row>
    <row r="85" spans="1:30" x14ac:dyDescent="0.25">
      <c r="A85" s="165">
        <v>43728</v>
      </c>
      <c r="B85" s="166">
        <v>43830</v>
      </c>
      <c r="C85" s="33">
        <f>IndexAmt(C84,"peCpiFp",$A84,0.1,6)</f>
        <v>561.70000000000005</v>
      </c>
      <c r="D85" s="75">
        <f t="shared" si="13"/>
        <v>8.8000000000000007</v>
      </c>
      <c r="E85" s="107">
        <f t="shared" si="20"/>
        <v>570.5</v>
      </c>
      <c r="F85" s="33">
        <f>IndexAmt(F84,"peCpiFp",$A84,0.1,6)</f>
        <v>607.6</v>
      </c>
      <c r="G85" s="75">
        <f t="shared" si="14"/>
        <v>9.5</v>
      </c>
      <c r="H85" s="107">
        <f t="shared" si="15"/>
        <v>617.1</v>
      </c>
      <c r="I85" s="33">
        <f>IndexAmt(I84,"peCpiFp",$A84,0.1,6)</f>
        <v>607.6</v>
      </c>
      <c r="J85" s="75">
        <f t="shared" si="16"/>
        <v>9.5</v>
      </c>
      <c r="K85" s="33">
        <f t="shared" si="17"/>
        <v>617.1</v>
      </c>
      <c r="L85" s="33">
        <f>IndexAmt(L84,"peCpiFp",$A84,0.1,6)</f>
        <v>507.3</v>
      </c>
      <c r="M85" s="75">
        <f t="shared" si="7"/>
        <v>7.9</v>
      </c>
      <c r="N85" s="107">
        <f t="shared" si="18"/>
        <v>515.20000000000005</v>
      </c>
      <c r="O85" s="33">
        <f>Pensions!AA85</f>
        <v>263250</v>
      </c>
      <c r="P85" s="34">
        <f>Pensions!AB85</f>
        <v>474250</v>
      </c>
      <c r="Q85" s="34">
        <f>Pensions!AC85</f>
        <v>394500</v>
      </c>
      <c r="R85" s="75">
        <f>Pensions!AD85</f>
        <v>605500</v>
      </c>
      <c r="S85" s="33">
        <f>S84</f>
        <v>104</v>
      </c>
      <c r="T85" s="75">
        <f t="shared" si="6"/>
        <v>254</v>
      </c>
      <c r="U85" s="106">
        <f t="shared" si="22"/>
        <v>0.5</v>
      </c>
      <c r="V85" s="104">
        <f t="shared" si="22"/>
        <v>0.6</v>
      </c>
      <c r="W85" s="106">
        <f t="shared" si="22"/>
        <v>0.4</v>
      </c>
      <c r="X85" s="104">
        <f t="shared" si="22"/>
        <v>0.4</v>
      </c>
      <c r="Y85" s="104">
        <v>0.6</v>
      </c>
      <c r="Z85" s="667"/>
      <c r="AA85" s="1085">
        <v>64</v>
      </c>
      <c r="AB85" s="667">
        <v>6</v>
      </c>
      <c r="AC85" s="999"/>
      <c r="AD85" s="999"/>
    </row>
    <row r="86" spans="1:30" x14ac:dyDescent="0.25">
      <c r="A86" s="165">
        <v>43831</v>
      </c>
      <c r="B86" s="166">
        <v>43909</v>
      </c>
      <c r="C86" s="33">
        <f>C85</f>
        <v>561.70000000000005</v>
      </c>
      <c r="D86" s="75">
        <f t="shared" si="13"/>
        <v>8.8000000000000007</v>
      </c>
      <c r="E86" s="107">
        <f t="shared" si="20"/>
        <v>570.5</v>
      </c>
      <c r="F86" s="33">
        <f>F85</f>
        <v>607.6</v>
      </c>
      <c r="G86" s="75">
        <f t="shared" si="14"/>
        <v>9.5</v>
      </c>
      <c r="H86" s="107">
        <f t="shared" si="15"/>
        <v>617.1</v>
      </c>
      <c r="I86" s="33">
        <f>I85</f>
        <v>607.6</v>
      </c>
      <c r="J86" s="75">
        <f t="shared" si="16"/>
        <v>9.5</v>
      </c>
      <c r="K86" s="33">
        <f t="shared" si="17"/>
        <v>617.1</v>
      </c>
      <c r="L86" s="33">
        <f>L85</f>
        <v>507.3</v>
      </c>
      <c r="M86" s="75">
        <f t="shared" si="7"/>
        <v>7.9</v>
      </c>
      <c r="N86" s="107">
        <f t="shared" si="18"/>
        <v>515.20000000000005</v>
      </c>
      <c r="O86" s="33">
        <f>Pensions!AA86</f>
        <v>263250</v>
      </c>
      <c r="P86" s="34">
        <f>Pensions!AB86</f>
        <v>474250</v>
      </c>
      <c r="Q86" s="34">
        <f>Pensions!AC86</f>
        <v>394500</v>
      </c>
      <c r="R86" s="75">
        <f>Pensions!AD86</f>
        <v>605500</v>
      </c>
      <c r="S86" s="33">
        <f>S85</f>
        <v>104</v>
      </c>
      <c r="T86" s="75">
        <f t="shared" si="6"/>
        <v>254</v>
      </c>
      <c r="U86" s="106">
        <f t="shared" si="22"/>
        <v>0.5</v>
      </c>
      <c r="V86" s="104">
        <f t="shared" si="22"/>
        <v>0.6</v>
      </c>
      <c r="W86" s="106">
        <f t="shared" si="22"/>
        <v>0.4</v>
      </c>
      <c r="X86" s="104">
        <f t="shared" si="22"/>
        <v>0.4</v>
      </c>
      <c r="Y86" s="104">
        <v>0.6</v>
      </c>
      <c r="Z86" s="667"/>
      <c r="AA86" s="1085">
        <v>64</v>
      </c>
      <c r="AB86" s="667">
        <v>6</v>
      </c>
      <c r="AC86" s="999"/>
      <c r="AD86" s="999"/>
    </row>
    <row r="87" spans="1:30" ht="15.75" thickBot="1" x14ac:dyDescent="0.3">
      <c r="A87" s="167">
        <v>43910</v>
      </c>
      <c r="B87" s="168">
        <v>44012</v>
      </c>
      <c r="C87" s="77">
        <f>IndexAmt(C86,"peCpiFp",$A86,0.1,6)</f>
        <v>568.4</v>
      </c>
      <c r="D87" s="79">
        <f t="shared" si="13"/>
        <v>8.8000000000000007</v>
      </c>
      <c r="E87" s="111">
        <f t="shared" si="20"/>
        <v>577.19999999999993</v>
      </c>
      <c r="F87" s="77">
        <f>IndexAmt(F86,"peCpiFp",$A86,0.1,6)</f>
        <v>614.90000000000009</v>
      </c>
      <c r="G87" s="79">
        <f t="shared" si="14"/>
        <v>9.5</v>
      </c>
      <c r="H87" s="111">
        <f t="shared" si="15"/>
        <v>624.40000000000009</v>
      </c>
      <c r="I87" s="77">
        <f>IndexAmt(I86,"peCpiFp",$A86,0.1,6)</f>
        <v>614.90000000000009</v>
      </c>
      <c r="J87" s="79">
        <f t="shared" si="16"/>
        <v>9.5</v>
      </c>
      <c r="K87" s="77">
        <f t="shared" si="17"/>
        <v>624.40000000000009</v>
      </c>
      <c r="L87" s="77">
        <f>IndexAmt(L86,"peCpiFp",$A86,0.1,6)</f>
        <v>513.4</v>
      </c>
      <c r="M87" s="79">
        <f t="shared" si="7"/>
        <v>7.9</v>
      </c>
      <c r="N87" s="111">
        <f t="shared" si="18"/>
        <v>521.29999999999995</v>
      </c>
      <c r="O87" s="77">
        <f>Pensions!AA87</f>
        <v>263250</v>
      </c>
      <c r="P87" s="78">
        <f>Pensions!AB87</f>
        <v>474250</v>
      </c>
      <c r="Q87" s="78">
        <f>Pensions!AC87</f>
        <v>394500</v>
      </c>
      <c r="R87" s="79">
        <f>Pensions!AD87</f>
        <v>605500</v>
      </c>
      <c r="S87" s="77">
        <f>S86</f>
        <v>104</v>
      </c>
      <c r="T87" s="79">
        <f t="shared" si="6"/>
        <v>254</v>
      </c>
      <c r="U87" s="110">
        <f t="shared" si="22"/>
        <v>0.5</v>
      </c>
      <c r="V87" s="108">
        <f t="shared" si="22"/>
        <v>0.6</v>
      </c>
      <c r="W87" s="110">
        <f t="shared" si="22"/>
        <v>0.4</v>
      </c>
      <c r="X87" s="108">
        <f t="shared" si="22"/>
        <v>0.4</v>
      </c>
      <c r="Y87" s="108">
        <v>0.6</v>
      </c>
      <c r="Z87" s="668"/>
      <c r="AA87" s="1086">
        <v>64</v>
      </c>
      <c r="AB87" s="668">
        <v>6</v>
      </c>
      <c r="AC87" s="999"/>
      <c r="AD87" s="999"/>
    </row>
    <row r="88" spans="1:30" x14ac:dyDescent="0.25">
      <c r="A88" s="169">
        <v>44013</v>
      </c>
      <c r="B88" s="170">
        <v>44093</v>
      </c>
      <c r="C88" s="188">
        <f>C87</f>
        <v>568.4</v>
      </c>
      <c r="D88" s="172">
        <f t="shared" si="13"/>
        <v>8.8000000000000007</v>
      </c>
      <c r="E88" s="189">
        <f t="shared" si="20"/>
        <v>577.19999999999993</v>
      </c>
      <c r="F88" s="188">
        <f>F87</f>
        <v>614.90000000000009</v>
      </c>
      <c r="G88" s="172">
        <f t="shared" si="14"/>
        <v>9.5</v>
      </c>
      <c r="H88" s="189">
        <f t="shared" si="15"/>
        <v>624.40000000000009</v>
      </c>
      <c r="I88" s="188">
        <f>I87</f>
        <v>614.90000000000009</v>
      </c>
      <c r="J88" s="172">
        <f t="shared" si="16"/>
        <v>9.5</v>
      </c>
      <c r="K88" s="188">
        <f t="shared" si="17"/>
        <v>624.40000000000009</v>
      </c>
      <c r="L88" s="188">
        <f>L87</f>
        <v>513.4</v>
      </c>
      <c r="M88" s="172">
        <f t="shared" si="7"/>
        <v>7.9</v>
      </c>
      <c r="N88" s="189">
        <f t="shared" si="18"/>
        <v>521.29999999999995</v>
      </c>
      <c r="O88" s="860">
        <f>Pensions!AA88</f>
        <v>269500</v>
      </c>
      <c r="P88" s="171">
        <f>Pensions!AB88</f>
        <v>485500</v>
      </c>
      <c r="Q88" s="171">
        <f>Pensions!AC88</f>
        <v>404000</v>
      </c>
      <c r="R88" s="172">
        <f>Pensions!AD88</f>
        <v>620000</v>
      </c>
      <c r="S88" s="188">
        <f>IndexAmt(S87,"peCpiFp",$B82,2,12)</f>
        <v>106</v>
      </c>
      <c r="T88" s="172">
        <f t="shared" si="6"/>
        <v>256</v>
      </c>
      <c r="U88" s="198">
        <f t="shared" si="22"/>
        <v>0.5</v>
      </c>
      <c r="V88" s="190">
        <f t="shared" si="22"/>
        <v>0.6</v>
      </c>
      <c r="W88" s="198">
        <f t="shared" si="22"/>
        <v>0.4</v>
      </c>
      <c r="X88" s="190">
        <f t="shared" si="22"/>
        <v>0.4</v>
      </c>
      <c r="Y88" s="190">
        <v>0.6</v>
      </c>
      <c r="Z88" s="669"/>
      <c r="AA88" s="1084">
        <v>65</v>
      </c>
      <c r="AB88" s="669">
        <v>6</v>
      </c>
      <c r="AC88" s="999"/>
      <c r="AD88" s="999"/>
    </row>
    <row r="89" spans="1:30" x14ac:dyDescent="0.25">
      <c r="A89" s="165">
        <v>44094</v>
      </c>
      <c r="B89" s="166">
        <v>44196</v>
      </c>
      <c r="C89" s="33">
        <f>IndexAmt(C88,"peCpiFp",$A88,0.1,6)</f>
        <v>575.80000000000007</v>
      </c>
      <c r="D89" s="75">
        <f t="shared" si="13"/>
        <v>8.8000000000000007</v>
      </c>
      <c r="E89" s="107">
        <f t="shared" si="20"/>
        <v>584.6</v>
      </c>
      <c r="F89" s="33">
        <f>IndexAmt(F88,"peCpiFp",$A88,0.1,6)</f>
        <v>622.90000000000009</v>
      </c>
      <c r="G89" s="75">
        <f t="shared" si="14"/>
        <v>9.5</v>
      </c>
      <c r="H89" s="107">
        <f t="shared" si="15"/>
        <v>632.40000000000009</v>
      </c>
      <c r="I89" s="33">
        <f>IndexAmt(I88,"peCpiFp",$A88,0.1,6)</f>
        <v>622.90000000000009</v>
      </c>
      <c r="J89" s="75">
        <f t="shared" si="16"/>
        <v>9.5</v>
      </c>
      <c r="K89" s="33">
        <f t="shared" si="17"/>
        <v>632.40000000000009</v>
      </c>
      <c r="L89" s="33">
        <f>IndexAmt(L88,"peCpiFp",$A88,0.1,6)</f>
        <v>520.1</v>
      </c>
      <c r="M89" s="75">
        <f t="shared" si="7"/>
        <v>7.9</v>
      </c>
      <c r="N89" s="107">
        <f t="shared" si="18"/>
        <v>528</v>
      </c>
      <c r="O89" s="33">
        <f>Pensions!AA89</f>
        <v>269500</v>
      </c>
      <c r="P89" s="34">
        <f>Pensions!AB89</f>
        <v>485500</v>
      </c>
      <c r="Q89" s="34">
        <f>Pensions!AC89</f>
        <v>404000</v>
      </c>
      <c r="R89" s="75">
        <f>Pensions!AD89</f>
        <v>620000</v>
      </c>
      <c r="S89" s="33">
        <f>S88</f>
        <v>106</v>
      </c>
      <c r="T89" s="75">
        <f t="shared" si="6"/>
        <v>256</v>
      </c>
      <c r="U89" s="106">
        <f t="shared" si="22"/>
        <v>0.5</v>
      </c>
      <c r="V89" s="104">
        <f t="shared" si="22"/>
        <v>0.6</v>
      </c>
      <c r="W89" s="106">
        <f t="shared" si="22"/>
        <v>0.4</v>
      </c>
      <c r="X89" s="104">
        <f t="shared" si="22"/>
        <v>0.4</v>
      </c>
      <c r="Y89" s="104">
        <v>0.6</v>
      </c>
      <c r="Z89" s="667"/>
      <c r="AA89" s="1085">
        <v>65</v>
      </c>
      <c r="AB89" s="667">
        <v>6</v>
      </c>
      <c r="AC89" s="999"/>
      <c r="AD89" s="999"/>
    </row>
    <row r="90" spans="1:30" x14ac:dyDescent="0.25">
      <c r="A90" s="165">
        <v>44197</v>
      </c>
      <c r="B90" s="166">
        <v>44274</v>
      </c>
      <c r="C90" s="33">
        <f>C89</f>
        <v>575.80000000000007</v>
      </c>
      <c r="D90" s="75">
        <f t="shared" si="13"/>
        <v>8.8000000000000007</v>
      </c>
      <c r="E90" s="107">
        <f t="shared" si="20"/>
        <v>584.6</v>
      </c>
      <c r="F90" s="33">
        <f>F89</f>
        <v>622.90000000000009</v>
      </c>
      <c r="G90" s="75">
        <f t="shared" si="14"/>
        <v>9.5</v>
      </c>
      <c r="H90" s="107">
        <f t="shared" si="15"/>
        <v>632.40000000000009</v>
      </c>
      <c r="I90" s="33">
        <f>I89</f>
        <v>622.90000000000009</v>
      </c>
      <c r="J90" s="75">
        <f t="shared" si="16"/>
        <v>9.5</v>
      </c>
      <c r="K90" s="33">
        <f t="shared" si="17"/>
        <v>632.40000000000009</v>
      </c>
      <c r="L90" s="33">
        <f>L89</f>
        <v>520.1</v>
      </c>
      <c r="M90" s="75">
        <f t="shared" si="7"/>
        <v>7.9</v>
      </c>
      <c r="N90" s="107">
        <f t="shared" si="18"/>
        <v>528</v>
      </c>
      <c r="O90" s="33">
        <f>Pensions!AA90</f>
        <v>269500</v>
      </c>
      <c r="P90" s="34">
        <f>Pensions!AB90</f>
        <v>485500</v>
      </c>
      <c r="Q90" s="34">
        <f>Pensions!AC90</f>
        <v>404000</v>
      </c>
      <c r="R90" s="75">
        <f>Pensions!AD90</f>
        <v>620000</v>
      </c>
      <c r="S90" s="33">
        <f>S89</f>
        <v>106</v>
      </c>
      <c r="T90" s="75">
        <f t="shared" si="6"/>
        <v>256</v>
      </c>
      <c r="U90" s="106">
        <f t="shared" si="22"/>
        <v>0.5</v>
      </c>
      <c r="V90" s="104">
        <f t="shared" si="22"/>
        <v>0.6</v>
      </c>
      <c r="W90" s="106">
        <f t="shared" si="22"/>
        <v>0.4</v>
      </c>
      <c r="X90" s="104">
        <f t="shared" si="22"/>
        <v>0.4</v>
      </c>
      <c r="Y90" s="104">
        <v>0.6</v>
      </c>
      <c r="Z90" s="667"/>
      <c r="AA90" s="1085">
        <v>65</v>
      </c>
      <c r="AB90" s="667">
        <v>6</v>
      </c>
      <c r="AC90" s="999"/>
      <c r="AD90" s="999"/>
    </row>
    <row r="91" spans="1:30" ht="15.75" thickBot="1" x14ac:dyDescent="0.3">
      <c r="A91" s="167">
        <v>44275</v>
      </c>
      <c r="B91" s="168">
        <v>44377</v>
      </c>
      <c r="C91" s="77">
        <f>IndexAmt(C90,"peCpiFp",$A90,0.1,6)</f>
        <v>583.30000000000007</v>
      </c>
      <c r="D91" s="79">
        <f t="shared" si="13"/>
        <v>8.8000000000000007</v>
      </c>
      <c r="E91" s="111">
        <f t="shared" si="20"/>
        <v>592.1</v>
      </c>
      <c r="F91" s="77">
        <f>IndexAmt(F90,"peCpiFp",$A90,0.1,6)</f>
        <v>631</v>
      </c>
      <c r="G91" s="79">
        <f t="shared" si="14"/>
        <v>9.5</v>
      </c>
      <c r="H91" s="111">
        <f t="shared" si="15"/>
        <v>640.5</v>
      </c>
      <c r="I91" s="77">
        <f>IndexAmt(I90,"peCpiFp",$A90,0.1,6)</f>
        <v>631</v>
      </c>
      <c r="J91" s="79">
        <f t="shared" si="16"/>
        <v>9.5</v>
      </c>
      <c r="K91" s="77">
        <f t="shared" si="17"/>
        <v>640.5</v>
      </c>
      <c r="L91" s="77">
        <f>IndexAmt(L90,"peCpiFp",$A90,0.1,6)</f>
        <v>526.9</v>
      </c>
      <c r="M91" s="79">
        <f t="shared" si="7"/>
        <v>7.9</v>
      </c>
      <c r="N91" s="111">
        <f t="shared" si="18"/>
        <v>534.79999999999995</v>
      </c>
      <c r="O91" s="77">
        <f>Pensions!AA91</f>
        <v>269500</v>
      </c>
      <c r="P91" s="78">
        <f>Pensions!AB91</f>
        <v>485500</v>
      </c>
      <c r="Q91" s="78">
        <f>Pensions!AC91</f>
        <v>404000</v>
      </c>
      <c r="R91" s="79">
        <f>Pensions!AD91</f>
        <v>620000</v>
      </c>
      <c r="S91" s="77">
        <f>S90</f>
        <v>106</v>
      </c>
      <c r="T91" s="79">
        <f t="shared" si="6"/>
        <v>256</v>
      </c>
      <c r="U91" s="110">
        <f t="shared" si="22"/>
        <v>0.5</v>
      </c>
      <c r="V91" s="108">
        <f t="shared" si="22"/>
        <v>0.6</v>
      </c>
      <c r="W91" s="110">
        <f t="shared" si="22"/>
        <v>0.4</v>
      </c>
      <c r="X91" s="108">
        <f t="shared" si="22"/>
        <v>0.4</v>
      </c>
      <c r="Y91" s="108">
        <v>0.6</v>
      </c>
      <c r="Z91" s="668"/>
      <c r="AA91" s="1086">
        <v>65</v>
      </c>
      <c r="AB91" s="668">
        <v>6</v>
      </c>
      <c r="AC91" s="999"/>
      <c r="AD91" s="999"/>
    </row>
    <row r="92" spans="1:30" x14ac:dyDescent="0.25">
      <c r="O92" s="242"/>
      <c r="P92" s="242"/>
      <c r="Q92" s="242"/>
      <c r="R92" s="242"/>
    </row>
    <row r="93" spans="1:30" x14ac:dyDescent="0.25">
      <c r="O93" s="495"/>
      <c r="P93" s="5"/>
      <c r="Q93" s="5"/>
      <c r="R93" s="5"/>
    </row>
  </sheetData>
  <customSheetViews>
    <customSheetView guid="{E49C2F27-B0B9-497E-BEC0-5B59561292FE}">
      <pane xSplit="2" ySplit="7" topLeftCell="Q53" activePane="bottomRight" state="frozen"/>
      <selection pane="bottomRight" activeCell="AC71" sqref="AC71"/>
      <pageMargins left="0.7" right="0.7" top="0.75" bottom="0.75" header="0.3" footer="0.3"/>
      <pageSetup paperSize="9" orientation="portrait" r:id="rId1"/>
    </customSheetView>
    <customSheetView guid="{A5953138-1481-4137-BEAD-32FA4FDF03E6}">
      <pane xSplit="2" ySplit="7" topLeftCell="Q53" activePane="bottomRight" state="frozen"/>
      <selection pane="bottomRight" activeCell="AC71" sqref="AC71"/>
      <pageMargins left="0.7" right="0.7" top="0.75" bottom="0.75" header="0.3" footer="0.3"/>
      <pageSetup paperSize="9" orientation="portrait" r:id="rId2"/>
    </customSheetView>
    <customSheetView guid="{2A1F94CA-1A34-4418-88FD-EABF7586C2B2}">
      <pane xSplit="2" ySplit="7" topLeftCell="Q53" activePane="bottomRight" state="frozen"/>
      <selection pane="bottomRight" activeCell="AC71" sqref="AC71"/>
      <pageMargins left="0.7" right="0.7" top="0.75" bottom="0.75" header="0.3" footer="0.3"/>
      <pageSetup paperSize="9" orientation="portrait" r:id="rId3"/>
    </customSheetView>
  </customSheetViews>
  <mergeCells count="36">
    <mergeCell ref="A2:B3"/>
    <mergeCell ref="A4:A6"/>
    <mergeCell ref="B4:B6"/>
    <mergeCell ref="I5:J5"/>
    <mergeCell ref="L3:N4"/>
    <mergeCell ref="K5:K6"/>
    <mergeCell ref="C3:K3"/>
    <mergeCell ref="I4:K4"/>
    <mergeCell ref="C4:E4"/>
    <mergeCell ref="F4:H4"/>
    <mergeCell ref="E5:E6"/>
    <mergeCell ref="C5:D5"/>
    <mergeCell ref="F5:G5"/>
    <mergeCell ref="Q4:Q6"/>
    <mergeCell ref="R4:R6"/>
    <mergeCell ref="O3:P3"/>
    <mergeCell ref="Q3:R3"/>
    <mergeCell ref="C1:N2"/>
    <mergeCell ref="L5:M5"/>
    <mergeCell ref="N5:N6"/>
    <mergeCell ref="Y1:Y6"/>
    <mergeCell ref="Z1:Z6"/>
    <mergeCell ref="AA1:AA6"/>
    <mergeCell ref="AB1:AB6"/>
    <mergeCell ref="H5:H6"/>
    <mergeCell ref="S3:T4"/>
    <mergeCell ref="U3:X4"/>
    <mergeCell ref="U5:V5"/>
    <mergeCell ref="W5:X5"/>
    <mergeCell ref="S5:S6"/>
    <mergeCell ref="T5:T6"/>
    <mergeCell ref="O2:R2"/>
    <mergeCell ref="O1:X1"/>
    <mergeCell ref="S2:X2"/>
    <mergeCell ref="O4:O6"/>
    <mergeCell ref="P4:P6"/>
  </mergeCells>
  <pageMargins left="0.7" right="0.7" top="0.75" bottom="0.75" header="0.3" footer="0.3"/>
  <pageSetup paperSize="9" orientation="portrait" r:id="rId4"/>
  <legacyDrawing r:id="rId5"/>
</worksheet>
</file>

<file path=xl/worksheets/sheet1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sheetPr codeName="Sheet27">
    <tabColor rgb="FF00B0F0"/>
  </sheetPr>
  <dimension ref="A1:AG29"/>
  <sheetViews>
    <sheetView topLeftCell="A7" workbookViewId="0">
      <selection activeCell="G35" sqref="G35"/>
    </sheetView>
  </sheetViews>
  <sheetFormatPr defaultRowHeight="15" x14ac:dyDescent="0.25"/>
  <cols>
    <col min="1" max="2" width="14.42578125" style="28" customWidth="1"/>
    <col min="3" max="3" width="12.85546875" style="28" bestFit="1" customWidth="1"/>
    <col min="4" max="5" width="15.42578125" style="28" customWidth="1"/>
    <col min="6" max="7" width="16.85546875" style="28" bestFit="1" customWidth="1"/>
    <col min="8" max="8" width="17.85546875" style="28" customWidth="1"/>
    <col min="9" max="11" width="15.42578125" style="28" customWidth="1"/>
    <col min="12" max="12" width="12.85546875" style="16" bestFit="1" customWidth="1"/>
    <col min="13" max="13" width="12.85546875" style="28" bestFit="1" customWidth="1"/>
    <col min="14" max="14" width="24.28515625" style="28" bestFit="1" customWidth="1"/>
    <col min="15" max="15" width="20" style="28" customWidth="1"/>
    <col min="16" max="16" width="20.7109375" style="28" customWidth="1"/>
    <col min="17" max="17" width="19.140625" style="28" customWidth="1"/>
    <col min="18" max="18" width="21.5703125" style="28" customWidth="1"/>
    <col min="19" max="19" width="19.28515625" style="28" customWidth="1"/>
    <col min="20" max="20" width="19.7109375" style="28" customWidth="1"/>
    <col min="21" max="21" width="19" style="28" customWidth="1"/>
    <col min="22" max="22" width="18.5703125" style="28" customWidth="1"/>
    <col min="23" max="23" width="25" style="28" customWidth="1"/>
    <col min="24" max="24" width="24.28515625" style="28" customWidth="1"/>
    <col min="25" max="25" width="16.85546875" style="53" customWidth="1"/>
    <col min="26" max="26" width="15.140625" style="28" customWidth="1"/>
    <col min="27" max="27" width="17.7109375" style="28" customWidth="1"/>
    <col min="28" max="28" width="16.42578125" style="28" customWidth="1"/>
    <col min="29" max="16384" width="9.140625" style="28"/>
  </cols>
  <sheetData>
    <row r="1" spans="1:28" ht="15.75" customHeight="1" thickBot="1" x14ac:dyDescent="0.3">
      <c r="A1" s="289"/>
      <c r="B1" s="289"/>
      <c r="C1" s="1293" t="s">
        <v>214</v>
      </c>
      <c r="D1" s="1294"/>
      <c r="E1" s="1294"/>
      <c r="F1" s="1294"/>
      <c r="G1" s="1294"/>
      <c r="H1" s="1294"/>
      <c r="I1" s="1294"/>
      <c r="J1" s="1294"/>
      <c r="K1" s="1294"/>
      <c r="L1" s="1294"/>
      <c r="M1" s="1294"/>
      <c r="N1" s="1295"/>
      <c r="O1" s="1181" t="s">
        <v>168</v>
      </c>
      <c r="P1" s="1182"/>
      <c r="Q1" s="1182"/>
      <c r="R1" s="1182"/>
      <c r="S1" s="1182"/>
      <c r="T1" s="1182"/>
      <c r="U1" s="1182"/>
      <c r="V1" s="1182"/>
      <c r="W1" s="1182"/>
      <c r="X1" s="1279"/>
      <c r="Y1" s="1251" t="s">
        <v>553</v>
      </c>
      <c r="Z1" s="1251" t="s">
        <v>554</v>
      </c>
      <c r="AA1" s="1251" t="s">
        <v>555</v>
      </c>
      <c r="AB1" s="1251" t="s">
        <v>556</v>
      </c>
    </row>
    <row r="2" spans="1:28" ht="15.75" customHeight="1" thickBot="1" x14ac:dyDescent="0.3">
      <c r="A2" s="1168" t="s">
        <v>13</v>
      </c>
      <c r="B2" s="1183"/>
      <c r="C2" s="1296"/>
      <c r="D2" s="1297"/>
      <c r="E2" s="1297"/>
      <c r="F2" s="1297"/>
      <c r="G2" s="1297"/>
      <c r="H2" s="1297"/>
      <c r="I2" s="1297"/>
      <c r="J2" s="1297"/>
      <c r="K2" s="1297"/>
      <c r="L2" s="1297"/>
      <c r="M2" s="1297"/>
      <c r="N2" s="1298"/>
      <c r="O2" s="1280" t="s">
        <v>217</v>
      </c>
      <c r="P2" s="1281"/>
      <c r="Q2" s="1281"/>
      <c r="R2" s="1282"/>
      <c r="S2" s="1280" t="s">
        <v>118</v>
      </c>
      <c r="T2" s="1281"/>
      <c r="U2" s="1281"/>
      <c r="V2" s="1281"/>
      <c r="W2" s="1281"/>
      <c r="X2" s="1282"/>
      <c r="Y2" s="1252"/>
      <c r="Z2" s="1252"/>
      <c r="AA2" s="1252"/>
      <c r="AB2" s="1252"/>
    </row>
    <row r="3" spans="1:28" ht="15.75" thickBot="1" x14ac:dyDescent="0.3">
      <c r="A3" s="1170"/>
      <c r="B3" s="1171"/>
      <c r="C3" s="1280" t="s">
        <v>12</v>
      </c>
      <c r="D3" s="1281"/>
      <c r="E3" s="1281"/>
      <c r="F3" s="1281"/>
      <c r="G3" s="1281"/>
      <c r="H3" s="1281"/>
      <c r="I3" s="1281"/>
      <c r="J3" s="1281"/>
      <c r="K3" s="1282"/>
      <c r="L3" s="1168" t="s">
        <v>21</v>
      </c>
      <c r="M3" s="1183"/>
      <c r="N3" s="1169"/>
      <c r="O3" s="1292" t="s">
        <v>12</v>
      </c>
      <c r="P3" s="1283"/>
      <c r="Q3" s="1283" t="s">
        <v>21</v>
      </c>
      <c r="R3" s="1284"/>
      <c r="S3" s="1285" t="s">
        <v>155</v>
      </c>
      <c r="T3" s="1286"/>
      <c r="U3" s="1285" t="s">
        <v>158</v>
      </c>
      <c r="V3" s="1289"/>
      <c r="W3" s="1289"/>
      <c r="X3" s="1286"/>
      <c r="Y3" s="1252"/>
      <c r="Z3" s="1252"/>
      <c r="AA3" s="1252"/>
      <c r="AB3" s="1252"/>
    </row>
    <row r="4" spans="1:28" ht="15.75" customHeight="1" thickBot="1" x14ac:dyDescent="0.3">
      <c r="A4" s="1172" t="s">
        <v>16</v>
      </c>
      <c r="B4" s="1174" t="s">
        <v>17</v>
      </c>
      <c r="C4" s="1292" t="s">
        <v>211</v>
      </c>
      <c r="D4" s="1283"/>
      <c r="E4" s="1284"/>
      <c r="F4" s="1292" t="s">
        <v>210</v>
      </c>
      <c r="G4" s="1283"/>
      <c r="H4" s="1284"/>
      <c r="I4" s="1292" t="s">
        <v>213</v>
      </c>
      <c r="J4" s="1283"/>
      <c r="K4" s="1284"/>
      <c r="L4" s="1184"/>
      <c r="M4" s="1185"/>
      <c r="N4" s="1186"/>
      <c r="O4" s="1275" t="s">
        <v>29</v>
      </c>
      <c r="P4" s="1275" t="s">
        <v>41</v>
      </c>
      <c r="Q4" s="1275" t="s">
        <v>29</v>
      </c>
      <c r="R4" s="1275" t="s">
        <v>41</v>
      </c>
      <c r="S4" s="1287"/>
      <c r="T4" s="1288"/>
      <c r="U4" s="1287"/>
      <c r="V4" s="1290"/>
      <c r="W4" s="1290"/>
      <c r="X4" s="1288"/>
      <c r="Y4" s="1252"/>
      <c r="Z4" s="1252"/>
      <c r="AA4" s="1252"/>
      <c r="AB4" s="1252"/>
    </row>
    <row r="5" spans="1:28" ht="15.75" customHeight="1" thickBot="1" x14ac:dyDescent="0.3">
      <c r="A5" s="1172"/>
      <c r="B5" s="1174"/>
      <c r="C5" s="1277" t="s">
        <v>188</v>
      </c>
      <c r="D5" s="1278"/>
      <c r="E5" s="1275" t="s">
        <v>216</v>
      </c>
      <c r="F5" s="1277" t="s">
        <v>188</v>
      </c>
      <c r="G5" s="1278"/>
      <c r="H5" s="1275" t="s">
        <v>216</v>
      </c>
      <c r="I5" s="1277" t="s">
        <v>188</v>
      </c>
      <c r="J5" s="1278"/>
      <c r="K5" s="1275" t="s">
        <v>216</v>
      </c>
      <c r="L5" s="1277" t="s">
        <v>188</v>
      </c>
      <c r="M5" s="1278"/>
      <c r="N5" s="1275" t="s">
        <v>216</v>
      </c>
      <c r="O5" s="1291"/>
      <c r="P5" s="1291"/>
      <c r="Q5" s="1291"/>
      <c r="R5" s="1291"/>
      <c r="S5" s="1275" t="s">
        <v>156</v>
      </c>
      <c r="T5" s="1275" t="s">
        <v>157</v>
      </c>
      <c r="U5" s="1277" t="s">
        <v>218</v>
      </c>
      <c r="V5" s="1278"/>
      <c r="W5" s="1277" t="s">
        <v>219</v>
      </c>
      <c r="X5" s="1278"/>
      <c r="Y5" s="1252"/>
      <c r="Z5" s="1252"/>
      <c r="AA5" s="1252"/>
      <c r="AB5" s="1252"/>
    </row>
    <row r="6" spans="1:28" ht="15.75" thickBot="1" x14ac:dyDescent="0.3">
      <c r="A6" s="1173"/>
      <c r="B6" s="1175"/>
      <c r="C6" s="290" t="s">
        <v>212</v>
      </c>
      <c r="D6" s="291" t="s">
        <v>606</v>
      </c>
      <c r="E6" s="1276"/>
      <c r="F6" s="290" t="s">
        <v>212</v>
      </c>
      <c r="G6" s="291" t="s">
        <v>606</v>
      </c>
      <c r="H6" s="1276"/>
      <c r="I6" s="290" t="s">
        <v>212</v>
      </c>
      <c r="J6" s="291" t="s">
        <v>606</v>
      </c>
      <c r="K6" s="1276"/>
      <c r="L6" s="292" t="s">
        <v>212</v>
      </c>
      <c r="M6" s="292" t="s">
        <v>606</v>
      </c>
      <c r="N6" s="1276"/>
      <c r="O6" s="1276"/>
      <c r="P6" s="1276"/>
      <c r="Q6" s="1276"/>
      <c r="R6" s="1276"/>
      <c r="S6" s="1276"/>
      <c r="T6" s="1276"/>
      <c r="U6" s="290" t="s">
        <v>156</v>
      </c>
      <c r="V6" s="291" t="s">
        <v>157</v>
      </c>
      <c r="W6" s="293" t="s">
        <v>156</v>
      </c>
      <c r="X6" s="291" t="s">
        <v>157</v>
      </c>
      <c r="Y6" s="1253"/>
      <c r="Z6" s="1253"/>
      <c r="AA6" s="1253"/>
      <c r="AB6" s="1253"/>
    </row>
    <row r="7" spans="1:28" ht="15.75" thickBot="1" x14ac:dyDescent="0.3">
      <c r="A7" s="713" t="s">
        <v>550</v>
      </c>
      <c r="B7" s="714" t="s">
        <v>551</v>
      </c>
      <c r="C7" s="303" t="s">
        <v>401</v>
      </c>
      <c r="D7" s="304" t="s">
        <v>618</v>
      </c>
      <c r="E7" s="305" t="s">
        <v>774</v>
      </c>
      <c r="F7" s="303" t="s">
        <v>402</v>
      </c>
      <c r="G7" s="304" t="s">
        <v>619</v>
      </c>
      <c r="H7" s="305" t="s">
        <v>775</v>
      </c>
      <c r="I7" s="303" t="s">
        <v>620</v>
      </c>
      <c r="J7" s="304" t="s">
        <v>621</v>
      </c>
      <c r="K7" s="305" t="s">
        <v>215</v>
      </c>
      <c r="L7" s="303" t="s">
        <v>569</v>
      </c>
      <c r="M7" s="304" t="s">
        <v>622</v>
      </c>
      <c r="N7" s="305" t="s">
        <v>776</v>
      </c>
      <c r="O7" s="303" t="s">
        <v>403</v>
      </c>
      <c r="P7" s="306" t="s">
        <v>404</v>
      </c>
      <c r="Q7" s="306" t="s">
        <v>405</v>
      </c>
      <c r="R7" s="304" t="s">
        <v>406</v>
      </c>
      <c r="S7" s="303" t="s">
        <v>407</v>
      </c>
      <c r="T7" s="304" t="s">
        <v>408</v>
      </c>
      <c r="U7" s="303" t="s">
        <v>409</v>
      </c>
      <c r="V7" s="306" t="s">
        <v>410</v>
      </c>
      <c r="W7" s="303" t="s">
        <v>567</v>
      </c>
      <c r="X7" s="304" t="s">
        <v>568</v>
      </c>
      <c r="Y7" s="673" t="s">
        <v>358</v>
      </c>
      <c r="Z7" s="671" t="s">
        <v>359</v>
      </c>
      <c r="AA7" s="671" t="s">
        <v>361</v>
      </c>
      <c r="AB7" s="672" t="s">
        <v>362</v>
      </c>
    </row>
    <row r="8" spans="1:28" x14ac:dyDescent="0.25">
      <c r="A8" s="161">
        <v>36708</v>
      </c>
      <c r="B8" s="162">
        <v>37072</v>
      </c>
      <c r="C8" s="18">
        <v>351.32307692307694</v>
      </c>
      <c r="D8" s="60">
        <v>0</v>
      </c>
      <c r="E8" s="92">
        <v>351.32307692307694</v>
      </c>
      <c r="F8" s="18">
        <v>379.89230769230767</v>
      </c>
      <c r="G8" s="60">
        <v>0</v>
      </c>
      <c r="H8" s="92">
        <v>379.89230769230767</v>
      </c>
      <c r="I8" s="18">
        <v>379.89230769230767</v>
      </c>
      <c r="J8" s="60">
        <v>0</v>
      </c>
      <c r="K8" s="18">
        <v>379.89230769230767</v>
      </c>
      <c r="L8" s="18">
        <v>316.89999999999998</v>
      </c>
      <c r="M8" s="60">
        <v>0</v>
      </c>
      <c r="N8" s="92">
        <v>316.89999999999998</v>
      </c>
      <c r="O8" s="18">
        <v>133250</v>
      </c>
      <c r="P8" s="20">
        <v>228750</v>
      </c>
      <c r="Q8" s="20">
        <v>189500</v>
      </c>
      <c r="R8" s="60">
        <v>285000</v>
      </c>
      <c r="S8" s="18">
        <v>62</v>
      </c>
      <c r="T8" s="60">
        <v>142</v>
      </c>
      <c r="U8" s="58">
        <v>0.5</v>
      </c>
      <c r="V8" s="57">
        <v>0.7</v>
      </c>
      <c r="W8" s="58">
        <v>0.5</v>
      </c>
      <c r="X8" s="57">
        <v>0.7</v>
      </c>
      <c r="Y8" s="58">
        <v>0.7</v>
      </c>
      <c r="Z8" s="23">
        <v>60</v>
      </c>
      <c r="AA8" s="723">
        <f t="shared" ref="AA8:AA22" si="0">AnnualAverage($A8,AA$7,UnemploymentParms,UnemploymentDates,UnemploymentNames)</f>
        <v>45</v>
      </c>
      <c r="AB8" s="4">
        <v>16</v>
      </c>
    </row>
    <row r="9" spans="1:28" x14ac:dyDescent="0.25">
      <c r="A9" s="163">
        <v>37073</v>
      </c>
      <c r="B9" s="164">
        <v>37437</v>
      </c>
      <c r="C9" s="17">
        <v>364.21538461538461</v>
      </c>
      <c r="D9" s="35">
        <v>0</v>
      </c>
      <c r="E9" s="93">
        <v>364.21538461538461</v>
      </c>
      <c r="F9" s="17">
        <v>393.85769230769233</v>
      </c>
      <c r="G9" s="35">
        <v>0</v>
      </c>
      <c r="H9" s="93">
        <v>393.85769230769233</v>
      </c>
      <c r="I9" s="17">
        <v>393.85769230769233</v>
      </c>
      <c r="J9" s="35">
        <v>0</v>
      </c>
      <c r="K9" s="17">
        <v>393.85769230769233</v>
      </c>
      <c r="L9" s="17">
        <v>328.5423076923077</v>
      </c>
      <c r="M9" s="35">
        <v>0</v>
      </c>
      <c r="N9" s="93">
        <v>328.5423076923077</v>
      </c>
      <c r="O9" s="17">
        <v>141000</v>
      </c>
      <c r="P9" s="19">
        <v>242000</v>
      </c>
      <c r="Q9" s="19">
        <v>200500</v>
      </c>
      <c r="R9" s="35">
        <v>301500</v>
      </c>
      <c r="S9" s="17">
        <v>62</v>
      </c>
      <c r="T9" s="35">
        <v>142</v>
      </c>
      <c r="U9" s="62">
        <v>0.5</v>
      </c>
      <c r="V9" s="61">
        <v>0.7</v>
      </c>
      <c r="W9" s="62">
        <v>0.5</v>
      </c>
      <c r="X9" s="61">
        <v>0.7</v>
      </c>
      <c r="Y9" s="62">
        <v>0.7</v>
      </c>
      <c r="Z9" s="27">
        <v>60</v>
      </c>
      <c r="AA9" s="724">
        <f t="shared" si="0"/>
        <v>46</v>
      </c>
      <c r="AB9" s="1">
        <v>16</v>
      </c>
    </row>
    <row r="10" spans="1:28" x14ac:dyDescent="0.25">
      <c r="A10" s="163">
        <v>37438</v>
      </c>
      <c r="B10" s="164">
        <v>37802</v>
      </c>
      <c r="C10" s="17">
        <v>374.93846153846152</v>
      </c>
      <c r="D10" s="35">
        <v>0</v>
      </c>
      <c r="E10" s="93">
        <v>374.93846153846152</v>
      </c>
      <c r="F10" s="17">
        <v>405.4576923076923</v>
      </c>
      <c r="G10" s="35">
        <v>0</v>
      </c>
      <c r="H10" s="93">
        <v>405.4576923076923</v>
      </c>
      <c r="I10" s="17">
        <v>405.4576923076923</v>
      </c>
      <c r="J10" s="35">
        <v>0</v>
      </c>
      <c r="K10" s="17">
        <v>405.4576923076923</v>
      </c>
      <c r="L10" s="17">
        <v>338.14230769230772</v>
      </c>
      <c r="M10" s="35">
        <v>0</v>
      </c>
      <c r="N10" s="93">
        <v>338.14230769230772</v>
      </c>
      <c r="O10" s="17">
        <v>145250</v>
      </c>
      <c r="P10" s="19">
        <v>249750</v>
      </c>
      <c r="Q10" s="19">
        <v>206500</v>
      </c>
      <c r="R10" s="35">
        <v>311000</v>
      </c>
      <c r="S10" s="17">
        <v>62</v>
      </c>
      <c r="T10" s="35">
        <v>142</v>
      </c>
      <c r="U10" s="62">
        <v>0.5</v>
      </c>
      <c r="V10" s="61">
        <v>0.7</v>
      </c>
      <c r="W10" s="62">
        <v>0.5</v>
      </c>
      <c r="X10" s="61">
        <v>0.7</v>
      </c>
      <c r="Y10" s="62">
        <v>0.7</v>
      </c>
      <c r="Z10" s="27">
        <v>60</v>
      </c>
      <c r="AA10" s="724">
        <f t="shared" si="0"/>
        <v>47</v>
      </c>
      <c r="AB10" s="1">
        <v>16</v>
      </c>
    </row>
    <row r="11" spans="1:28" x14ac:dyDescent="0.25">
      <c r="A11" s="163">
        <v>37803</v>
      </c>
      <c r="B11" s="164">
        <v>38168</v>
      </c>
      <c r="C11" s="17">
        <v>385</v>
      </c>
      <c r="D11" s="35">
        <v>0</v>
      </c>
      <c r="E11" s="93">
        <v>385</v>
      </c>
      <c r="F11" s="17">
        <v>416.4153846153846</v>
      </c>
      <c r="G11" s="35">
        <v>0</v>
      </c>
      <c r="H11" s="93">
        <v>416.4153846153846</v>
      </c>
      <c r="I11" s="17">
        <v>416.4153846153846</v>
      </c>
      <c r="J11" s="35">
        <v>0</v>
      </c>
      <c r="K11" s="17">
        <v>416.4153846153846</v>
      </c>
      <c r="L11" s="17">
        <v>347.28461538461539</v>
      </c>
      <c r="M11" s="35">
        <v>0</v>
      </c>
      <c r="N11" s="93">
        <v>347.28461538461539</v>
      </c>
      <c r="O11" s="17">
        <v>149500</v>
      </c>
      <c r="P11" s="19">
        <v>257500</v>
      </c>
      <c r="Q11" s="19">
        <v>212500</v>
      </c>
      <c r="R11" s="35">
        <v>320500</v>
      </c>
      <c r="S11" s="17">
        <v>62</v>
      </c>
      <c r="T11" s="35">
        <v>142</v>
      </c>
      <c r="U11" s="62">
        <v>0.5</v>
      </c>
      <c r="V11" s="61">
        <v>0.7</v>
      </c>
      <c r="W11" s="62">
        <v>0.5</v>
      </c>
      <c r="X11" s="61">
        <v>0.7</v>
      </c>
      <c r="Y11" s="62">
        <v>0.7</v>
      </c>
      <c r="Z11" s="27">
        <v>60</v>
      </c>
      <c r="AA11" s="724">
        <f t="shared" si="0"/>
        <v>48</v>
      </c>
      <c r="AB11" s="1">
        <v>16</v>
      </c>
    </row>
    <row r="12" spans="1:28" x14ac:dyDescent="0.25">
      <c r="A12" s="163">
        <v>38169</v>
      </c>
      <c r="B12" s="164">
        <v>38533</v>
      </c>
      <c r="C12" s="17">
        <v>394.7925925925926</v>
      </c>
      <c r="D12" s="35">
        <v>0</v>
      </c>
      <c r="E12" s="93">
        <v>394.7925925925926</v>
      </c>
      <c r="F12" s="17">
        <v>427.09999999999997</v>
      </c>
      <c r="G12" s="35">
        <v>0</v>
      </c>
      <c r="H12" s="93">
        <v>427.09999999999997</v>
      </c>
      <c r="I12" s="17">
        <v>427.09999999999997</v>
      </c>
      <c r="J12" s="35">
        <v>0</v>
      </c>
      <c r="K12" s="17">
        <v>427.09999999999997</v>
      </c>
      <c r="L12" s="17">
        <v>356.18518518518522</v>
      </c>
      <c r="M12" s="35">
        <v>0</v>
      </c>
      <c r="N12" s="93">
        <v>356.18518518518522</v>
      </c>
      <c r="O12" s="17">
        <v>153000</v>
      </c>
      <c r="P12" s="19">
        <v>263500</v>
      </c>
      <c r="Q12" s="19">
        <v>217500</v>
      </c>
      <c r="R12" s="35">
        <v>328000</v>
      </c>
      <c r="S12" s="17">
        <v>62</v>
      </c>
      <c r="T12" s="35">
        <v>142</v>
      </c>
      <c r="U12" s="62">
        <v>0.5</v>
      </c>
      <c r="V12" s="61">
        <v>0.7</v>
      </c>
      <c r="W12" s="62">
        <v>0.5</v>
      </c>
      <c r="X12" s="61">
        <v>0.7</v>
      </c>
      <c r="Y12" s="62">
        <v>0.7</v>
      </c>
      <c r="Z12" s="27">
        <v>60</v>
      </c>
      <c r="AA12" s="724">
        <f t="shared" si="0"/>
        <v>49</v>
      </c>
      <c r="AB12" s="1">
        <v>16</v>
      </c>
    </row>
    <row r="13" spans="1:28" x14ac:dyDescent="0.25">
      <c r="A13" s="163">
        <v>38534</v>
      </c>
      <c r="B13" s="164">
        <v>38898</v>
      </c>
      <c r="C13" s="17">
        <v>405.37692307692311</v>
      </c>
      <c r="D13" s="35">
        <v>0</v>
      </c>
      <c r="E13" s="93">
        <v>405.37692307692311</v>
      </c>
      <c r="F13" s="17">
        <v>438.55384615384617</v>
      </c>
      <c r="G13" s="35">
        <v>0</v>
      </c>
      <c r="H13" s="93">
        <v>438.55384615384617</v>
      </c>
      <c r="I13" s="17">
        <v>438.55384615384617</v>
      </c>
      <c r="J13" s="35">
        <v>0</v>
      </c>
      <c r="K13" s="17">
        <v>438.55384615384617</v>
      </c>
      <c r="L13" s="17">
        <v>365.78846153846155</v>
      </c>
      <c r="M13" s="35">
        <v>0</v>
      </c>
      <c r="N13" s="93">
        <v>365.78846153846155</v>
      </c>
      <c r="O13" s="17">
        <v>157000</v>
      </c>
      <c r="P13" s="19">
        <v>270500</v>
      </c>
      <c r="Q13" s="19">
        <v>223000</v>
      </c>
      <c r="R13" s="35">
        <v>336500</v>
      </c>
      <c r="S13" s="17">
        <v>62</v>
      </c>
      <c r="T13" s="35">
        <v>142</v>
      </c>
      <c r="U13" s="62">
        <v>0.5</v>
      </c>
      <c r="V13" s="61">
        <v>0.7</v>
      </c>
      <c r="W13" s="62">
        <v>0.5</v>
      </c>
      <c r="X13" s="61">
        <v>0.7</v>
      </c>
      <c r="Y13" s="62">
        <v>0.7</v>
      </c>
      <c r="Z13" s="27">
        <v>60</v>
      </c>
      <c r="AA13" s="724">
        <f t="shared" si="0"/>
        <v>50</v>
      </c>
      <c r="AB13" s="1">
        <v>16</v>
      </c>
    </row>
    <row r="14" spans="1:28" x14ac:dyDescent="0.25">
      <c r="A14" s="163">
        <v>38899</v>
      </c>
      <c r="B14" s="164">
        <v>39263</v>
      </c>
      <c r="C14" s="17">
        <v>419.96538461538461</v>
      </c>
      <c r="D14" s="35">
        <v>0</v>
      </c>
      <c r="E14" s="93">
        <v>419.96538461538461</v>
      </c>
      <c r="F14" s="17">
        <v>454.27307692307693</v>
      </c>
      <c r="G14" s="35">
        <v>0</v>
      </c>
      <c r="H14" s="93">
        <v>454.27307692307693</v>
      </c>
      <c r="I14" s="17">
        <v>454.27307692307693</v>
      </c>
      <c r="J14" s="35">
        <v>0</v>
      </c>
      <c r="K14" s="17">
        <v>454.27307692307693</v>
      </c>
      <c r="L14" s="17">
        <v>378.93461538461537</v>
      </c>
      <c r="M14" s="35">
        <v>0</v>
      </c>
      <c r="N14" s="93">
        <v>378.93461538461537</v>
      </c>
      <c r="O14" s="17">
        <v>161500</v>
      </c>
      <c r="P14" s="19">
        <v>278500</v>
      </c>
      <c r="Q14" s="19">
        <v>229000</v>
      </c>
      <c r="R14" s="35">
        <v>346000</v>
      </c>
      <c r="S14" s="17">
        <v>62</v>
      </c>
      <c r="T14" s="35">
        <v>250</v>
      </c>
      <c r="U14" s="62">
        <v>0.5</v>
      </c>
      <c r="V14" s="61">
        <v>0.6</v>
      </c>
      <c r="W14" s="62">
        <v>0.5</v>
      </c>
      <c r="X14" s="61">
        <v>0.6</v>
      </c>
      <c r="Y14" s="62">
        <v>0.6</v>
      </c>
      <c r="Z14" s="27">
        <v>60</v>
      </c>
      <c r="AA14" s="724">
        <f t="shared" si="0"/>
        <v>51</v>
      </c>
      <c r="AB14" s="1">
        <v>6</v>
      </c>
    </row>
    <row r="15" spans="1:28" x14ac:dyDescent="0.25">
      <c r="A15" s="163">
        <v>39264</v>
      </c>
      <c r="B15" s="164">
        <v>39629</v>
      </c>
      <c r="C15" s="17">
        <v>430.98846153846154</v>
      </c>
      <c r="D15" s="35">
        <v>0</v>
      </c>
      <c r="E15" s="93">
        <v>430.98846153846154</v>
      </c>
      <c r="F15" s="17">
        <v>466.17692307692306</v>
      </c>
      <c r="G15" s="35">
        <v>0</v>
      </c>
      <c r="H15" s="93">
        <v>466.17692307692306</v>
      </c>
      <c r="I15" s="17">
        <v>466.17692307692306</v>
      </c>
      <c r="J15" s="35">
        <v>0</v>
      </c>
      <c r="K15" s="17">
        <v>466.17692307692306</v>
      </c>
      <c r="L15" s="17">
        <v>388.8692307692308</v>
      </c>
      <c r="M15" s="35">
        <v>0</v>
      </c>
      <c r="N15" s="93">
        <v>388.8692307692308</v>
      </c>
      <c r="O15" s="17">
        <v>166750</v>
      </c>
      <c r="P15" s="19">
        <v>287750</v>
      </c>
      <c r="Q15" s="19">
        <v>236500</v>
      </c>
      <c r="R15" s="35">
        <v>357500</v>
      </c>
      <c r="S15" s="17">
        <v>62</v>
      </c>
      <c r="T15" s="35">
        <v>250</v>
      </c>
      <c r="U15" s="62">
        <v>0.5</v>
      </c>
      <c r="V15" s="61">
        <v>0.6</v>
      </c>
      <c r="W15" s="62">
        <v>0.5</v>
      </c>
      <c r="X15" s="61">
        <v>0.6</v>
      </c>
      <c r="Y15" s="62">
        <v>0.6</v>
      </c>
      <c r="Z15" s="27">
        <v>60</v>
      </c>
      <c r="AA15" s="724">
        <f t="shared" si="0"/>
        <v>52</v>
      </c>
      <c r="AB15" s="1">
        <v>6</v>
      </c>
    </row>
    <row r="16" spans="1:28" x14ac:dyDescent="0.25">
      <c r="A16" s="163">
        <v>39630</v>
      </c>
      <c r="B16" s="164">
        <v>39994</v>
      </c>
      <c r="C16" s="17">
        <v>447.56153846153848</v>
      </c>
      <c r="D16" s="35">
        <v>0</v>
      </c>
      <c r="E16" s="93">
        <v>447.56153846153848</v>
      </c>
      <c r="F16" s="17">
        <v>484.13846153846151</v>
      </c>
      <c r="G16" s="35">
        <v>0</v>
      </c>
      <c r="H16" s="93">
        <v>484.13846153846151</v>
      </c>
      <c r="I16" s="17">
        <v>484.13846153846151</v>
      </c>
      <c r="J16" s="35">
        <v>0</v>
      </c>
      <c r="K16" s="17">
        <v>484.13846153846151</v>
      </c>
      <c r="L16" s="17">
        <v>403.83076923076919</v>
      </c>
      <c r="M16" s="35">
        <v>0</v>
      </c>
      <c r="N16" s="93">
        <v>403.83076923076919</v>
      </c>
      <c r="O16" s="17">
        <v>171750</v>
      </c>
      <c r="P16" s="19">
        <v>296250</v>
      </c>
      <c r="Q16" s="19">
        <v>243500</v>
      </c>
      <c r="R16" s="35">
        <v>368000</v>
      </c>
      <c r="S16" s="17">
        <v>62</v>
      </c>
      <c r="T16" s="35">
        <v>250</v>
      </c>
      <c r="U16" s="62">
        <v>0.5</v>
      </c>
      <c r="V16" s="61">
        <v>0.6</v>
      </c>
      <c r="W16" s="62">
        <v>0.5</v>
      </c>
      <c r="X16" s="61">
        <v>0.6</v>
      </c>
      <c r="Y16" s="62">
        <v>0.6</v>
      </c>
      <c r="Z16" s="27">
        <v>0</v>
      </c>
      <c r="AA16" s="724">
        <f t="shared" si="0"/>
        <v>53</v>
      </c>
      <c r="AB16" s="1">
        <v>6</v>
      </c>
    </row>
    <row r="17" spans="1:33" x14ac:dyDescent="0.25">
      <c r="A17" s="163">
        <v>39995</v>
      </c>
      <c r="B17" s="164">
        <v>40359</v>
      </c>
      <c r="C17" s="17">
        <v>457.2076923076923</v>
      </c>
      <c r="D17" s="35">
        <v>0</v>
      </c>
      <c r="E17" s="93">
        <v>457.2076923076923</v>
      </c>
      <c r="F17" s="17">
        <v>494.62307692307689</v>
      </c>
      <c r="G17" s="35">
        <v>0</v>
      </c>
      <c r="H17" s="93">
        <v>494.62307692307689</v>
      </c>
      <c r="I17" s="17">
        <v>494.62307692307689</v>
      </c>
      <c r="J17" s="35">
        <v>0</v>
      </c>
      <c r="K17" s="17">
        <v>494.62307692307689</v>
      </c>
      <c r="L17" s="17">
        <v>412.59230769230771</v>
      </c>
      <c r="M17" s="35">
        <v>0</v>
      </c>
      <c r="N17" s="93">
        <v>412.59230769230771</v>
      </c>
      <c r="O17" s="17">
        <v>178000</v>
      </c>
      <c r="P17" s="19">
        <v>307000</v>
      </c>
      <c r="Q17" s="19">
        <v>252500</v>
      </c>
      <c r="R17" s="35">
        <v>381500</v>
      </c>
      <c r="S17" s="17">
        <v>62</v>
      </c>
      <c r="T17" s="35">
        <v>250</v>
      </c>
      <c r="U17" s="62">
        <v>0.5</v>
      </c>
      <c r="V17" s="61">
        <v>0.6</v>
      </c>
      <c r="W17" s="62">
        <v>0.5</v>
      </c>
      <c r="X17" s="61">
        <v>0.6</v>
      </c>
      <c r="Y17" s="62">
        <v>0.6</v>
      </c>
      <c r="Z17" s="27">
        <v>0</v>
      </c>
      <c r="AA17" s="724">
        <f t="shared" si="0"/>
        <v>54</v>
      </c>
      <c r="AB17" s="1">
        <v>6</v>
      </c>
    </row>
    <row r="18" spans="1:33" x14ac:dyDescent="0.25">
      <c r="A18" s="163">
        <v>40360</v>
      </c>
      <c r="B18" s="164">
        <v>40724</v>
      </c>
      <c r="C18" s="17">
        <v>469.50769230769231</v>
      </c>
      <c r="D18" s="35">
        <v>0</v>
      </c>
      <c r="E18" s="93">
        <v>469.50769230769231</v>
      </c>
      <c r="F18" s="17">
        <v>507.97692307692307</v>
      </c>
      <c r="G18" s="35">
        <v>0</v>
      </c>
      <c r="H18" s="93">
        <v>507.97692307692307</v>
      </c>
      <c r="I18" s="17">
        <v>507.97692307692307</v>
      </c>
      <c r="J18" s="35">
        <v>0</v>
      </c>
      <c r="K18" s="17">
        <v>507.97692307692307</v>
      </c>
      <c r="L18" s="17">
        <v>423.81153846153848</v>
      </c>
      <c r="M18" s="35">
        <v>0</v>
      </c>
      <c r="N18" s="93">
        <v>423.81153846153848</v>
      </c>
      <c r="O18" s="17">
        <v>181750</v>
      </c>
      <c r="P18" s="19">
        <v>313250</v>
      </c>
      <c r="Q18" s="19">
        <v>258000</v>
      </c>
      <c r="R18" s="35">
        <v>389500</v>
      </c>
      <c r="S18" s="17">
        <v>62</v>
      </c>
      <c r="T18" s="35">
        <v>250</v>
      </c>
      <c r="U18" s="62">
        <v>0.5</v>
      </c>
      <c r="V18" s="61">
        <v>0.6</v>
      </c>
      <c r="W18" s="62">
        <v>0.5</v>
      </c>
      <c r="X18" s="61">
        <v>0.6</v>
      </c>
      <c r="Y18" s="62">
        <v>0.6</v>
      </c>
      <c r="Z18" s="27">
        <v>0</v>
      </c>
      <c r="AA18" s="724">
        <f t="shared" si="0"/>
        <v>55</v>
      </c>
      <c r="AB18" s="1">
        <v>6</v>
      </c>
    </row>
    <row r="19" spans="1:33" x14ac:dyDescent="0.25">
      <c r="A19" s="163">
        <v>40725</v>
      </c>
      <c r="B19" s="164">
        <v>41090</v>
      </c>
      <c r="C19" s="17">
        <v>484.8346153846154</v>
      </c>
      <c r="D19" s="35">
        <v>0</v>
      </c>
      <c r="E19" s="93">
        <v>484.8346153846154</v>
      </c>
      <c r="F19" s="17">
        <v>524.50769230769231</v>
      </c>
      <c r="G19" s="35">
        <v>0</v>
      </c>
      <c r="H19" s="93">
        <v>524.50769230769231</v>
      </c>
      <c r="I19" s="17">
        <v>524.50769230769231</v>
      </c>
      <c r="J19" s="35">
        <v>0</v>
      </c>
      <c r="K19" s="17">
        <v>524.50769230769231</v>
      </c>
      <c r="L19" s="17">
        <v>437.6307692307692</v>
      </c>
      <c r="M19" s="35">
        <v>0</v>
      </c>
      <c r="N19" s="93">
        <v>437.6307692307692</v>
      </c>
      <c r="O19" s="17">
        <v>186750</v>
      </c>
      <c r="P19" s="19">
        <v>321750</v>
      </c>
      <c r="Q19" s="19">
        <v>265000</v>
      </c>
      <c r="R19" s="35">
        <v>400000</v>
      </c>
      <c r="S19" s="17">
        <v>62</v>
      </c>
      <c r="T19" s="35">
        <v>250</v>
      </c>
      <c r="U19" s="62">
        <v>0.5</v>
      </c>
      <c r="V19" s="61">
        <v>0.6</v>
      </c>
      <c r="W19" s="62">
        <v>0.5</v>
      </c>
      <c r="X19" s="61">
        <v>0.6</v>
      </c>
      <c r="Y19" s="62">
        <v>0.6</v>
      </c>
      <c r="Z19" s="27">
        <v>0</v>
      </c>
      <c r="AA19" s="724">
        <f t="shared" si="0"/>
        <v>56</v>
      </c>
      <c r="AB19" s="1">
        <v>6</v>
      </c>
    </row>
    <row r="20" spans="1:33" s="5" customFormat="1" x14ac:dyDescent="0.25">
      <c r="A20" s="496">
        <v>41091</v>
      </c>
      <c r="B20" s="497">
        <v>41455</v>
      </c>
      <c r="C20" s="375">
        <v>493.11538461538464</v>
      </c>
      <c r="D20" s="374">
        <v>2.2615384615384615</v>
      </c>
      <c r="E20" s="373">
        <v>495.37692307692311</v>
      </c>
      <c r="F20" s="375">
        <v>533.55384615384617</v>
      </c>
      <c r="G20" s="374">
        <v>2.4499999999999997</v>
      </c>
      <c r="H20" s="373">
        <v>536.0038461538461</v>
      </c>
      <c r="I20" s="375">
        <v>533.55384615384617</v>
      </c>
      <c r="J20" s="374">
        <v>2.4499999999999997</v>
      </c>
      <c r="K20" s="375">
        <v>536.0038461538461</v>
      </c>
      <c r="L20" s="375">
        <v>445.15384615384613</v>
      </c>
      <c r="M20" s="374">
        <v>2.046153846153846</v>
      </c>
      <c r="N20" s="373">
        <v>447.2</v>
      </c>
      <c r="O20" s="375">
        <v>192500</v>
      </c>
      <c r="P20" s="242">
        <v>332000</v>
      </c>
      <c r="Q20" s="242">
        <v>273000</v>
      </c>
      <c r="R20" s="374">
        <v>412500</v>
      </c>
      <c r="S20" s="375">
        <v>62</v>
      </c>
      <c r="T20" s="374">
        <v>250</v>
      </c>
      <c r="U20" s="403">
        <v>0.5</v>
      </c>
      <c r="V20" s="377">
        <v>0.6</v>
      </c>
      <c r="W20" s="403">
        <v>0.45</v>
      </c>
      <c r="X20" s="377">
        <v>0.5</v>
      </c>
      <c r="Y20" s="403">
        <v>0.6</v>
      </c>
      <c r="Z20" s="495">
        <v>0</v>
      </c>
      <c r="AA20" s="763">
        <f t="shared" si="0"/>
        <v>57</v>
      </c>
      <c r="AB20" s="397">
        <v>6</v>
      </c>
    </row>
    <row r="21" spans="1:33" x14ac:dyDescent="0.25">
      <c r="A21" s="496">
        <v>41456</v>
      </c>
      <c r="B21" s="497">
        <v>41820</v>
      </c>
      <c r="C21" s="375">
        <v>502.63461538461536</v>
      </c>
      <c r="D21" s="374">
        <v>8.5307692307692307</v>
      </c>
      <c r="E21" s="373">
        <v>511.1653846153846</v>
      </c>
      <c r="F21" s="375">
        <v>543.88076923076926</v>
      </c>
      <c r="G21" s="374">
        <v>9.2307692307692299</v>
      </c>
      <c r="H21" s="373">
        <v>553.11153846153843</v>
      </c>
      <c r="I21" s="375">
        <v>543.88076923076926</v>
      </c>
      <c r="J21" s="374">
        <v>9.2307692307692299</v>
      </c>
      <c r="K21" s="375">
        <v>553.11153846153843</v>
      </c>
      <c r="L21" s="375">
        <v>453.78461538461539</v>
      </c>
      <c r="M21" s="374">
        <v>7.703846153846154</v>
      </c>
      <c r="N21" s="373">
        <v>461.48846153846154</v>
      </c>
      <c r="O21" s="375">
        <v>196750</v>
      </c>
      <c r="P21" s="242">
        <v>339250</v>
      </c>
      <c r="Q21" s="242">
        <v>279000</v>
      </c>
      <c r="R21" s="374">
        <v>421500</v>
      </c>
      <c r="S21" s="375">
        <v>72.230769230769226</v>
      </c>
      <c r="T21" s="374">
        <v>250</v>
      </c>
      <c r="U21" s="403">
        <v>0.5</v>
      </c>
      <c r="V21" s="377">
        <v>0.6</v>
      </c>
      <c r="W21" s="403">
        <v>0.4</v>
      </c>
      <c r="X21" s="377">
        <v>0.4</v>
      </c>
      <c r="Y21" s="403">
        <v>0.6</v>
      </c>
      <c r="Z21" s="495">
        <v>0</v>
      </c>
      <c r="AA21" s="763">
        <f t="shared" si="0"/>
        <v>58</v>
      </c>
      <c r="AB21" s="397">
        <v>6</v>
      </c>
    </row>
    <row r="22" spans="1:33" x14ac:dyDescent="0.25">
      <c r="A22" s="496">
        <v>41821</v>
      </c>
      <c r="B22" s="497">
        <v>42185</v>
      </c>
      <c r="C22" s="375">
        <v>515.39230769230767</v>
      </c>
      <c r="D22" s="374">
        <v>8.7769230769230777</v>
      </c>
      <c r="E22" s="373">
        <v>524.16923076923081</v>
      </c>
      <c r="F22" s="375">
        <v>557.68076923076922</v>
      </c>
      <c r="G22" s="374">
        <v>9.476923076923077</v>
      </c>
      <c r="H22" s="373">
        <v>567.15769230769229</v>
      </c>
      <c r="I22" s="375">
        <v>557.68076923076922</v>
      </c>
      <c r="J22" s="374">
        <v>9.476923076923077</v>
      </c>
      <c r="K22" s="375">
        <v>567.15769230769229</v>
      </c>
      <c r="L22" s="375">
        <v>465.32692307692309</v>
      </c>
      <c r="M22" s="374">
        <v>7.8769230769230774</v>
      </c>
      <c r="N22" s="373">
        <v>473.20384615384614</v>
      </c>
      <c r="O22" s="375">
        <v>202000</v>
      </c>
      <c r="P22" s="242">
        <v>348500</v>
      </c>
      <c r="Q22" s="242">
        <v>286500</v>
      </c>
      <c r="R22" s="374">
        <v>433000</v>
      </c>
      <c r="S22" s="375">
        <v>100</v>
      </c>
      <c r="T22" s="374">
        <v>250</v>
      </c>
      <c r="U22" s="403">
        <v>0.5</v>
      </c>
      <c r="V22" s="377">
        <v>0.6</v>
      </c>
      <c r="W22" s="403">
        <v>0.4</v>
      </c>
      <c r="X22" s="377">
        <v>0.4</v>
      </c>
      <c r="Y22" s="403">
        <v>0.6</v>
      </c>
      <c r="Z22" s="495">
        <v>0</v>
      </c>
      <c r="AA22" s="763">
        <f t="shared" si="0"/>
        <v>59</v>
      </c>
      <c r="AB22" s="397">
        <v>6</v>
      </c>
    </row>
    <row r="23" spans="1:33" x14ac:dyDescent="0.25">
      <c r="A23" s="496">
        <v>42186</v>
      </c>
      <c r="B23" s="497">
        <v>42551</v>
      </c>
      <c r="C23" s="375">
        <v>523.71111111111111</v>
      </c>
      <c r="D23" s="374">
        <v>8.8000000000000007</v>
      </c>
      <c r="E23" s="373">
        <v>532.51111111111118</v>
      </c>
      <c r="F23" s="375">
        <v>566.63333333333333</v>
      </c>
      <c r="G23" s="374">
        <v>9.5</v>
      </c>
      <c r="H23" s="373">
        <v>576.13333333333333</v>
      </c>
      <c r="I23" s="375">
        <v>566.63333333333333</v>
      </c>
      <c r="J23" s="374">
        <v>9.5</v>
      </c>
      <c r="K23" s="375">
        <v>576.13333333333333</v>
      </c>
      <c r="L23" s="375">
        <v>472.8814814814815</v>
      </c>
      <c r="M23" s="374">
        <v>7.9</v>
      </c>
      <c r="N23" s="373">
        <v>480.78148148148148</v>
      </c>
      <c r="O23" s="375">
        <v>202000</v>
      </c>
      <c r="P23" s="242">
        <v>348500</v>
      </c>
      <c r="Q23" s="242">
        <v>286500</v>
      </c>
      <c r="R23" s="374">
        <v>433000</v>
      </c>
      <c r="S23" s="375">
        <v>102</v>
      </c>
      <c r="T23" s="374">
        <v>252</v>
      </c>
      <c r="U23" s="403">
        <v>0.5</v>
      </c>
      <c r="V23" s="377">
        <v>0.6</v>
      </c>
      <c r="W23" s="403">
        <v>0.4</v>
      </c>
      <c r="X23" s="377">
        <v>0.4</v>
      </c>
      <c r="Y23" s="403">
        <v>0.6</v>
      </c>
      <c r="Z23" s="495">
        <v>0</v>
      </c>
      <c r="AA23" s="763">
        <v>60</v>
      </c>
      <c r="AB23" s="397">
        <v>6</v>
      </c>
    </row>
    <row r="24" spans="1:33" s="5" customFormat="1" x14ac:dyDescent="0.25">
      <c r="A24" s="496">
        <v>42552</v>
      </c>
      <c r="B24" s="497">
        <v>42916</v>
      </c>
      <c r="C24" s="375">
        <f t="shared" ref="C24:L27" si="1">AnnualAverage($A24,C$7,UnemploymentParms,UnemploymentDates,UnemploymentNames)</f>
        <v>530.61153846153854</v>
      </c>
      <c r="D24" s="374">
        <f t="shared" si="1"/>
        <v>8.8000000000000007</v>
      </c>
      <c r="E24" s="373">
        <f t="shared" si="1"/>
        <v>539.4115384615385</v>
      </c>
      <c r="F24" s="375">
        <f t="shared" si="1"/>
        <v>573.96538461538455</v>
      </c>
      <c r="G24" s="374">
        <f t="shared" si="1"/>
        <v>9.5</v>
      </c>
      <c r="H24" s="373">
        <f t="shared" si="1"/>
        <v>583.46538461538455</v>
      </c>
      <c r="I24" s="375">
        <f t="shared" si="1"/>
        <v>573.96538461538455</v>
      </c>
      <c r="J24" s="374">
        <f t="shared" si="1"/>
        <v>9.5</v>
      </c>
      <c r="K24" s="375">
        <f t="shared" si="1"/>
        <v>583.46538461538455</v>
      </c>
      <c r="L24" s="375">
        <f t="shared" si="1"/>
        <v>479.11538461538458</v>
      </c>
      <c r="M24" s="374">
        <f t="shared" ref="M24:AA28" si="2">AnnualAverage($A24,M$7,UnemploymentParms,UnemploymentDates,UnemploymentNames)</f>
        <v>7.9</v>
      </c>
      <c r="N24" s="373">
        <f t="shared" si="2"/>
        <v>487.01538461538462</v>
      </c>
      <c r="O24" s="375">
        <f t="shared" si="2"/>
        <v>226000</v>
      </c>
      <c r="P24" s="242">
        <f t="shared" si="2"/>
        <v>399250</v>
      </c>
      <c r="Q24" s="242">
        <f t="shared" si="2"/>
        <v>330750</v>
      </c>
      <c r="R24" s="374">
        <f t="shared" si="2"/>
        <v>504000</v>
      </c>
      <c r="S24" s="375">
        <f t="shared" si="2"/>
        <v>104</v>
      </c>
      <c r="T24" s="374">
        <f t="shared" si="2"/>
        <v>254</v>
      </c>
      <c r="U24" s="403">
        <f t="shared" si="2"/>
        <v>0.5</v>
      </c>
      <c r="V24" s="377">
        <f t="shared" si="2"/>
        <v>0.6</v>
      </c>
      <c r="W24" s="403">
        <f t="shared" si="2"/>
        <v>0.4</v>
      </c>
      <c r="X24" s="377">
        <f t="shared" si="2"/>
        <v>0.4</v>
      </c>
      <c r="Y24" s="403">
        <f t="shared" si="2"/>
        <v>0.6</v>
      </c>
      <c r="Z24" s="495">
        <f t="shared" si="2"/>
        <v>0</v>
      </c>
      <c r="AA24" s="763">
        <f t="shared" si="2"/>
        <v>61</v>
      </c>
      <c r="AB24" s="397">
        <f>AnnualAverage($A24,AB$7,UnemploymentParms,UnemploymentDates,UnemploymentNames)</f>
        <v>6</v>
      </c>
    </row>
    <row r="25" spans="1:33" x14ac:dyDescent="0.25">
      <c r="A25" s="165">
        <v>42917</v>
      </c>
      <c r="B25" s="166">
        <v>43281</v>
      </c>
      <c r="C25" s="33">
        <f t="shared" si="1"/>
        <v>539.84615384615381</v>
      </c>
      <c r="D25" s="75">
        <f t="shared" si="1"/>
        <v>8.8000000000000007</v>
      </c>
      <c r="E25" s="107">
        <f t="shared" si="1"/>
        <v>548.64615384615388</v>
      </c>
      <c r="F25" s="33">
        <f t="shared" si="1"/>
        <v>583.91153846153838</v>
      </c>
      <c r="G25" s="75">
        <f t="shared" si="1"/>
        <v>9.5</v>
      </c>
      <c r="H25" s="107">
        <f t="shared" si="1"/>
        <v>593.41153846153838</v>
      </c>
      <c r="I25" s="33">
        <f t="shared" si="1"/>
        <v>583.91153846153838</v>
      </c>
      <c r="J25" s="75">
        <f t="shared" si="1"/>
        <v>9.5</v>
      </c>
      <c r="K25" s="33">
        <f t="shared" si="1"/>
        <v>593.41153846153838</v>
      </c>
      <c r="L25" s="33">
        <f t="shared" si="1"/>
        <v>487.45</v>
      </c>
      <c r="M25" s="75">
        <f t="shared" si="2"/>
        <v>7.9</v>
      </c>
      <c r="N25" s="107">
        <f t="shared" si="2"/>
        <v>495.34999999999997</v>
      </c>
      <c r="O25" s="33">
        <f t="shared" si="2"/>
        <v>253750</v>
      </c>
      <c r="P25" s="34">
        <f t="shared" si="2"/>
        <v>456750</v>
      </c>
      <c r="Q25" s="34">
        <f t="shared" si="2"/>
        <v>380500</v>
      </c>
      <c r="R25" s="75">
        <f t="shared" si="2"/>
        <v>583500</v>
      </c>
      <c r="S25" s="33">
        <f t="shared" si="2"/>
        <v>104</v>
      </c>
      <c r="T25" s="75">
        <f t="shared" si="2"/>
        <v>254</v>
      </c>
      <c r="U25" s="106">
        <f t="shared" si="2"/>
        <v>0.5</v>
      </c>
      <c r="V25" s="104">
        <f t="shared" si="2"/>
        <v>0.6</v>
      </c>
      <c r="W25" s="106">
        <f t="shared" si="2"/>
        <v>0.4</v>
      </c>
      <c r="X25" s="104">
        <f t="shared" si="2"/>
        <v>0.4</v>
      </c>
      <c r="Y25" s="106">
        <f t="shared" si="2"/>
        <v>0.6</v>
      </c>
      <c r="Z25" s="29">
        <f t="shared" si="2"/>
        <v>0</v>
      </c>
      <c r="AA25" s="725">
        <f t="shared" si="2"/>
        <v>62</v>
      </c>
      <c r="AB25" s="15">
        <f>AnnualAverage($A25,AB$7,UnemploymentParms,UnemploymentDates,UnemploymentNames)</f>
        <v>6</v>
      </c>
    </row>
    <row r="26" spans="1:33" x14ac:dyDescent="0.25">
      <c r="A26" s="165">
        <v>43282</v>
      </c>
      <c r="B26" s="166">
        <v>43646</v>
      </c>
      <c r="C26" s="33">
        <f t="shared" si="1"/>
        <v>550.40769230769229</v>
      </c>
      <c r="D26" s="75">
        <f t="shared" si="1"/>
        <v>8.8000000000000007</v>
      </c>
      <c r="E26" s="107">
        <f t="shared" si="1"/>
        <v>559.20769230769224</v>
      </c>
      <c r="F26" s="33">
        <f t="shared" si="1"/>
        <v>595.36538461538464</v>
      </c>
      <c r="G26" s="75">
        <f t="shared" si="1"/>
        <v>9.5</v>
      </c>
      <c r="H26" s="107">
        <f t="shared" si="1"/>
        <v>604.86538461538464</v>
      </c>
      <c r="I26" s="33">
        <f t="shared" si="1"/>
        <v>595.36538461538464</v>
      </c>
      <c r="J26" s="75">
        <f t="shared" si="1"/>
        <v>9.5</v>
      </c>
      <c r="K26" s="33">
        <f t="shared" si="1"/>
        <v>604.86538461538464</v>
      </c>
      <c r="L26" s="33">
        <f t="shared" si="1"/>
        <v>497.05</v>
      </c>
      <c r="M26" s="75">
        <f t="shared" si="2"/>
        <v>7.9</v>
      </c>
      <c r="N26" s="107">
        <f t="shared" si="2"/>
        <v>504.95</v>
      </c>
      <c r="O26" s="33">
        <f t="shared" si="2"/>
        <v>257750</v>
      </c>
      <c r="P26" s="34">
        <f t="shared" si="2"/>
        <v>464250</v>
      </c>
      <c r="Q26" s="34">
        <f t="shared" si="2"/>
        <v>386500</v>
      </c>
      <c r="R26" s="75">
        <f t="shared" si="2"/>
        <v>593000</v>
      </c>
      <c r="S26" s="33">
        <f t="shared" si="2"/>
        <v>104</v>
      </c>
      <c r="T26" s="75">
        <f t="shared" si="2"/>
        <v>254</v>
      </c>
      <c r="U26" s="106">
        <f t="shared" si="2"/>
        <v>0.5</v>
      </c>
      <c r="V26" s="104">
        <f t="shared" si="2"/>
        <v>0.6</v>
      </c>
      <c r="W26" s="106">
        <f t="shared" si="2"/>
        <v>0.4</v>
      </c>
      <c r="X26" s="104">
        <f t="shared" si="2"/>
        <v>0.4</v>
      </c>
      <c r="Y26" s="106">
        <f t="shared" si="2"/>
        <v>0.6</v>
      </c>
      <c r="Z26" s="29">
        <f t="shared" si="2"/>
        <v>0</v>
      </c>
      <c r="AA26" s="725">
        <f t="shared" si="2"/>
        <v>63</v>
      </c>
      <c r="AB26" s="15">
        <f>AnnualAverage($A26,AB$7,UnemploymentParms,UnemploymentDates,UnemploymentNames)</f>
        <v>6</v>
      </c>
    </row>
    <row r="27" spans="1:33" x14ac:dyDescent="0.25">
      <c r="A27" s="165">
        <v>43647</v>
      </c>
      <c r="B27" s="166">
        <v>44012</v>
      </c>
      <c r="C27" s="33">
        <f t="shared" si="1"/>
        <v>562.09615384615381</v>
      </c>
      <c r="D27" s="75">
        <f t="shared" si="1"/>
        <v>8.8000000000000007</v>
      </c>
      <c r="E27" s="107">
        <f t="shared" si="1"/>
        <v>570.89615384615388</v>
      </c>
      <c r="F27" s="33">
        <f t="shared" si="1"/>
        <v>608.04230769230765</v>
      </c>
      <c r="G27" s="75">
        <f t="shared" si="1"/>
        <v>9.5</v>
      </c>
      <c r="H27" s="107">
        <f t="shared" si="1"/>
        <v>617.54230769230765</v>
      </c>
      <c r="I27" s="33">
        <f t="shared" si="1"/>
        <v>608.04230769230765</v>
      </c>
      <c r="J27" s="75">
        <f t="shared" si="1"/>
        <v>9.5</v>
      </c>
      <c r="K27" s="33">
        <f t="shared" si="1"/>
        <v>617.54230769230765</v>
      </c>
      <c r="L27" s="33">
        <f t="shared" si="1"/>
        <v>507.67307692307691</v>
      </c>
      <c r="M27" s="75">
        <f t="shared" si="2"/>
        <v>7.9</v>
      </c>
      <c r="N27" s="107">
        <f t="shared" si="2"/>
        <v>515.57307692307688</v>
      </c>
      <c r="O27" s="33">
        <f t="shared" si="2"/>
        <v>263250</v>
      </c>
      <c r="P27" s="34">
        <f t="shared" si="2"/>
        <v>474250</v>
      </c>
      <c r="Q27" s="34">
        <f t="shared" si="2"/>
        <v>394500</v>
      </c>
      <c r="R27" s="75">
        <f t="shared" si="2"/>
        <v>605500</v>
      </c>
      <c r="S27" s="33">
        <f t="shared" si="2"/>
        <v>104</v>
      </c>
      <c r="T27" s="75">
        <f t="shared" si="2"/>
        <v>254</v>
      </c>
      <c r="U27" s="106">
        <f t="shared" si="2"/>
        <v>0.5</v>
      </c>
      <c r="V27" s="104">
        <f t="shared" si="2"/>
        <v>0.6</v>
      </c>
      <c r="W27" s="106">
        <f t="shared" si="2"/>
        <v>0.4</v>
      </c>
      <c r="X27" s="104">
        <f t="shared" si="2"/>
        <v>0.4</v>
      </c>
      <c r="Y27" s="106">
        <f t="shared" si="2"/>
        <v>0.6</v>
      </c>
      <c r="Z27" s="29">
        <f t="shared" si="2"/>
        <v>0</v>
      </c>
      <c r="AA27" s="725">
        <f t="shared" si="2"/>
        <v>64</v>
      </c>
      <c r="AB27" s="15">
        <f>AnnualAverage($A27,AB$7,UnemploymentParms,UnemploymentDates,UnemploymentNames)</f>
        <v>6</v>
      </c>
    </row>
    <row r="28" spans="1:33" x14ac:dyDescent="0.25">
      <c r="A28" s="165">
        <v>44013</v>
      </c>
      <c r="B28" s="166">
        <v>44377</v>
      </c>
      <c r="C28" s="33">
        <f t="shared" ref="C28:L28" si="3">AnnualAverage($A28,C$7,UnemploymentParms,UnemploymentDates,UnemploymentNames)</f>
        <v>576.11153846153843</v>
      </c>
      <c r="D28" s="75">
        <f t="shared" si="3"/>
        <v>8.8000000000000007</v>
      </c>
      <c r="E28" s="107">
        <f t="shared" si="3"/>
        <v>584.9115384615385</v>
      </c>
      <c r="F28" s="33">
        <f t="shared" si="3"/>
        <v>623.23461538461538</v>
      </c>
      <c r="G28" s="75">
        <f t="shared" si="3"/>
        <v>9.5</v>
      </c>
      <c r="H28" s="107">
        <f t="shared" si="3"/>
        <v>632.73461538461538</v>
      </c>
      <c r="I28" s="33">
        <f t="shared" si="3"/>
        <v>623.23461538461538</v>
      </c>
      <c r="J28" s="75">
        <f t="shared" si="3"/>
        <v>9.5</v>
      </c>
      <c r="K28" s="33">
        <f t="shared" si="3"/>
        <v>632.73461538461538</v>
      </c>
      <c r="L28" s="33">
        <f t="shared" si="3"/>
        <v>520.38461538461536</v>
      </c>
      <c r="M28" s="75">
        <f t="shared" ref="M28:X28" si="4">AnnualAverage($A28,M$7,UnemploymentParms,UnemploymentDates,UnemploymentNames)</f>
        <v>7.9</v>
      </c>
      <c r="N28" s="107">
        <f t="shared" si="4"/>
        <v>528.28461538461534</v>
      </c>
      <c r="O28" s="33">
        <f t="shared" si="4"/>
        <v>269500</v>
      </c>
      <c r="P28" s="34">
        <f t="shared" si="4"/>
        <v>485500</v>
      </c>
      <c r="Q28" s="34">
        <f t="shared" si="4"/>
        <v>404000</v>
      </c>
      <c r="R28" s="75">
        <f t="shared" si="4"/>
        <v>620000</v>
      </c>
      <c r="S28" s="33">
        <f t="shared" si="4"/>
        <v>106</v>
      </c>
      <c r="T28" s="75">
        <f t="shared" si="4"/>
        <v>256</v>
      </c>
      <c r="U28" s="106">
        <f t="shared" si="4"/>
        <v>0.5</v>
      </c>
      <c r="V28" s="104">
        <f t="shared" si="4"/>
        <v>0.6</v>
      </c>
      <c r="W28" s="106">
        <f t="shared" si="4"/>
        <v>0.4</v>
      </c>
      <c r="X28" s="104">
        <f t="shared" si="4"/>
        <v>0.4</v>
      </c>
      <c r="Y28" s="106">
        <f t="shared" si="2"/>
        <v>0.6</v>
      </c>
      <c r="Z28" s="29">
        <f t="shared" si="2"/>
        <v>0</v>
      </c>
      <c r="AA28" s="725">
        <f t="shared" si="2"/>
        <v>65</v>
      </c>
      <c r="AB28" s="15">
        <f>AnnualAverage($A28,AB$7,UnemploymentParms,UnemploymentDates,UnemploymentNames)</f>
        <v>6</v>
      </c>
    </row>
    <row r="29" spans="1:33" x14ac:dyDescent="0.25">
      <c r="C29" s="19"/>
      <c r="D29" s="19"/>
      <c r="E29" s="19"/>
      <c r="F29" s="19"/>
      <c r="G29" s="19"/>
      <c r="H29" s="19"/>
      <c r="I29" s="19"/>
      <c r="J29" s="19"/>
      <c r="K29" s="19"/>
      <c r="L29" s="19"/>
      <c r="M29" s="19"/>
      <c r="N29" s="19"/>
      <c r="O29" s="19"/>
      <c r="P29" s="19"/>
      <c r="Q29" s="19"/>
      <c r="R29" s="19"/>
      <c r="S29" s="19"/>
      <c r="T29" s="19"/>
      <c r="U29" s="19"/>
      <c r="V29" s="19"/>
      <c r="W29" s="19"/>
      <c r="X29" s="19"/>
      <c r="Y29" s="19"/>
      <c r="Z29" s="19"/>
      <c r="AA29" s="19"/>
      <c r="AB29" s="19"/>
      <c r="AC29" s="19"/>
      <c r="AD29" s="19"/>
      <c r="AE29" s="19"/>
      <c r="AF29" s="19"/>
      <c r="AG29" s="19"/>
    </row>
  </sheetData>
  <customSheetViews>
    <customSheetView guid="{E49C2F27-B0B9-497E-BEC0-5B59561292FE}">
      <selection activeCell="AB23" sqref="AB23"/>
      <pageMargins left="0.7" right="0.7" top="0.75" bottom="0.75" header="0.3" footer="0.3"/>
      <pageSetup paperSize="9" orientation="portrait" r:id="rId1"/>
    </customSheetView>
    <customSheetView guid="{A5953138-1481-4137-BEAD-32FA4FDF03E6}">
      <selection activeCell="AB23" sqref="AB23"/>
      <pageMargins left="0.7" right="0.7" top="0.75" bottom="0.75" header="0.3" footer="0.3"/>
      <pageSetup paperSize="9" orientation="portrait" r:id="rId2"/>
    </customSheetView>
    <customSheetView guid="{2A1F94CA-1A34-4418-88FD-EABF7586C2B2}">
      <selection activeCell="AB23" sqref="AB23"/>
      <pageMargins left="0.7" right="0.7" top="0.75" bottom="0.75" header="0.3" footer="0.3"/>
      <pageSetup paperSize="9" orientation="portrait" r:id="rId3"/>
    </customSheetView>
  </customSheetViews>
  <mergeCells count="36">
    <mergeCell ref="A2:B3"/>
    <mergeCell ref="A4:A6"/>
    <mergeCell ref="B4:B6"/>
    <mergeCell ref="C1:N2"/>
    <mergeCell ref="C4:E4"/>
    <mergeCell ref="F4:H4"/>
    <mergeCell ref="I4:K4"/>
    <mergeCell ref="C3:K3"/>
    <mergeCell ref="O4:O6"/>
    <mergeCell ref="P4:P6"/>
    <mergeCell ref="C5:D5"/>
    <mergeCell ref="E5:E6"/>
    <mergeCell ref="F5:G5"/>
    <mergeCell ref="H5:H6"/>
    <mergeCell ref="I5:J5"/>
    <mergeCell ref="K5:K6"/>
    <mergeCell ref="L3:N4"/>
    <mergeCell ref="L5:M5"/>
    <mergeCell ref="N5:N6"/>
    <mergeCell ref="O3:P3"/>
    <mergeCell ref="Y1:Y6"/>
    <mergeCell ref="Z1:Z6"/>
    <mergeCell ref="AA1:AA6"/>
    <mergeCell ref="AB1:AB6"/>
    <mergeCell ref="S5:S6"/>
    <mergeCell ref="T5:T6"/>
    <mergeCell ref="U5:V5"/>
    <mergeCell ref="W5:X5"/>
    <mergeCell ref="O1:X1"/>
    <mergeCell ref="O2:R2"/>
    <mergeCell ref="S2:X2"/>
    <mergeCell ref="Q3:R3"/>
    <mergeCell ref="S3:T4"/>
    <mergeCell ref="U3:X4"/>
    <mergeCell ref="Q4:Q6"/>
    <mergeCell ref="R4:R6"/>
  </mergeCells>
  <pageMargins left="0.7" right="0.7" top="0.75" bottom="0.75" header="0.3" footer="0.3"/>
  <pageSetup paperSize="9" orientation="portrait" r:id="rId4"/>
  <legacyDrawing r:id="rId5"/>
</worksheet>
</file>

<file path=xl/worksheets/sheet2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sheetPr codeName="Sheet8">
    <tabColor rgb="FF00B0F0"/>
  </sheetPr>
  <dimension ref="A1:AJ91"/>
  <sheetViews>
    <sheetView zoomScale="90" workbookViewId="0">
      <pane xSplit="2" ySplit="7" topLeftCell="C63" activePane="bottomRight" state="frozen"/>
      <selection pane="topRight" activeCell="C1" sqref="C1"/>
      <selection pane="bottomLeft" activeCell="A8" sqref="A8"/>
      <selection pane="bottomRight" activeCell="C1" sqref="C1:T2"/>
    </sheetView>
  </sheetViews>
  <sheetFormatPr defaultRowHeight="15" x14ac:dyDescent="0.25"/>
  <cols>
    <col min="1" max="2" width="11.5703125" style="209" bestFit="1" customWidth="1"/>
    <col min="3" max="3" width="20.85546875" style="12" bestFit="1" customWidth="1"/>
    <col min="4" max="4" width="19.5703125" style="12" bestFit="1" customWidth="1"/>
    <col min="5" max="6" width="20.85546875" style="12" bestFit="1" customWidth="1"/>
    <col min="7" max="7" width="19.5703125" style="12" bestFit="1" customWidth="1"/>
    <col min="8" max="9" width="20.85546875" style="12" bestFit="1" customWidth="1"/>
    <col min="10" max="10" width="19.5703125" style="12" bestFit="1" customWidth="1"/>
    <col min="11" max="11" width="20.85546875" style="12" bestFit="1" customWidth="1"/>
    <col min="12" max="12" width="16.85546875" style="54" bestFit="1" customWidth="1"/>
    <col min="13" max="13" width="15.5703125" style="12" bestFit="1" customWidth="1"/>
    <col min="14" max="14" width="16.85546875" style="12" bestFit="1" customWidth="1"/>
    <col min="15" max="15" width="22.28515625" style="12" bestFit="1" customWidth="1"/>
    <col min="16" max="16" width="20.85546875" style="12" bestFit="1" customWidth="1"/>
    <col min="17" max="18" width="22.28515625" style="12" bestFit="1" customWidth="1"/>
    <col min="19" max="19" width="20.85546875" style="12" bestFit="1" customWidth="1"/>
    <col min="20" max="20" width="22.28515625" style="12" bestFit="1" customWidth="1"/>
    <col min="21" max="22" width="23.5703125" style="12" bestFit="1" customWidth="1"/>
    <col min="23" max="24" width="23.5703125" style="53" bestFit="1" customWidth="1"/>
    <col min="25" max="25" width="19.5703125" style="28" bestFit="1" customWidth="1"/>
    <col min="26" max="26" width="12.85546875" style="12" bestFit="1" customWidth="1"/>
    <col min="27" max="27" width="18.28515625" style="12" bestFit="1" customWidth="1"/>
    <col min="28" max="28" width="18.42578125" style="12" bestFit="1" customWidth="1"/>
    <col min="29" max="29" width="20.28515625" style="28" customWidth="1"/>
    <col min="30" max="30" width="20.140625" style="28" customWidth="1"/>
    <col min="31" max="31" width="28" style="28" customWidth="1"/>
    <col min="32" max="32" width="19.42578125" style="28" customWidth="1"/>
    <col min="33" max="33" width="21.140625" style="28" customWidth="1"/>
    <col min="34" max="35" width="9.140625" style="28"/>
    <col min="36" max="36" width="10.28515625" style="28" bestFit="1" customWidth="1"/>
    <col min="37" max="16384" width="9.140625" style="28"/>
  </cols>
  <sheetData>
    <row r="1" spans="1:33" ht="15" customHeight="1" thickBot="1" x14ac:dyDescent="0.3">
      <c r="A1" s="1164" t="s">
        <v>13</v>
      </c>
      <c r="B1" s="1165"/>
      <c r="C1" s="1318" t="s">
        <v>108</v>
      </c>
      <c r="D1" s="1319"/>
      <c r="E1" s="1319"/>
      <c r="F1" s="1319"/>
      <c r="G1" s="1319"/>
      <c r="H1" s="1319"/>
      <c r="I1" s="1319"/>
      <c r="J1" s="1319"/>
      <c r="K1" s="1319"/>
      <c r="L1" s="1319"/>
      <c r="M1" s="1319"/>
      <c r="N1" s="1319"/>
      <c r="O1" s="1319"/>
      <c r="P1" s="1319"/>
      <c r="Q1" s="1319"/>
      <c r="R1" s="1319"/>
      <c r="S1" s="1319"/>
      <c r="T1" s="1320"/>
      <c r="U1" s="1160" t="s">
        <v>225</v>
      </c>
      <c r="V1" s="1161"/>
      <c r="W1" s="1161"/>
      <c r="X1" s="1161"/>
      <c r="Y1" s="1160" t="s">
        <v>40</v>
      </c>
      <c r="Z1" s="1161"/>
      <c r="AA1" s="1161"/>
      <c r="AB1" s="1162"/>
      <c r="AC1" s="1251" t="s">
        <v>661</v>
      </c>
      <c r="AD1" s="1251" t="s">
        <v>859</v>
      </c>
      <c r="AE1" s="1251" t="s">
        <v>557</v>
      </c>
      <c r="AF1" s="1251" t="s">
        <v>560</v>
      </c>
      <c r="AG1" s="1251" t="s">
        <v>561</v>
      </c>
    </row>
    <row r="2" spans="1:33" ht="30.75" thickBot="1" x14ac:dyDescent="0.3">
      <c r="A2" s="1215"/>
      <c r="B2" s="1236"/>
      <c r="C2" s="1321"/>
      <c r="D2" s="1322"/>
      <c r="E2" s="1322"/>
      <c r="F2" s="1322"/>
      <c r="G2" s="1322"/>
      <c r="H2" s="1322"/>
      <c r="I2" s="1322"/>
      <c r="J2" s="1322"/>
      <c r="K2" s="1322"/>
      <c r="L2" s="1322"/>
      <c r="M2" s="1322"/>
      <c r="N2" s="1322"/>
      <c r="O2" s="1322"/>
      <c r="P2" s="1322"/>
      <c r="Q2" s="1322"/>
      <c r="R2" s="1322"/>
      <c r="S2" s="1322"/>
      <c r="T2" s="1323"/>
      <c r="U2" s="1164" t="s">
        <v>226</v>
      </c>
      <c r="V2" s="1214"/>
      <c r="W2" s="1214"/>
      <c r="X2" s="1165"/>
      <c r="Y2" s="832" t="s">
        <v>42</v>
      </c>
      <c r="Z2" s="1164" t="s">
        <v>232</v>
      </c>
      <c r="AA2" s="1214"/>
      <c r="AB2" s="1165"/>
      <c r="AC2" s="1252"/>
      <c r="AD2" s="1252"/>
      <c r="AE2" s="1252"/>
      <c r="AF2" s="1252"/>
      <c r="AG2" s="1252"/>
    </row>
    <row r="3" spans="1:33" ht="15.75" customHeight="1" thickBot="1" x14ac:dyDescent="0.3">
      <c r="A3" s="1215"/>
      <c r="B3" s="1236"/>
      <c r="C3" s="1299" t="s">
        <v>221</v>
      </c>
      <c r="D3" s="1300"/>
      <c r="E3" s="1300"/>
      <c r="F3" s="1300"/>
      <c r="G3" s="1300"/>
      <c r="H3" s="1300"/>
      <c r="I3" s="1306" t="s">
        <v>224</v>
      </c>
      <c r="J3" s="1307"/>
      <c r="K3" s="1308"/>
      <c r="L3" s="1306" t="s">
        <v>222</v>
      </c>
      <c r="M3" s="1307"/>
      <c r="N3" s="1308"/>
      <c r="O3" s="1306" t="s">
        <v>223</v>
      </c>
      <c r="P3" s="1307"/>
      <c r="Q3" s="1308"/>
      <c r="R3" s="1306" t="s">
        <v>54</v>
      </c>
      <c r="S3" s="1307"/>
      <c r="T3" s="1308"/>
      <c r="U3" s="1166"/>
      <c r="V3" s="1217"/>
      <c r="W3" s="1217"/>
      <c r="X3" s="1167"/>
      <c r="Y3" s="1157" t="s">
        <v>43</v>
      </c>
      <c r="Z3" s="1215"/>
      <c r="AA3" s="1216"/>
      <c r="AB3" s="1236"/>
      <c r="AC3" s="1252"/>
      <c r="AD3" s="1252"/>
      <c r="AE3" s="1252"/>
      <c r="AF3" s="1252"/>
      <c r="AG3" s="1252"/>
    </row>
    <row r="4" spans="1:33" ht="15.75" customHeight="1" thickBot="1" x14ac:dyDescent="0.3">
      <c r="A4" s="1312" t="s">
        <v>16</v>
      </c>
      <c r="B4" s="1314" t="s">
        <v>17</v>
      </c>
      <c r="C4" s="1208" t="s">
        <v>109</v>
      </c>
      <c r="D4" s="1316"/>
      <c r="E4" s="1224" t="s">
        <v>33</v>
      </c>
      <c r="F4" s="1208" t="s">
        <v>110</v>
      </c>
      <c r="G4" s="1317"/>
      <c r="H4" s="1224" t="s">
        <v>33</v>
      </c>
      <c r="I4" s="1309"/>
      <c r="J4" s="1310"/>
      <c r="K4" s="1311"/>
      <c r="L4" s="1309"/>
      <c r="M4" s="1310"/>
      <c r="N4" s="1311"/>
      <c r="O4" s="1309"/>
      <c r="P4" s="1310"/>
      <c r="Q4" s="1311"/>
      <c r="R4" s="1309"/>
      <c r="S4" s="1310"/>
      <c r="T4" s="1311"/>
      <c r="U4" s="1301" t="s">
        <v>227</v>
      </c>
      <c r="V4" s="1302"/>
      <c r="W4" s="1260" t="s">
        <v>158</v>
      </c>
      <c r="X4" s="1262"/>
      <c r="Y4" s="1158"/>
      <c r="Z4" s="1166"/>
      <c r="AA4" s="1217"/>
      <c r="AB4" s="1167"/>
      <c r="AC4" s="1252"/>
      <c r="AD4" s="1252"/>
      <c r="AE4" s="1252"/>
      <c r="AF4" s="1252"/>
      <c r="AG4" s="1252"/>
    </row>
    <row r="5" spans="1:33" ht="15.75" thickBot="1" x14ac:dyDescent="0.3">
      <c r="A5" s="1312"/>
      <c r="B5" s="1314"/>
      <c r="C5" s="1229" t="s">
        <v>188</v>
      </c>
      <c r="D5" s="1249"/>
      <c r="E5" s="1225" t="s">
        <v>33</v>
      </c>
      <c r="F5" s="1229" t="s">
        <v>188</v>
      </c>
      <c r="G5" s="1317"/>
      <c r="H5" s="1225" t="s">
        <v>33</v>
      </c>
      <c r="I5" s="1229" t="s">
        <v>188</v>
      </c>
      <c r="J5" s="1247"/>
      <c r="K5" s="1224" t="s">
        <v>33</v>
      </c>
      <c r="L5" s="1229" t="s">
        <v>188</v>
      </c>
      <c r="M5" s="1247"/>
      <c r="N5" s="1305" t="s">
        <v>33</v>
      </c>
      <c r="O5" s="1229" t="s">
        <v>188</v>
      </c>
      <c r="P5" s="1249"/>
      <c r="Q5" s="1305" t="s">
        <v>33</v>
      </c>
      <c r="R5" s="1229" t="s">
        <v>188</v>
      </c>
      <c r="S5" s="1249"/>
      <c r="T5" s="1305" t="s">
        <v>33</v>
      </c>
      <c r="U5" s="1303"/>
      <c r="V5" s="1304"/>
      <c r="W5" s="1263"/>
      <c r="X5" s="1265"/>
      <c r="Y5" s="1158"/>
      <c r="Z5" s="1224" t="s">
        <v>229</v>
      </c>
      <c r="AA5" s="1224" t="s">
        <v>230</v>
      </c>
      <c r="AB5" s="1224" t="s">
        <v>231</v>
      </c>
      <c r="AC5" s="1252"/>
      <c r="AD5" s="1252"/>
      <c r="AE5" s="1252"/>
      <c r="AF5" s="1252"/>
      <c r="AG5" s="1252"/>
    </row>
    <row r="6" spans="1:33" ht="15.75" thickBot="1" x14ac:dyDescent="0.3">
      <c r="A6" s="1313"/>
      <c r="B6" s="1315"/>
      <c r="C6" s="182" t="s">
        <v>212</v>
      </c>
      <c r="D6" s="183" t="s">
        <v>606</v>
      </c>
      <c r="E6" s="1226"/>
      <c r="F6" s="182" t="s">
        <v>212</v>
      </c>
      <c r="G6" s="183" t="s">
        <v>606</v>
      </c>
      <c r="H6" s="1226"/>
      <c r="I6" s="182" t="s">
        <v>212</v>
      </c>
      <c r="J6" s="183" t="s">
        <v>606</v>
      </c>
      <c r="K6" s="1226"/>
      <c r="L6" s="182" t="s">
        <v>212</v>
      </c>
      <c r="M6" s="183" t="s">
        <v>606</v>
      </c>
      <c r="N6" s="1234"/>
      <c r="O6" s="182" t="s">
        <v>212</v>
      </c>
      <c r="P6" s="183" t="s">
        <v>606</v>
      </c>
      <c r="Q6" s="1234"/>
      <c r="R6" s="182" t="s">
        <v>212</v>
      </c>
      <c r="S6" s="183" t="s">
        <v>606</v>
      </c>
      <c r="T6" s="1234"/>
      <c r="U6" s="182" t="s">
        <v>156</v>
      </c>
      <c r="V6" s="183" t="s">
        <v>157</v>
      </c>
      <c r="W6" s="206" t="s">
        <v>156</v>
      </c>
      <c r="X6" s="207" t="s">
        <v>157</v>
      </c>
      <c r="Y6" s="1159"/>
      <c r="Z6" s="1226"/>
      <c r="AA6" s="1226"/>
      <c r="AB6" s="1226"/>
      <c r="AC6" s="1253"/>
      <c r="AD6" s="1253"/>
      <c r="AE6" s="1253"/>
      <c r="AF6" s="1253"/>
      <c r="AG6" s="1253"/>
    </row>
    <row r="7" spans="1:33" ht="15.75" thickBot="1" x14ac:dyDescent="0.3">
      <c r="A7" s="713" t="s">
        <v>550</v>
      </c>
      <c r="B7" s="714" t="s">
        <v>551</v>
      </c>
      <c r="C7" s="55" t="s">
        <v>570</v>
      </c>
      <c r="D7" s="56" t="s">
        <v>623</v>
      </c>
      <c r="E7" s="184" t="s">
        <v>777</v>
      </c>
      <c r="F7" s="55" t="s">
        <v>571</v>
      </c>
      <c r="G7" s="56" t="s">
        <v>624</v>
      </c>
      <c r="H7" s="184" t="s">
        <v>778</v>
      </c>
      <c r="I7" s="55" t="s">
        <v>572</v>
      </c>
      <c r="J7" s="56" t="s">
        <v>625</v>
      </c>
      <c r="K7" s="184" t="s">
        <v>779</v>
      </c>
      <c r="L7" s="55" t="s">
        <v>573</v>
      </c>
      <c r="M7" s="56" t="s">
        <v>626</v>
      </c>
      <c r="N7" s="184" t="s">
        <v>780</v>
      </c>
      <c r="O7" s="55" t="s">
        <v>574</v>
      </c>
      <c r="P7" s="56" t="s">
        <v>627</v>
      </c>
      <c r="Q7" s="184" t="s">
        <v>781</v>
      </c>
      <c r="R7" s="55" t="s">
        <v>575</v>
      </c>
      <c r="S7" s="56" t="s">
        <v>628</v>
      </c>
      <c r="T7" s="184" t="s">
        <v>782</v>
      </c>
      <c r="U7" s="55" t="s">
        <v>576</v>
      </c>
      <c r="V7" s="56" t="s">
        <v>577</v>
      </c>
      <c r="W7" s="208" t="s">
        <v>578</v>
      </c>
      <c r="X7" s="186" t="s">
        <v>579</v>
      </c>
      <c r="Y7" s="83" t="s">
        <v>411</v>
      </c>
      <c r="Z7" s="55" t="s">
        <v>783</v>
      </c>
      <c r="AA7" s="185" t="s">
        <v>784</v>
      </c>
      <c r="AB7" s="56" t="s">
        <v>785</v>
      </c>
      <c r="AC7" s="184" t="s">
        <v>412</v>
      </c>
      <c r="AD7" s="184" t="s">
        <v>599</v>
      </c>
      <c r="AE7" s="184" t="s">
        <v>413</v>
      </c>
      <c r="AF7" s="184" t="s">
        <v>414</v>
      </c>
      <c r="AG7" s="726" t="s">
        <v>415</v>
      </c>
    </row>
    <row r="8" spans="1:33" x14ac:dyDescent="0.25">
      <c r="A8" s="161">
        <v>36708</v>
      </c>
      <c r="B8" s="162">
        <v>36788</v>
      </c>
      <c r="C8" s="18">
        <v>153.9</v>
      </c>
      <c r="D8" s="60"/>
      <c r="E8" s="92">
        <f>SUM(C8:D8)</f>
        <v>153.9</v>
      </c>
      <c r="F8" s="18">
        <v>185</v>
      </c>
      <c r="G8" s="60"/>
      <c r="H8" s="92">
        <f>SUM(F8:G8)</f>
        <v>185</v>
      </c>
      <c r="I8" s="18">
        <v>281.10000000000002</v>
      </c>
      <c r="J8" s="60"/>
      <c r="K8" s="18">
        <f>SUM(I8:J8)</f>
        <v>281.10000000000002</v>
      </c>
      <c r="L8" s="18">
        <v>281.10000000000002</v>
      </c>
      <c r="M8" s="60"/>
      <c r="N8" s="60">
        <f>SUM(L8:M8)</f>
        <v>281.10000000000002</v>
      </c>
      <c r="O8" s="18">
        <v>308.7</v>
      </c>
      <c r="P8" s="60"/>
      <c r="Q8" s="92">
        <f>SUM(O8:P8)</f>
        <v>308.7</v>
      </c>
      <c r="R8" s="18">
        <v>368.3</v>
      </c>
      <c r="S8" s="60"/>
      <c r="T8" s="92">
        <f>SUM(R8:S8)</f>
        <v>368.3</v>
      </c>
      <c r="U8" s="18">
        <v>236</v>
      </c>
      <c r="V8" s="60">
        <v>316</v>
      </c>
      <c r="W8" s="58">
        <v>0.5</v>
      </c>
      <c r="X8" s="57">
        <v>0.7</v>
      </c>
      <c r="Y8" s="3">
        <v>25</v>
      </c>
      <c r="Z8" s="18"/>
      <c r="AA8" s="20"/>
      <c r="AB8" s="20"/>
      <c r="AC8" s="737">
        <v>16</v>
      </c>
      <c r="AD8" s="737">
        <v>25</v>
      </c>
      <c r="AE8" s="737">
        <v>0.5</v>
      </c>
      <c r="AF8" s="674">
        <v>0.25</v>
      </c>
      <c r="AG8" s="727">
        <v>24388</v>
      </c>
    </row>
    <row r="9" spans="1:33" x14ac:dyDescent="0.25">
      <c r="A9" s="163">
        <v>36789</v>
      </c>
      <c r="B9" s="164">
        <v>36891</v>
      </c>
      <c r="C9" s="17">
        <v>153.9</v>
      </c>
      <c r="D9" s="35"/>
      <c r="E9" s="93">
        <f t="shared" ref="E9:E69" si="0">SUM(C9:D9)</f>
        <v>153.9</v>
      </c>
      <c r="F9" s="17">
        <v>185</v>
      </c>
      <c r="G9" s="35"/>
      <c r="H9" s="93">
        <f t="shared" ref="H9:H69" si="1">SUM(F9:G9)</f>
        <v>185</v>
      </c>
      <c r="I9" s="17">
        <v>281.10000000000002</v>
      </c>
      <c r="J9" s="35"/>
      <c r="K9" s="17">
        <f t="shared" ref="K9:K69" si="2">SUM(I9:J9)</f>
        <v>281.10000000000002</v>
      </c>
      <c r="L9" s="17">
        <v>281.10000000000002</v>
      </c>
      <c r="M9" s="35"/>
      <c r="N9" s="35">
        <f t="shared" ref="N9:N69" si="3">SUM(L9:M9)</f>
        <v>281.10000000000002</v>
      </c>
      <c r="O9" s="17">
        <v>308.7</v>
      </c>
      <c r="P9" s="35"/>
      <c r="Q9" s="93">
        <f t="shared" ref="Q9:Q69" si="4">SUM(O9:P9)</f>
        <v>308.7</v>
      </c>
      <c r="R9" s="17">
        <v>368.3</v>
      </c>
      <c r="S9" s="35"/>
      <c r="T9" s="93">
        <f t="shared" ref="T9:T69" si="5">SUM(R9:S9)</f>
        <v>368.3</v>
      </c>
      <c r="U9" s="17">
        <v>236</v>
      </c>
      <c r="V9" s="35">
        <v>316</v>
      </c>
      <c r="W9" s="62">
        <v>0.5</v>
      </c>
      <c r="X9" s="61">
        <v>0.7</v>
      </c>
      <c r="Y9" s="2">
        <v>25</v>
      </c>
      <c r="Z9" s="17"/>
      <c r="AA9" s="19"/>
      <c r="AB9" s="19"/>
      <c r="AC9" s="738">
        <v>16</v>
      </c>
      <c r="AD9" s="738">
        <v>25</v>
      </c>
      <c r="AE9" s="738">
        <v>0.5</v>
      </c>
      <c r="AF9" s="675">
        <v>0.25</v>
      </c>
      <c r="AG9" s="728">
        <v>24388</v>
      </c>
    </row>
    <row r="10" spans="1:33" x14ac:dyDescent="0.25">
      <c r="A10" s="163">
        <v>36892</v>
      </c>
      <c r="B10" s="164">
        <v>36969</v>
      </c>
      <c r="C10" s="17">
        <v>158.80000000000001</v>
      </c>
      <c r="D10" s="35"/>
      <c r="E10" s="93">
        <f t="shared" si="0"/>
        <v>158.80000000000001</v>
      </c>
      <c r="F10" s="17">
        <v>190.9</v>
      </c>
      <c r="G10" s="35"/>
      <c r="H10" s="93">
        <f t="shared" si="1"/>
        <v>190.9</v>
      </c>
      <c r="I10" s="17">
        <v>290.10000000000002</v>
      </c>
      <c r="J10" s="35"/>
      <c r="K10" s="17">
        <f t="shared" si="2"/>
        <v>290.10000000000002</v>
      </c>
      <c r="L10" s="17">
        <v>290.10000000000002</v>
      </c>
      <c r="M10" s="35"/>
      <c r="N10" s="35">
        <f t="shared" si="3"/>
        <v>290.10000000000002</v>
      </c>
      <c r="O10" s="17">
        <v>318.60000000000002</v>
      </c>
      <c r="P10" s="35"/>
      <c r="Q10" s="93">
        <f t="shared" si="4"/>
        <v>318.60000000000002</v>
      </c>
      <c r="R10" s="17">
        <v>380.1</v>
      </c>
      <c r="S10" s="35"/>
      <c r="T10" s="93">
        <f t="shared" si="5"/>
        <v>380.1</v>
      </c>
      <c r="U10" s="17">
        <v>236</v>
      </c>
      <c r="V10" s="35">
        <v>316</v>
      </c>
      <c r="W10" s="62">
        <v>0.5</v>
      </c>
      <c r="X10" s="61">
        <v>0.7</v>
      </c>
      <c r="Y10" s="2">
        <v>25</v>
      </c>
      <c r="Z10" s="17"/>
      <c r="AA10" s="19"/>
      <c r="AB10" s="19"/>
      <c r="AC10" s="738">
        <v>16</v>
      </c>
      <c r="AD10" s="738">
        <v>25</v>
      </c>
      <c r="AE10" s="738">
        <v>0.5</v>
      </c>
      <c r="AF10" s="675">
        <v>0.25</v>
      </c>
      <c r="AG10" s="728">
        <v>25150</v>
      </c>
    </row>
    <row r="11" spans="1:33" ht="15.75" thickBot="1" x14ac:dyDescent="0.3">
      <c r="A11" s="180">
        <v>36970</v>
      </c>
      <c r="B11" s="181">
        <v>37072</v>
      </c>
      <c r="C11" s="65">
        <v>158.80000000000001</v>
      </c>
      <c r="D11" s="69"/>
      <c r="E11" s="94">
        <f t="shared" si="0"/>
        <v>158.80000000000001</v>
      </c>
      <c r="F11" s="65">
        <v>190.9</v>
      </c>
      <c r="G11" s="69"/>
      <c r="H11" s="94">
        <f t="shared" si="1"/>
        <v>190.9</v>
      </c>
      <c r="I11" s="65">
        <v>290.10000000000002</v>
      </c>
      <c r="J11" s="69"/>
      <c r="K11" s="65">
        <f t="shared" si="2"/>
        <v>290.10000000000002</v>
      </c>
      <c r="L11" s="65">
        <v>290.10000000000002</v>
      </c>
      <c r="M11" s="69"/>
      <c r="N11" s="94">
        <f t="shared" si="3"/>
        <v>290.10000000000002</v>
      </c>
      <c r="O11" s="65">
        <v>318.60000000000002</v>
      </c>
      <c r="P11" s="69"/>
      <c r="Q11" s="94">
        <f t="shared" si="4"/>
        <v>318.60000000000002</v>
      </c>
      <c r="R11" s="65">
        <v>380.1</v>
      </c>
      <c r="S11" s="69"/>
      <c r="T11" s="94">
        <f t="shared" si="5"/>
        <v>380.1</v>
      </c>
      <c r="U11" s="65">
        <v>236</v>
      </c>
      <c r="V11" s="69">
        <v>316</v>
      </c>
      <c r="W11" s="67">
        <v>0.5</v>
      </c>
      <c r="X11" s="66">
        <v>0.7</v>
      </c>
      <c r="Y11" s="85">
        <v>25</v>
      </c>
      <c r="Z11" s="65"/>
      <c r="AA11" s="68"/>
      <c r="AB11" s="68"/>
      <c r="AC11" s="739">
        <v>16</v>
      </c>
      <c r="AD11" s="739">
        <v>25</v>
      </c>
      <c r="AE11" s="739">
        <v>0.5</v>
      </c>
      <c r="AF11" s="676">
        <v>0.25</v>
      </c>
      <c r="AG11" s="729">
        <v>25150</v>
      </c>
    </row>
    <row r="12" spans="1:33" x14ac:dyDescent="0.25">
      <c r="A12" s="161">
        <v>37073</v>
      </c>
      <c r="B12" s="162">
        <v>37153</v>
      </c>
      <c r="C12" s="18">
        <v>158.80000000000001</v>
      </c>
      <c r="D12" s="60"/>
      <c r="E12" s="92">
        <f t="shared" si="0"/>
        <v>158.80000000000001</v>
      </c>
      <c r="F12" s="18">
        <v>190.9</v>
      </c>
      <c r="G12" s="60"/>
      <c r="H12" s="92">
        <f t="shared" si="1"/>
        <v>190.9</v>
      </c>
      <c r="I12" s="18">
        <v>290.10000000000002</v>
      </c>
      <c r="J12" s="60"/>
      <c r="K12" s="18">
        <f t="shared" si="2"/>
        <v>290.10000000000002</v>
      </c>
      <c r="L12" s="18">
        <v>290.10000000000002</v>
      </c>
      <c r="M12" s="60"/>
      <c r="N12" s="92">
        <f t="shared" si="3"/>
        <v>290.10000000000002</v>
      </c>
      <c r="O12" s="18">
        <v>318.60000000000002</v>
      </c>
      <c r="P12" s="60"/>
      <c r="Q12" s="92">
        <f t="shared" si="4"/>
        <v>318.60000000000002</v>
      </c>
      <c r="R12" s="18">
        <v>380.1</v>
      </c>
      <c r="S12" s="60"/>
      <c r="T12" s="92">
        <f t="shared" si="5"/>
        <v>380.1</v>
      </c>
      <c r="U12" s="18">
        <v>236</v>
      </c>
      <c r="V12" s="60">
        <v>316</v>
      </c>
      <c r="W12" s="58">
        <v>0.5</v>
      </c>
      <c r="X12" s="57">
        <v>0.7</v>
      </c>
      <c r="Y12" s="3">
        <v>25</v>
      </c>
      <c r="Z12" s="18"/>
      <c r="AA12" s="20"/>
      <c r="AB12" s="60"/>
      <c r="AC12" s="737">
        <v>16</v>
      </c>
      <c r="AD12" s="737">
        <v>25</v>
      </c>
      <c r="AE12" s="737">
        <v>0.5</v>
      </c>
      <c r="AF12" s="674">
        <v>0.25</v>
      </c>
      <c r="AG12" s="727">
        <v>25150</v>
      </c>
    </row>
    <row r="13" spans="1:33" x14ac:dyDescent="0.25">
      <c r="A13" s="163">
        <v>37154</v>
      </c>
      <c r="B13" s="164">
        <v>37256</v>
      </c>
      <c r="C13" s="17">
        <v>158.80000000000001</v>
      </c>
      <c r="D13" s="35"/>
      <c r="E13" s="93">
        <f t="shared" si="0"/>
        <v>158.80000000000001</v>
      </c>
      <c r="F13" s="17">
        <v>190.9</v>
      </c>
      <c r="G13" s="35"/>
      <c r="H13" s="93">
        <f t="shared" si="1"/>
        <v>190.9</v>
      </c>
      <c r="I13" s="17">
        <v>290.10000000000002</v>
      </c>
      <c r="J13" s="35"/>
      <c r="K13" s="17">
        <f t="shared" si="2"/>
        <v>290.10000000000002</v>
      </c>
      <c r="L13" s="17">
        <v>290.10000000000002</v>
      </c>
      <c r="M13" s="35"/>
      <c r="N13" s="93">
        <f t="shared" si="3"/>
        <v>290.10000000000002</v>
      </c>
      <c r="O13" s="17">
        <v>318.60000000000002</v>
      </c>
      <c r="P13" s="35"/>
      <c r="Q13" s="93">
        <f t="shared" si="4"/>
        <v>318.60000000000002</v>
      </c>
      <c r="R13" s="17">
        <v>380.1</v>
      </c>
      <c r="S13" s="35"/>
      <c r="T13" s="93">
        <f t="shared" si="5"/>
        <v>380.1</v>
      </c>
      <c r="U13" s="17">
        <v>236</v>
      </c>
      <c r="V13" s="35">
        <v>316</v>
      </c>
      <c r="W13" s="62">
        <v>0.5</v>
      </c>
      <c r="X13" s="61">
        <v>0.7</v>
      </c>
      <c r="Y13" s="2">
        <v>25</v>
      </c>
      <c r="Z13" s="17"/>
      <c r="AA13" s="19"/>
      <c r="AB13" s="35"/>
      <c r="AC13" s="738">
        <v>16</v>
      </c>
      <c r="AD13" s="738">
        <v>25</v>
      </c>
      <c r="AE13" s="738">
        <v>0.5</v>
      </c>
      <c r="AF13" s="675">
        <v>0.25</v>
      </c>
      <c r="AG13" s="728">
        <v>25150</v>
      </c>
    </row>
    <row r="14" spans="1:33" x14ac:dyDescent="0.25">
      <c r="A14" s="163">
        <v>37257</v>
      </c>
      <c r="B14" s="164">
        <v>37334</v>
      </c>
      <c r="C14" s="17">
        <v>165.1</v>
      </c>
      <c r="D14" s="35"/>
      <c r="E14" s="93">
        <f t="shared" si="0"/>
        <v>165.1</v>
      </c>
      <c r="F14" s="17">
        <v>198.6</v>
      </c>
      <c r="G14" s="35"/>
      <c r="H14" s="93">
        <f t="shared" si="1"/>
        <v>198.6</v>
      </c>
      <c r="I14" s="17">
        <v>301.7</v>
      </c>
      <c r="J14" s="35"/>
      <c r="K14" s="17">
        <f t="shared" si="2"/>
        <v>301.7</v>
      </c>
      <c r="L14" s="17">
        <v>301.7</v>
      </c>
      <c r="M14" s="35"/>
      <c r="N14" s="93">
        <f t="shared" si="3"/>
        <v>301.7</v>
      </c>
      <c r="O14" s="17">
        <v>331.3</v>
      </c>
      <c r="P14" s="35"/>
      <c r="Q14" s="93">
        <f t="shared" si="4"/>
        <v>331.3</v>
      </c>
      <c r="R14" s="17">
        <v>395.3</v>
      </c>
      <c r="S14" s="35"/>
      <c r="T14" s="93">
        <f t="shared" si="5"/>
        <v>395.3</v>
      </c>
      <c r="U14" s="17">
        <v>236</v>
      </c>
      <c r="V14" s="35">
        <v>316</v>
      </c>
      <c r="W14" s="62">
        <v>0.5</v>
      </c>
      <c r="X14" s="61">
        <v>0.7</v>
      </c>
      <c r="Y14" s="2">
        <v>25</v>
      </c>
      <c r="Z14" s="17"/>
      <c r="AA14" s="19"/>
      <c r="AB14" s="35"/>
      <c r="AC14" s="738">
        <v>16</v>
      </c>
      <c r="AD14" s="738">
        <v>25</v>
      </c>
      <c r="AE14" s="738">
        <v>0.5</v>
      </c>
      <c r="AF14" s="675">
        <v>0.25</v>
      </c>
      <c r="AG14" s="728">
        <v>26650</v>
      </c>
    </row>
    <row r="15" spans="1:33" ht="15.75" thickBot="1" x14ac:dyDescent="0.3">
      <c r="A15" s="180">
        <v>37335</v>
      </c>
      <c r="B15" s="181">
        <v>37437</v>
      </c>
      <c r="C15" s="65">
        <v>165.1</v>
      </c>
      <c r="D15" s="69"/>
      <c r="E15" s="94">
        <f t="shared" si="0"/>
        <v>165.1</v>
      </c>
      <c r="F15" s="65">
        <v>198.6</v>
      </c>
      <c r="G15" s="69"/>
      <c r="H15" s="94">
        <f t="shared" si="1"/>
        <v>198.6</v>
      </c>
      <c r="I15" s="65">
        <v>301.7</v>
      </c>
      <c r="J15" s="69"/>
      <c r="K15" s="65">
        <f t="shared" si="2"/>
        <v>301.7</v>
      </c>
      <c r="L15" s="65">
        <v>301.7</v>
      </c>
      <c r="M15" s="69"/>
      <c r="N15" s="94">
        <f t="shared" si="3"/>
        <v>301.7</v>
      </c>
      <c r="O15" s="65">
        <v>331.3</v>
      </c>
      <c r="P15" s="69"/>
      <c r="Q15" s="94">
        <f t="shared" si="4"/>
        <v>331.3</v>
      </c>
      <c r="R15" s="65">
        <v>395.3</v>
      </c>
      <c r="S15" s="69"/>
      <c r="T15" s="94">
        <f t="shared" si="5"/>
        <v>395.3</v>
      </c>
      <c r="U15" s="65">
        <v>236</v>
      </c>
      <c r="V15" s="69">
        <v>316</v>
      </c>
      <c r="W15" s="67">
        <v>0.5</v>
      </c>
      <c r="X15" s="66">
        <v>0.7</v>
      </c>
      <c r="Y15" s="85">
        <v>25</v>
      </c>
      <c r="Z15" s="65"/>
      <c r="AA15" s="68"/>
      <c r="AB15" s="69"/>
      <c r="AC15" s="740">
        <v>16</v>
      </c>
      <c r="AD15" s="740">
        <v>25</v>
      </c>
      <c r="AE15" s="740">
        <v>0.5</v>
      </c>
      <c r="AF15" s="676">
        <v>0.25</v>
      </c>
      <c r="AG15" s="730">
        <v>26650</v>
      </c>
    </row>
    <row r="16" spans="1:33" x14ac:dyDescent="0.25">
      <c r="A16" s="161">
        <v>37438</v>
      </c>
      <c r="B16" s="162">
        <v>37518</v>
      </c>
      <c r="C16" s="18">
        <v>165.1</v>
      </c>
      <c r="D16" s="60"/>
      <c r="E16" s="92">
        <f t="shared" si="0"/>
        <v>165.1</v>
      </c>
      <c r="F16" s="18">
        <v>198.6</v>
      </c>
      <c r="G16" s="60"/>
      <c r="H16" s="92">
        <f t="shared" si="1"/>
        <v>198.6</v>
      </c>
      <c r="I16" s="18">
        <v>301.7</v>
      </c>
      <c r="J16" s="60"/>
      <c r="K16" s="18">
        <f t="shared" si="2"/>
        <v>301.7</v>
      </c>
      <c r="L16" s="18">
        <v>301.7</v>
      </c>
      <c r="M16" s="60"/>
      <c r="N16" s="92">
        <f t="shared" si="3"/>
        <v>301.7</v>
      </c>
      <c r="O16" s="18">
        <v>331.3</v>
      </c>
      <c r="P16" s="60"/>
      <c r="Q16" s="92">
        <f t="shared" si="4"/>
        <v>331.3</v>
      </c>
      <c r="R16" s="18">
        <v>395.3</v>
      </c>
      <c r="S16" s="60"/>
      <c r="T16" s="92">
        <f t="shared" si="5"/>
        <v>395.3</v>
      </c>
      <c r="U16" s="18">
        <v>236</v>
      </c>
      <c r="V16" s="60">
        <v>316</v>
      </c>
      <c r="W16" s="58">
        <v>0.5</v>
      </c>
      <c r="X16" s="57">
        <v>0.7</v>
      </c>
      <c r="Y16" s="3">
        <v>25</v>
      </c>
      <c r="Z16" s="18"/>
      <c r="AA16" s="20"/>
      <c r="AB16" s="60"/>
      <c r="AC16" s="737">
        <v>16</v>
      </c>
      <c r="AD16" s="737">
        <v>25</v>
      </c>
      <c r="AE16" s="737">
        <v>0.5</v>
      </c>
      <c r="AF16" s="674">
        <v>0.25</v>
      </c>
      <c r="AG16" s="727">
        <v>26650</v>
      </c>
    </row>
    <row r="17" spans="1:36" x14ac:dyDescent="0.25">
      <c r="A17" s="163">
        <v>37519</v>
      </c>
      <c r="B17" s="164">
        <v>37621</v>
      </c>
      <c r="C17" s="17">
        <v>165.1</v>
      </c>
      <c r="D17" s="35"/>
      <c r="E17" s="93">
        <f t="shared" si="0"/>
        <v>165.1</v>
      </c>
      <c r="F17" s="17">
        <v>198.6</v>
      </c>
      <c r="G17" s="35"/>
      <c r="H17" s="93">
        <f t="shared" si="1"/>
        <v>198.6</v>
      </c>
      <c r="I17" s="17">
        <v>301.7</v>
      </c>
      <c r="J17" s="35"/>
      <c r="K17" s="17">
        <f t="shared" si="2"/>
        <v>301.7</v>
      </c>
      <c r="L17" s="17">
        <v>301.7</v>
      </c>
      <c r="M17" s="35"/>
      <c r="N17" s="93">
        <f t="shared" si="3"/>
        <v>301.7</v>
      </c>
      <c r="O17" s="17">
        <v>331.3</v>
      </c>
      <c r="P17" s="35"/>
      <c r="Q17" s="93">
        <f t="shared" si="4"/>
        <v>331.3</v>
      </c>
      <c r="R17" s="17">
        <v>395.3</v>
      </c>
      <c r="S17" s="35"/>
      <c r="T17" s="93">
        <f t="shared" si="5"/>
        <v>395.3</v>
      </c>
      <c r="U17" s="17">
        <v>236</v>
      </c>
      <c r="V17" s="35">
        <v>316</v>
      </c>
      <c r="W17" s="62">
        <v>0.5</v>
      </c>
      <c r="X17" s="61">
        <v>0.7</v>
      </c>
      <c r="Y17" s="2">
        <v>25</v>
      </c>
      <c r="Z17" s="17"/>
      <c r="AA17" s="19"/>
      <c r="AB17" s="35"/>
      <c r="AC17" s="738">
        <v>16</v>
      </c>
      <c r="AD17" s="738">
        <v>25</v>
      </c>
      <c r="AE17" s="738">
        <v>0.5</v>
      </c>
      <c r="AF17" s="675">
        <v>0.25</v>
      </c>
      <c r="AG17" s="728">
        <v>26650</v>
      </c>
    </row>
    <row r="18" spans="1:36" x14ac:dyDescent="0.25">
      <c r="A18" s="163">
        <v>37622</v>
      </c>
      <c r="B18" s="164">
        <v>37699</v>
      </c>
      <c r="C18" s="17">
        <v>169.70000000000002</v>
      </c>
      <c r="D18" s="35"/>
      <c r="E18" s="93">
        <f t="shared" si="0"/>
        <v>169.70000000000002</v>
      </c>
      <c r="F18" s="17">
        <v>204.20000000000002</v>
      </c>
      <c r="G18" s="35"/>
      <c r="H18" s="93">
        <f t="shared" si="1"/>
        <v>204.20000000000002</v>
      </c>
      <c r="I18" s="17">
        <v>310.10000000000002</v>
      </c>
      <c r="J18" s="35"/>
      <c r="K18" s="17">
        <f t="shared" si="2"/>
        <v>310.10000000000002</v>
      </c>
      <c r="L18" s="17">
        <v>310.10000000000002</v>
      </c>
      <c r="M18" s="35"/>
      <c r="N18" s="93">
        <f t="shared" si="3"/>
        <v>310.10000000000002</v>
      </c>
      <c r="O18" s="17">
        <v>340.6</v>
      </c>
      <c r="P18" s="35"/>
      <c r="Q18" s="93">
        <f t="shared" si="4"/>
        <v>340.6</v>
      </c>
      <c r="R18" s="17">
        <v>406.40000000000003</v>
      </c>
      <c r="S18" s="35"/>
      <c r="T18" s="93">
        <f t="shared" si="5"/>
        <v>406.40000000000003</v>
      </c>
      <c r="U18" s="17">
        <v>236</v>
      </c>
      <c r="V18" s="35">
        <v>316</v>
      </c>
      <c r="W18" s="62">
        <v>0.5</v>
      </c>
      <c r="X18" s="61">
        <v>0.7</v>
      </c>
      <c r="Y18" s="2">
        <v>25</v>
      </c>
      <c r="Z18" s="17"/>
      <c r="AA18" s="19"/>
      <c r="AB18" s="35"/>
      <c r="AC18" s="738">
        <v>16</v>
      </c>
      <c r="AD18" s="738">
        <v>25</v>
      </c>
      <c r="AE18" s="738">
        <v>0.5</v>
      </c>
      <c r="AF18" s="675">
        <v>0.25</v>
      </c>
      <c r="AG18" s="728">
        <v>27400</v>
      </c>
    </row>
    <row r="19" spans="1:36" ht="15.75" thickBot="1" x14ac:dyDescent="0.3">
      <c r="A19" s="180">
        <v>37700</v>
      </c>
      <c r="B19" s="181">
        <v>37802</v>
      </c>
      <c r="C19" s="65">
        <v>169.70000000000002</v>
      </c>
      <c r="D19" s="69"/>
      <c r="E19" s="94">
        <f t="shared" si="0"/>
        <v>169.70000000000002</v>
      </c>
      <c r="F19" s="65">
        <v>204.20000000000002</v>
      </c>
      <c r="G19" s="69"/>
      <c r="H19" s="94">
        <f t="shared" si="1"/>
        <v>204.20000000000002</v>
      </c>
      <c r="I19" s="65">
        <v>310.10000000000002</v>
      </c>
      <c r="J19" s="69"/>
      <c r="K19" s="65">
        <f t="shared" si="2"/>
        <v>310.10000000000002</v>
      </c>
      <c r="L19" s="65">
        <v>310.10000000000002</v>
      </c>
      <c r="M19" s="69"/>
      <c r="N19" s="94">
        <f t="shared" si="3"/>
        <v>310.10000000000002</v>
      </c>
      <c r="O19" s="65">
        <v>340.6</v>
      </c>
      <c r="P19" s="69"/>
      <c r="Q19" s="94">
        <f t="shared" si="4"/>
        <v>340.6</v>
      </c>
      <c r="R19" s="65">
        <v>406.40000000000003</v>
      </c>
      <c r="S19" s="69"/>
      <c r="T19" s="94">
        <f t="shared" si="5"/>
        <v>406.40000000000003</v>
      </c>
      <c r="U19" s="65">
        <v>236</v>
      </c>
      <c r="V19" s="69">
        <v>316</v>
      </c>
      <c r="W19" s="67">
        <v>0.5</v>
      </c>
      <c r="X19" s="66">
        <v>0.7</v>
      </c>
      <c r="Y19" s="85">
        <v>25</v>
      </c>
      <c r="Z19" s="65"/>
      <c r="AA19" s="68"/>
      <c r="AB19" s="69"/>
      <c r="AC19" s="739">
        <v>16</v>
      </c>
      <c r="AD19" s="739">
        <v>25</v>
      </c>
      <c r="AE19" s="739">
        <v>0.5</v>
      </c>
      <c r="AF19" s="676">
        <v>0.25</v>
      </c>
      <c r="AG19" s="729">
        <v>27400</v>
      </c>
    </row>
    <row r="20" spans="1:36" x14ac:dyDescent="0.25">
      <c r="A20" s="161">
        <v>37803</v>
      </c>
      <c r="B20" s="162">
        <v>37883</v>
      </c>
      <c r="C20" s="18">
        <v>169.70000000000002</v>
      </c>
      <c r="D20" s="60"/>
      <c r="E20" s="92">
        <f t="shared" si="0"/>
        <v>169.70000000000002</v>
      </c>
      <c r="F20" s="18">
        <v>204.20000000000002</v>
      </c>
      <c r="G20" s="60"/>
      <c r="H20" s="92">
        <f t="shared" si="1"/>
        <v>204.20000000000002</v>
      </c>
      <c r="I20" s="18">
        <v>310.10000000000002</v>
      </c>
      <c r="J20" s="60"/>
      <c r="K20" s="18">
        <f t="shared" si="2"/>
        <v>310.10000000000002</v>
      </c>
      <c r="L20" s="18">
        <v>310.10000000000002</v>
      </c>
      <c r="M20" s="60"/>
      <c r="N20" s="92">
        <f t="shared" si="3"/>
        <v>310.10000000000002</v>
      </c>
      <c r="O20" s="18">
        <v>340.6</v>
      </c>
      <c r="P20" s="60"/>
      <c r="Q20" s="92">
        <f t="shared" si="4"/>
        <v>340.6</v>
      </c>
      <c r="R20" s="18">
        <v>406.40000000000003</v>
      </c>
      <c r="S20" s="60"/>
      <c r="T20" s="92">
        <f t="shared" si="5"/>
        <v>406.40000000000003</v>
      </c>
      <c r="U20" s="18">
        <v>236</v>
      </c>
      <c r="V20" s="60">
        <v>316</v>
      </c>
      <c r="W20" s="58">
        <v>0.5</v>
      </c>
      <c r="X20" s="57">
        <v>0.7</v>
      </c>
      <c r="Y20" s="3">
        <v>25</v>
      </c>
      <c r="Z20" s="18"/>
      <c r="AA20" s="20"/>
      <c r="AB20" s="60"/>
      <c r="AC20" s="737">
        <v>16</v>
      </c>
      <c r="AD20" s="737">
        <v>25</v>
      </c>
      <c r="AE20" s="737">
        <v>0.5</v>
      </c>
      <c r="AF20" s="674">
        <v>0.25</v>
      </c>
      <c r="AG20" s="727">
        <v>27400</v>
      </c>
    </row>
    <row r="21" spans="1:36" x14ac:dyDescent="0.25">
      <c r="A21" s="163">
        <v>37884</v>
      </c>
      <c r="B21" s="164">
        <v>37986</v>
      </c>
      <c r="C21" s="17">
        <v>169.70000000000002</v>
      </c>
      <c r="D21" s="35"/>
      <c r="E21" s="93">
        <f t="shared" si="0"/>
        <v>169.70000000000002</v>
      </c>
      <c r="F21" s="17">
        <v>204.20000000000002</v>
      </c>
      <c r="G21" s="35"/>
      <c r="H21" s="93">
        <f t="shared" si="1"/>
        <v>204.20000000000002</v>
      </c>
      <c r="I21" s="17">
        <v>310.10000000000002</v>
      </c>
      <c r="J21" s="35"/>
      <c r="K21" s="17">
        <f t="shared" si="2"/>
        <v>310.10000000000002</v>
      </c>
      <c r="L21" s="17">
        <v>310.10000000000002</v>
      </c>
      <c r="M21" s="35"/>
      <c r="N21" s="35">
        <f t="shared" si="3"/>
        <v>310.10000000000002</v>
      </c>
      <c r="O21" s="17">
        <v>340.6</v>
      </c>
      <c r="P21" s="35"/>
      <c r="Q21" s="93">
        <f t="shared" si="4"/>
        <v>340.6</v>
      </c>
      <c r="R21" s="17">
        <v>406.40000000000003</v>
      </c>
      <c r="S21" s="35"/>
      <c r="T21" s="93">
        <f t="shared" si="5"/>
        <v>406.40000000000003</v>
      </c>
      <c r="U21" s="17">
        <v>236</v>
      </c>
      <c r="V21" s="35">
        <v>316</v>
      </c>
      <c r="W21" s="62">
        <v>0.5</v>
      </c>
      <c r="X21" s="61">
        <v>0.7</v>
      </c>
      <c r="Y21" s="2">
        <v>25</v>
      </c>
      <c r="Z21" s="17"/>
      <c r="AA21" s="19"/>
      <c r="AB21" s="35"/>
      <c r="AC21" s="738">
        <v>16</v>
      </c>
      <c r="AD21" s="738">
        <v>25</v>
      </c>
      <c r="AE21" s="738">
        <v>0.5</v>
      </c>
      <c r="AF21" s="675">
        <v>0.25</v>
      </c>
      <c r="AG21" s="728">
        <v>27400</v>
      </c>
    </row>
    <row r="22" spans="1:36" x14ac:dyDescent="0.25">
      <c r="A22" s="163">
        <v>37987</v>
      </c>
      <c r="B22" s="164">
        <v>38065</v>
      </c>
      <c r="C22" s="17">
        <v>174.3</v>
      </c>
      <c r="D22" s="35"/>
      <c r="E22" s="93">
        <f t="shared" si="0"/>
        <v>174.3</v>
      </c>
      <c r="F22" s="17">
        <v>209.70000000000002</v>
      </c>
      <c r="G22" s="35"/>
      <c r="H22" s="93">
        <f t="shared" si="1"/>
        <v>209.70000000000002</v>
      </c>
      <c r="I22" s="17">
        <v>318.5</v>
      </c>
      <c r="J22" s="35"/>
      <c r="K22" s="17">
        <f t="shared" si="2"/>
        <v>318.5</v>
      </c>
      <c r="L22" s="17">
        <v>318.5</v>
      </c>
      <c r="M22" s="35"/>
      <c r="N22" s="93">
        <f t="shared" si="3"/>
        <v>318.5</v>
      </c>
      <c r="O22" s="17">
        <v>349.8</v>
      </c>
      <c r="P22" s="35"/>
      <c r="Q22" s="93">
        <f t="shared" si="4"/>
        <v>349.8</v>
      </c>
      <c r="R22" s="17">
        <v>417.4</v>
      </c>
      <c r="S22" s="35"/>
      <c r="T22" s="93">
        <f t="shared" si="5"/>
        <v>417.4</v>
      </c>
      <c r="U22" s="17">
        <v>236</v>
      </c>
      <c r="V22" s="35">
        <v>316</v>
      </c>
      <c r="W22" s="62">
        <v>0.5</v>
      </c>
      <c r="X22" s="61">
        <v>0.7</v>
      </c>
      <c r="Y22" s="2">
        <v>25</v>
      </c>
      <c r="Z22" s="17"/>
      <c r="AA22" s="19"/>
      <c r="AB22" s="35"/>
      <c r="AC22" s="738">
        <v>16</v>
      </c>
      <c r="AD22" s="738">
        <v>25</v>
      </c>
      <c r="AE22" s="738">
        <v>0.5</v>
      </c>
      <c r="AF22" s="675">
        <v>0.25</v>
      </c>
      <c r="AG22" s="728">
        <v>28150</v>
      </c>
      <c r="AJ22" s="697"/>
    </row>
    <row r="23" spans="1:36" ht="15.75" thickBot="1" x14ac:dyDescent="0.3">
      <c r="A23" s="180">
        <v>38066</v>
      </c>
      <c r="B23" s="181">
        <v>38168</v>
      </c>
      <c r="C23" s="65">
        <v>174.3</v>
      </c>
      <c r="D23" s="69"/>
      <c r="E23" s="94">
        <f t="shared" si="0"/>
        <v>174.3</v>
      </c>
      <c r="F23" s="65">
        <v>209.70000000000002</v>
      </c>
      <c r="G23" s="69"/>
      <c r="H23" s="94">
        <f t="shared" si="1"/>
        <v>209.70000000000002</v>
      </c>
      <c r="I23" s="65">
        <v>318.5</v>
      </c>
      <c r="J23" s="69"/>
      <c r="K23" s="65">
        <f t="shared" si="2"/>
        <v>318.5</v>
      </c>
      <c r="L23" s="65">
        <v>318.5</v>
      </c>
      <c r="M23" s="69"/>
      <c r="N23" s="94">
        <f t="shared" si="3"/>
        <v>318.5</v>
      </c>
      <c r="O23" s="65">
        <v>349.8</v>
      </c>
      <c r="P23" s="69"/>
      <c r="Q23" s="94">
        <f t="shared" si="4"/>
        <v>349.8</v>
      </c>
      <c r="R23" s="65">
        <v>417.4</v>
      </c>
      <c r="S23" s="69"/>
      <c r="T23" s="94">
        <f t="shared" si="5"/>
        <v>417.4</v>
      </c>
      <c r="U23" s="65">
        <v>236</v>
      </c>
      <c r="V23" s="69">
        <v>316</v>
      </c>
      <c r="W23" s="67">
        <v>0.5</v>
      </c>
      <c r="X23" s="66">
        <v>0.7</v>
      </c>
      <c r="Y23" s="85">
        <v>25</v>
      </c>
      <c r="Z23" s="65"/>
      <c r="AA23" s="68"/>
      <c r="AB23" s="69"/>
      <c r="AC23" s="739">
        <v>16</v>
      </c>
      <c r="AD23" s="739">
        <v>25</v>
      </c>
      <c r="AE23" s="739">
        <v>0.5</v>
      </c>
      <c r="AF23" s="676">
        <v>0.25</v>
      </c>
      <c r="AG23" s="729">
        <v>28150</v>
      </c>
      <c r="AJ23" s="697"/>
    </row>
    <row r="24" spans="1:36" x14ac:dyDescent="0.25">
      <c r="A24" s="161">
        <v>38169</v>
      </c>
      <c r="B24" s="162">
        <v>38249</v>
      </c>
      <c r="C24" s="18">
        <v>174.3</v>
      </c>
      <c r="D24" s="60"/>
      <c r="E24" s="92">
        <f t="shared" si="0"/>
        <v>174.3</v>
      </c>
      <c r="F24" s="18">
        <v>209.70000000000002</v>
      </c>
      <c r="G24" s="60"/>
      <c r="H24" s="92">
        <f t="shared" si="1"/>
        <v>209.70000000000002</v>
      </c>
      <c r="I24" s="18">
        <v>318.5</v>
      </c>
      <c r="J24" s="60"/>
      <c r="K24" s="18">
        <f t="shared" si="2"/>
        <v>318.5</v>
      </c>
      <c r="L24" s="18">
        <v>318.5</v>
      </c>
      <c r="M24" s="60"/>
      <c r="N24" s="92">
        <f t="shared" si="3"/>
        <v>318.5</v>
      </c>
      <c r="O24" s="18">
        <v>349.8</v>
      </c>
      <c r="P24" s="60"/>
      <c r="Q24" s="92">
        <f t="shared" si="4"/>
        <v>349.8</v>
      </c>
      <c r="R24" s="17">
        <v>417.4</v>
      </c>
      <c r="S24" s="60"/>
      <c r="T24" s="92">
        <f t="shared" si="5"/>
        <v>417.4</v>
      </c>
      <c r="U24" s="18">
        <v>236</v>
      </c>
      <c r="V24" s="60">
        <v>316</v>
      </c>
      <c r="W24" s="58">
        <v>0.5</v>
      </c>
      <c r="X24" s="57">
        <v>0.7</v>
      </c>
      <c r="Y24" s="3">
        <v>25</v>
      </c>
      <c r="Z24" s="18"/>
      <c r="AA24" s="20"/>
      <c r="AB24" s="60"/>
      <c r="AC24" s="737">
        <v>16</v>
      </c>
      <c r="AD24" s="737">
        <v>25</v>
      </c>
      <c r="AE24" s="737">
        <v>0.5</v>
      </c>
      <c r="AF24" s="674">
        <v>0.25</v>
      </c>
      <c r="AG24" s="727">
        <v>28150</v>
      </c>
      <c r="AJ24" s="697"/>
    </row>
    <row r="25" spans="1:36" x14ac:dyDescent="0.25">
      <c r="A25" s="163">
        <v>38250</v>
      </c>
      <c r="B25" s="164">
        <v>38352</v>
      </c>
      <c r="C25" s="17">
        <v>174.3</v>
      </c>
      <c r="D25" s="35"/>
      <c r="E25" s="93">
        <f t="shared" si="0"/>
        <v>174.3</v>
      </c>
      <c r="F25" s="17">
        <v>209.70000000000002</v>
      </c>
      <c r="G25" s="35"/>
      <c r="H25" s="93">
        <f t="shared" si="1"/>
        <v>209.70000000000002</v>
      </c>
      <c r="I25" s="17">
        <v>318.5</v>
      </c>
      <c r="J25" s="35"/>
      <c r="K25" s="17">
        <f t="shared" si="2"/>
        <v>318.5</v>
      </c>
      <c r="L25" s="17">
        <v>318.5</v>
      </c>
      <c r="M25" s="35"/>
      <c r="N25" s="93">
        <f t="shared" si="3"/>
        <v>318.5</v>
      </c>
      <c r="O25" s="17">
        <v>349.8</v>
      </c>
      <c r="P25" s="35"/>
      <c r="Q25" s="93">
        <f t="shared" si="4"/>
        <v>349.8</v>
      </c>
      <c r="R25" s="17">
        <v>417.4</v>
      </c>
      <c r="S25" s="35"/>
      <c r="T25" s="93">
        <f t="shared" si="5"/>
        <v>417.4</v>
      </c>
      <c r="U25" s="17">
        <v>236</v>
      </c>
      <c r="V25" s="35">
        <v>316</v>
      </c>
      <c r="W25" s="62">
        <v>0.5</v>
      </c>
      <c r="X25" s="61">
        <v>0.7</v>
      </c>
      <c r="Y25" s="2">
        <v>25</v>
      </c>
      <c r="Z25" s="17"/>
      <c r="AA25" s="19"/>
      <c r="AB25" s="35"/>
      <c r="AC25" s="738">
        <v>16</v>
      </c>
      <c r="AD25" s="738">
        <v>25</v>
      </c>
      <c r="AE25" s="738">
        <v>0.5</v>
      </c>
      <c r="AF25" s="675">
        <v>0.25</v>
      </c>
      <c r="AG25" s="728">
        <v>28150</v>
      </c>
      <c r="AJ25" s="697"/>
    </row>
    <row r="26" spans="1:36" x14ac:dyDescent="0.25">
      <c r="A26" s="163">
        <v>38353</v>
      </c>
      <c r="B26" s="164">
        <v>38430</v>
      </c>
      <c r="C26" s="17">
        <v>178.70000000000002</v>
      </c>
      <c r="D26" s="35"/>
      <c r="E26" s="93">
        <f t="shared" si="0"/>
        <v>178.70000000000002</v>
      </c>
      <c r="F26" s="17">
        <v>214.9</v>
      </c>
      <c r="G26" s="35"/>
      <c r="H26" s="93">
        <f t="shared" si="1"/>
        <v>214.9</v>
      </c>
      <c r="I26" s="17">
        <v>326.5</v>
      </c>
      <c r="J26" s="35"/>
      <c r="K26" s="17">
        <f t="shared" si="2"/>
        <v>326.5</v>
      </c>
      <c r="L26" s="17">
        <v>326.5</v>
      </c>
      <c r="M26" s="35"/>
      <c r="N26" s="93">
        <f t="shared" si="3"/>
        <v>326.5</v>
      </c>
      <c r="O26" s="17">
        <v>358.5</v>
      </c>
      <c r="P26" s="35"/>
      <c r="Q26" s="93">
        <f t="shared" si="4"/>
        <v>358.5</v>
      </c>
      <c r="R26" s="17">
        <v>427.8</v>
      </c>
      <c r="S26" s="35"/>
      <c r="T26" s="93">
        <f t="shared" si="5"/>
        <v>427.8</v>
      </c>
      <c r="U26" s="17">
        <v>236</v>
      </c>
      <c r="V26" s="35">
        <v>316</v>
      </c>
      <c r="W26" s="62">
        <v>0.5</v>
      </c>
      <c r="X26" s="61">
        <v>0.7</v>
      </c>
      <c r="Y26" s="2">
        <v>25</v>
      </c>
      <c r="Z26" s="17"/>
      <c r="AA26" s="19"/>
      <c r="AB26" s="35"/>
      <c r="AC26" s="738">
        <v>16</v>
      </c>
      <c r="AD26" s="738">
        <v>25</v>
      </c>
      <c r="AE26" s="738">
        <v>0.5</v>
      </c>
      <c r="AF26" s="675">
        <v>0.25</v>
      </c>
      <c r="AG26" s="728">
        <v>28850</v>
      </c>
      <c r="AJ26" s="697"/>
    </row>
    <row r="27" spans="1:36" ht="15.75" thickBot="1" x14ac:dyDescent="0.3">
      <c r="A27" s="180">
        <v>38431</v>
      </c>
      <c r="B27" s="181">
        <v>38533</v>
      </c>
      <c r="C27" s="65">
        <v>178.70000000000002</v>
      </c>
      <c r="D27" s="69"/>
      <c r="E27" s="94">
        <f t="shared" si="0"/>
        <v>178.70000000000002</v>
      </c>
      <c r="F27" s="65">
        <v>214.9</v>
      </c>
      <c r="G27" s="69"/>
      <c r="H27" s="94">
        <f t="shared" si="1"/>
        <v>214.9</v>
      </c>
      <c r="I27" s="65">
        <v>326.5</v>
      </c>
      <c r="J27" s="69"/>
      <c r="K27" s="65">
        <f t="shared" si="2"/>
        <v>326.5</v>
      </c>
      <c r="L27" s="65">
        <v>326.5</v>
      </c>
      <c r="M27" s="69"/>
      <c r="N27" s="94">
        <f t="shared" si="3"/>
        <v>326.5</v>
      </c>
      <c r="O27" s="65">
        <v>358.5</v>
      </c>
      <c r="P27" s="69"/>
      <c r="Q27" s="94">
        <f t="shared" si="4"/>
        <v>358.5</v>
      </c>
      <c r="R27" s="65">
        <v>427.8</v>
      </c>
      <c r="S27" s="69"/>
      <c r="T27" s="94">
        <f t="shared" si="5"/>
        <v>427.8</v>
      </c>
      <c r="U27" s="65">
        <v>236</v>
      </c>
      <c r="V27" s="69">
        <v>316</v>
      </c>
      <c r="W27" s="67">
        <v>0.5</v>
      </c>
      <c r="X27" s="66">
        <v>0.7</v>
      </c>
      <c r="Y27" s="85">
        <v>25</v>
      </c>
      <c r="Z27" s="65"/>
      <c r="AA27" s="68"/>
      <c r="AB27" s="69"/>
      <c r="AC27" s="739">
        <v>16</v>
      </c>
      <c r="AD27" s="739">
        <v>25</v>
      </c>
      <c r="AE27" s="739">
        <v>0.5</v>
      </c>
      <c r="AF27" s="676">
        <v>0.25</v>
      </c>
      <c r="AG27" s="729">
        <v>28850</v>
      </c>
      <c r="AJ27" s="697"/>
    </row>
    <row r="28" spans="1:36" x14ac:dyDescent="0.25">
      <c r="A28" s="161">
        <v>38534</v>
      </c>
      <c r="B28" s="162">
        <v>38614</v>
      </c>
      <c r="C28" s="18">
        <v>178.70000000000002</v>
      </c>
      <c r="D28" s="60"/>
      <c r="E28" s="92">
        <f t="shared" si="0"/>
        <v>178.70000000000002</v>
      </c>
      <c r="F28" s="18">
        <v>214.9</v>
      </c>
      <c r="G28" s="60"/>
      <c r="H28" s="92">
        <f t="shared" si="1"/>
        <v>214.9</v>
      </c>
      <c r="I28" s="18">
        <v>326.5</v>
      </c>
      <c r="J28" s="60"/>
      <c r="K28" s="18">
        <f t="shared" si="2"/>
        <v>326.5</v>
      </c>
      <c r="L28" s="18">
        <v>326.5</v>
      </c>
      <c r="M28" s="60"/>
      <c r="N28" s="92">
        <f t="shared" si="3"/>
        <v>326.5</v>
      </c>
      <c r="O28" s="18">
        <v>358.5</v>
      </c>
      <c r="P28" s="60"/>
      <c r="Q28" s="92">
        <f t="shared" si="4"/>
        <v>358.5</v>
      </c>
      <c r="R28" s="18">
        <v>427.8</v>
      </c>
      <c r="S28" s="60"/>
      <c r="T28" s="92">
        <f t="shared" si="5"/>
        <v>427.8</v>
      </c>
      <c r="U28" s="18">
        <v>236</v>
      </c>
      <c r="V28" s="60">
        <v>316</v>
      </c>
      <c r="W28" s="58">
        <v>0.5</v>
      </c>
      <c r="X28" s="57">
        <v>0.7</v>
      </c>
      <c r="Y28" s="3">
        <v>25</v>
      </c>
      <c r="Z28" s="18"/>
      <c r="AA28" s="20"/>
      <c r="AB28" s="60"/>
      <c r="AC28" s="737">
        <v>16</v>
      </c>
      <c r="AD28" s="737">
        <v>25</v>
      </c>
      <c r="AE28" s="737">
        <v>0.5</v>
      </c>
      <c r="AF28" s="674">
        <v>0.25</v>
      </c>
      <c r="AG28" s="727">
        <v>28850</v>
      </c>
      <c r="AJ28" s="697"/>
    </row>
    <row r="29" spans="1:36" x14ac:dyDescent="0.25">
      <c r="A29" s="163">
        <v>38615</v>
      </c>
      <c r="B29" s="164">
        <v>38717</v>
      </c>
      <c r="C29" s="17">
        <v>178.70000000000002</v>
      </c>
      <c r="D29" s="35"/>
      <c r="E29" s="93">
        <f t="shared" si="0"/>
        <v>178.70000000000002</v>
      </c>
      <c r="F29" s="17">
        <v>214.9</v>
      </c>
      <c r="G29" s="35"/>
      <c r="H29" s="93">
        <f t="shared" si="1"/>
        <v>214.9</v>
      </c>
      <c r="I29" s="17">
        <v>326.5</v>
      </c>
      <c r="J29" s="35"/>
      <c r="K29" s="17">
        <f t="shared" si="2"/>
        <v>326.5</v>
      </c>
      <c r="L29" s="17">
        <v>326.5</v>
      </c>
      <c r="M29" s="35"/>
      <c r="N29" s="93">
        <f t="shared" si="3"/>
        <v>326.5</v>
      </c>
      <c r="O29" s="17">
        <v>358.5</v>
      </c>
      <c r="P29" s="35"/>
      <c r="Q29" s="93">
        <f t="shared" si="4"/>
        <v>358.5</v>
      </c>
      <c r="R29" s="17">
        <v>427.8</v>
      </c>
      <c r="S29" s="35"/>
      <c r="T29" s="93">
        <f t="shared" si="5"/>
        <v>427.8</v>
      </c>
      <c r="U29" s="17">
        <v>236</v>
      </c>
      <c r="V29" s="35">
        <v>316</v>
      </c>
      <c r="W29" s="62">
        <v>0.5</v>
      </c>
      <c r="X29" s="61">
        <v>0.7</v>
      </c>
      <c r="Y29" s="2">
        <v>25</v>
      </c>
      <c r="Z29" s="17"/>
      <c r="AA29" s="19"/>
      <c r="AB29" s="35"/>
      <c r="AC29" s="738">
        <v>16</v>
      </c>
      <c r="AD29" s="738">
        <v>25</v>
      </c>
      <c r="AE29" s="738">
        <v>0.5</v>
      </c>
      <c r="AF29" s="675">
        <v>0.25</v>
      </c>
      <c r="AG29" s="728">
        <v>28850</v>
      </c>
      <c r="AJ29" s="697"/>
    </row>
    <row r="30" spans="1:36" x14ac:dyDescent="0.25">
      <c r="A30" s="163">
        <v>38718</v>
      </c>
      <c r="B30" s="164">
        <v>38795</v>
      </c>
      <c r="C30" s="17">
        <v>183.20000000000002</v>
      </c>
      <c r="D30" s="35"/>
      <c r="E30" s="93">
        <f t="shared" si="0"/>
        <v>183.20000000000002</v>
      </c>
      <c r="F30" s="17">
        <v>220.3</v>
      </c>
      <c r="G30" s="35"/>
      <c r="H30" s="93">
        <f t="shared" si="1"/>
        <v>220.3</v>
      </c>
      <c r="I30" s="17">
        <v>334.70000000000005</v>
      </c>
      <c r="J30" s="35"/>
      <c r="K30" s="17">
        <f t="shared" si="2"/>
        <v>334.70000000000005</v>
      </c>
      <c r="L30" s="17">
        <v>334.70000000000005</v>
      </c>
      <c r="M30" s="35"/>
      <c r="N30" s="93">
        <f t="shared" si="3"/>
        <v>334.70000000000005</v>
      </c>
      <c r="O30" s="17">
        <v>367.5</v>
      </c>
      <c r="P30" s="35"/>
      <c r="Q30" s="93">
        <f t="shared" si="4"/>
        <v>367.5</v>
      </c>
      <c r="R30" s="17">
        <v>438.5</v>
      </c>
      <c r="S30" s="35"/>
      <c r="T30" s="93">
        <f t="shared" si="5"/>
        <v>438.5</v>
      </c>
      <c r="U30" s="17">
        <v>236</v>
      </c>
      <c r="V30" s="35">
        <v>316</v>
      </c>
      <c r="W30" s="62">
        <v>0.5</v>
      </c>
      <c r="X30" s="61">
        <v>0.7</v>
      </c>
      <c r="Y30" s="2">
        <v>25</v>
      </c>
      <c r="Z30" s="17"/>
      <c r="AA30" s="19"/>
      <c r="AB30" s="35"/>
      <c r="AC30" s="738">
        <v>16</v>
      </c>
      <c r="AD30" s="738">
        <v>25</v>
      </c>
      <c r="AE30" s="738">
        <v>0.5</v>
      </c>
      <c r="AF30" s="675">
        <v>0.25</v>
      </c>
      <c r="AG30" s="728">
        <v>29550</v>
      </c>
      <c r="AJ30" s="697"/>
    </row>
    <row r="31" spans="1:36" ht="15.75" thickBot="1" x14ac:dyDescent="0.3">
      <c r="A31" s="180">
        <v>38796</v>
      </c>
      <c r="B31" s="181">
        <v>38898</v>
      </c>
      <c r="C31" s="65">
        <v>183.20000000000002</v>
      </c>
      <c r="D31" s="69"/>
      <c r="E31" s="94">
        <f t="shared" si="0"/>
        <v>183.20000000000002</v>
      </c>
      <c r="F31" s="65">
        <v>220.3</v>
      </c>
      <c r="G31" s="69"/>
      <c r="H31" s="94">
        <f t="shared" si="1"/>
        <v>220.3</v>
      </c>
      <c r="I31" s="65">
        <v>334.70000000000005</v>
      </c>
      <c r="J31" s="69"/>
      <c r="K31" s="65">
        <f t="shared" si="2"/>
        <v>334.70000000000005</v>
      </c>
      <c r="L31" s="65">
        <v>334.70000000000005</v>
      </c>
      <c r="M31" s="69"/>
      <c r="N31" s="94">
        <f t="shared" si="3"/>
        <v>334.70000000000005</v>
      </c>
      <c r="O31" s="65">
        <v>367.5</v>
      </c>
      <c r="P31" s="69"/>
      <c r="Q31" s="94">
        <f t="shared" si="4"/>
        <v>367.5</v>
      </c>
      <c r="R31" s="65">
        <v>438.5</v>
      </c>
      <c r="S31" s="69"/>
      <c r="T31" s="94">
        <f t="shared" si="5"/>
        <v>438.5</v>
      </c>
      <c r="U31" s="65">
        <v>236</v>
      </c>
      <c r="V31" s="69">
        <v>316</v>
      </c>
      <c r="W31" s="67">
        <v>0.5</v>
      </c>
      <c r="X31" s="66">
        <v>0.7</v>
      </c>
      <c r="Y31" s="85">
        <v>25</v>
      </c>
      <c r="Z31" s="65"/>
      <c r="AA31" s="68"/>
      <c r="AB31" s="69"/>
      <c r="AC31" s="739">
        <v>16</v>
      </c>
      <c r="AD31" s="739">
        <v>25</v>
      </c>
      <c r="AE31" s="739">
        <v>0.5</v>
      </c>
      <c r="AF31" s="676">
        <v>0.25</v>
      </c>
      <c r="AG31" s="729">
        <v>29550</v>
      </c>
      <c r="AJ31" s="697"/>
    </row>
    <row r="32" spans="1:36" x14ac:dyDescent="0.25">
      <c r="A32" s="161">
        <v>38899</v>
      </c>
      <c r="B32" s="162">
        <v>38979</v>
      </c>
      <c r="C32" s="18">
        <v>183.20000000000002</v>
      </c>
      <c r="D32" s="60"/>
      <c r="E32" s="92">
        <f t="shared" si="0"/>
        <v>183.20000000000002</v>
      </c>
      <c r="F32" s="18">
        <v>220.3</v>
      </c>
      <c r="G32" s="60"/>
      <c r="H32" s="92">
        <f t="shared" si="1"/>
        <v>220.3</v>
      </c>
      <c r="I32" s="18">
        <v>334.70000000000005</v>
      </c>
      <c r="J32" s="60"/>
      <c r="K32" s="18">
        <f t="shared" si="2"/>
        <v>334.70000000000005</v>
      </c>
      <c r="L32" s="18">
        <v>334.70000000000005</v>
      </c>
      <c r="M32" s="60"/>
      <c r="N32" s="92">
        <f t="shared" si="3"/>
        <v>334.70000000000005</v>
      </c>
      <c r="O32" s="18">
        <v>367.5</v>
      </c>
      <c r="P32" s="60"/>
      <c r="Q32" s="92">
        <f t="shared" si="4"/>
        <v>367.5</v>
      </c>
      <c r="R32" s="18">
        <v>438.5</v>
      </c>
      <c r="S32" s="60"/>
      <c r="T32" s="92">
        <f t="shared" si="5"/>
        <v>438.5</v>
      </c>
      <c r="U32" s="18">
        <v>236</v>
      </c>
      <c r="V32" s="60">
        <v>316</v>
      </c>
      <c r="W32" s="58">
        <v>0.5</v>
      </c>
      <c r="X32" s="57">
        <v>0.6</v>
      </c>
      <c r="Y32" s="3">
        <v>25</v>
      </c>
      <c r="Z32" s="18"/>
      <c r="AA32" s="20"/>
      <c r="AB32" s="60"/>
      <c r="AC32" s="737">
        <v>16</v>
      </c>
      <c r="AD32" s="737">
        <v>25</v>
      </c>
      <c r="AE32" s="737">
        <v>0.5</v>
      </c>
      <c r="AF32" s="674">
        <v>0.25</v>
      </c>
      <c r="AG32" s="727">
        <v>29550</v>
      </c>
      <c r="AJ32" s="697"/>
    </row>
    <row r="33" spans="1:36" x14ac:dyDescent="0.25">
      <c r="A33" s="163">
        <v>38980</v>
      </c>
      <c r="B33" s="164">
        <v>39082</v>
      </c>
      <c r="C33" s="17">
        <v>183.20000000000002</v>
      </c>
      <c r="D33" s="35"/>
      <c r="E33" s="93">
        <f t="shared" si="0"/>
        <v>183.20000000000002</v>
      </c>
      <c r="F33" s="17">
        <v>220.3</v>
      </c>
      <c r="G33" s="35"/>
      <c r="H33" s="93">
        <f t="shared" si="1"/>
        <v>220.3</v>
      </c>
      <c r="I33" s="17">
        <v>334.70000000000005</v>
      </c>
      <c r="J33" s="35"/>
      <c r="K33" s="17">
        <f t="shared" si="2"/>
        <v>334.70000000000005</v>
      </c>
      <c r="L33" s="17">
        <v>334.70000000000005</v>
      </c>
      <c r="M33" s="35"/>
      <c r="N33" s="93">
        <f t="shared" si="3"/>
        <v>334.70000000000005</v>
      </c>
      <c r="O33" s="17">
        <v>367.5</v>
      </c>
      <c r="P33" s="35"/>
      <c r="Q33" s="93">
        <f t="shared" si="4"/>
        <v>367.5</v>
      </c>
      <c r="R33" s="17">
        <v>438.5</v>
      </c>
      <c r="S33" s="35"/>
      <c r="T33" s="93">
        <f t="shared" si="5"/>
        <v>438.5</v>
      </c>
      <c r="U33" s="17">
        <v>236</v>
      </c>
      <c r="V33" s="35">
        <v>316</v>
      </c>
      <c r="W33" s="62">
        <v>0.5</v>
      </c>
      <c r="X33" s="61">
        <v>0.6</v>
      </c>
      <c r="Y33" s="2">
        <v>25</v>
      </c>
      <c r="Z33" s="17"/>
      <c r="AA33" s="19"/>
      <c r="AB33" s="35"/>
      <c r="AC33" s="738">
        <v>16</v>
      </c>
      <c r="AD33" s="738">
        <v>25</v>
      </c>
      <c r="AE33" s="738">
        <v>0.5</v>
      </c>
      <c r="AF33" s="675">
        <v>0.25</v>
      </c>
      <c r="AG33" s="728">
        <v>29550</v>
      </c>
      <c r="AJ33" s="697"/>
    </row>
    <row r="34" spans="1:36" x14ac:dyDescent="0.25">
      <c r="A34" s="163">
        <v>39083</v>
      </c>
      <c r="B34" s="164">
        <v>39160</v>
      </c>
      <c r="C34" s="17">
        <v>190.5</v>
      </c>
      <c r="D34" s="35"/>
      <c r="E34" s="93">
        <f t="shared" si="0"/>
        <v>190.5</v>
      </c>
      <c r="F34" s="17">
        <v>229.10000000000002</v>
      </c>
      <c r="G34" s="35"/>
      <c r="H34" s="93">
        <f t="shared" si="1"/>
        <v>229.10000000000002</v>
      </c>
      <c r="I34" s="17">
        <v>348.1</v>
      </c>
      <c r="J34" s="35"/>
      <c r="K34" s="17">
        <f t="shared" si="2"/>
        <v>348.1</v>
      </c>
      <c r="L34" s="17">
        <v>348.1</v>
      </c>
      <c r="M34" s="35"/>
      <c r="N34" s="93">
        <f t="shared" si="3"/>
        <v>348.1</v>
      </c>
      <c r="O34" s="17">
        <v>382.20000000000005</v>
      </c>
      <c r="P34" s="35"/>
      <c r="Q34" s="93">
        <f t="shared" si="4"/>
        <v>382.20000000000005</v>
      </c>
      <c r="R34" s="17">
        <v>456</v>
      </c>
      <c r="S34" s="35"/>
      <c r="T34" s="93">
        <f t="shared" si="5"/>
        <v>456</v>
      </c>
      <c r="U34" s="17">
        <v>236</v>
      </c>
      <c r="V34" s="35">
        <v>316</v>
      </c>
      <c r="W34" s="62">
        <v>0.5</v>
      </c>
      <c r="X34" s="61">
        <v>0.6</v>
      </c>
      <c r="Y34" s="2">
        <v>25</v>
      </c>
      <c r="Z34" s="17"/>
      <c r="AA34" s="19"/>
      <c r="AB34" s="35"/>
      <c r="AC34" s="738">
        <v>16</v>
      </c>
      <c r="AD34" s="738">
        <v>25</v>
      </c>
      <c r="AE34" s="738">
        <v>0.5</v>
      </c>
      <c r="AF34" s="675">
        <v>0.25</v>
      </c>
      <c r="AG34" s="728">
        <v>30750</v>
      </c>
      <c r="AJ34" s="697"/>
    </row>
    <row r="35" spans="1:36" ht="15.75" thickBot="1" x14ac:dyDescent="0.3">
      <c r="A35" s="180">
        <v>39161</v>
      </c>
      <c r="B35" s="181">
        <v>39263</v>
      </c>
      <c r="C35" s="65">
        <v>190.5</v>
      </c>
      <c r="D35" s="69"/>
      <c r="E35" s="94">
        <f t="shared" si="0"/>
        <v>190.5</v>
      </c>
      <c r="F35" s="65">
        <v>229.10000000000002</v>
      </c>
      <c r="G35" s="69"/>
      <c r="H35" s="94">
        <f t="shared" si="1"/>
        <v>229.10000000000002</v>
      </c>
      <c r="I35" s="65">
        <v>348.1</v>
      </c>
      <c r="J35" s="69"/>
      <c r="K35" s="65">
        <f t="shared" si="2"/>
        <v>348.1</v>
      </c>
      <c r="L35" s="65">
        <v>348.1</v>
      </c>
      <c r="M35" s="69"/>
      <c r="N35" s="94">
        <f t="shared" si="3"/>
        <v>348.1</v>
      </c>
      <c r="O35" s="65">
        <v>382.20000000000005</v>
      </c>
      <c r="P35" s="69"/>
      <c r="Q35" s="94">
        <f t="shared" si="4"/>
        <v>382.20000000000005</v>
      </c>
      <c r="R35" s="65">
        <v>456</v>
      </c>
      <c r="S35" s="69"/>
      <c r="T35" s="94">
        <f t="shared" si="5"/>
        <v>456</v>
      </c>
      <c r="U35" s="65">
        <v>236</v>
      </c>
      <c r="V35" s="69">
        <v>316</v>
      </c>
      <c r="W35" s="67">
        <v>0.5</v>
      </c>
      <c r="X35" s="66">
        <v>0.6</v>
      </c>
      <c r="Y35" s="85">
        <v>25</v>
      </c>
      <c r="Z35" s="65"/>
      <c r="AA35" s="68"/>
      <c r="AB35" s="69"/>
      <c r="AC35" s="739">
        <v>16</v>
      </c>
      <c r="AD35" s="739">
        <v>25</v>
      </c>
      <c r="AE35" s="739">
        <v>0.5</v>
      </c>
      <c r="AF35" s="676">
        <v>0.25</v>
      </c>
      <c r="AG35" s="729">
        <v>30750</v>
      </c>
      <c r="AJ35" s="697"/>
    </row>
    <row r="36" spans="1:36" x14ac:dyDescent="0.25">
      <c r="A36" s="161">
        <v>39264</v>
      </c>
      <c r="B36" s="162">
        <v>39344</v>
      </c>
      <c r="C36" s="18">
        <v>190.5</v>
      </c>
      <c r="D36" s="60"/>
      <c r="E36" s="92">
        <f t="shared" si="0"/>
        <v>190.5</v>
      </c>
      <c r="F36" s="18">
        <v>229.10000000000002</v>
      </c>
      <c r="G36" s="60"/>
      <c r="H36" s="92">
        <f t="shared" si="1"/>
        <v>229.10000000000002</v>
      </c>
      <c r="I36" s="18">
        <v>348.1</v>
      </c>
      <c r="J36" s="60"/>
      <c r="K36" s="18">
        <f t="shared" si="2"/>
        <v>348.1</v>
      </c>
      <c r="L36" s="18">
        <v>348.1</v>
      </c>
      <c r="M36" s="60"/>
      <c r="N36" s="92">
        <f t="shared" si="3"/>
        <v>348.1</v>
      </c>
      <c r="O36" s="18">
        <v>382.20000000000005</v>
      </c>
      <c r="P36" s="60"/>
      <c r="Q36" s="92">
        <f t="shared" si="4"/>
        <v>382.20000000000005</v>
      </c>
      <c r="R36" s="18">
        <v>456</v>
      </c>
      <c r="S36" s="60"/>
      <c r="T36" s="92">
        <f t="shared" si="5"/>
        <v>456</v>
      </c>
      <c r="U36" s="18">
        <v>236</v>
      </c>
      <c r="V36" s="60">
        <v>316</v>
      </c>
      <c r="W36" s="58">
        <v>0.5</v>
      </c>
      <c r="X36" s="57">
        <v>0.6</v>
      </c>
      <c r="Y36" s="3">
        <v>25</v>
      </c>
      <c r="Z36" s="18"/>
      <c r="AA36" s="20"/>
      <c r="AB36" s="60"/>
      <c r="AC36" s="737">
        <v>16</v>
      </c>
      <c r="AD36" s="737">
        <v>25</v>
      </c>
      <c r="AE36" s="737">
        <v>0.5</v>
      </c>
      <c r="AF36" s="674">
        <v>0.25</v>
      </c>
      <c r="AG36" s="727">
        <v>30750</v>
      </c>
      <c r="AJ36" s="697"/>
    </row>
    <row r="37" spans="1:36" x14ac:dyDescent="0.25">
      <c r="A37" s="163">
        <v>39345</v>
      </c>
      <c r="B37" s="164">
        <v>39447</v>
      </c>
      <c r="C37" s="17">
        <v>190.5</v>
      </c>
      <c r="D37" s="35"/>
      <c r="E37" s="93">
        <f t="shared" si="0"/>
        <v>190.5</v>
      </c>
      <c r="F37" s="17">
        <v>229.10000000000002</v>
      </c>
      <c r="G37" s="35"/>
      <c r="H37" s="93">
        <f t="shared" si="1"/>
        <v>229.10000000000002</v>
      </c>
      <c r="I37" s="17">
        <v>348.1</v>
      </c>
      <c r="J37" s="35"/>
      <c r="K37" s="17">
        <f t="shared" si="2"/>
        <v>348.1</v>
      </c>
      <c r="L37" s="17">
        <v>348.1</v>
      </c>
      <c r="M37" s="35"/>
      <c r="N37" s="93">
        <f t="shared" si="3"/>
        <v>348.1</v>
      </c>
      <c r="O37" s="17">
        <v>382.20000000000005</v>
      </c>
      <c r="P37" s="35"/>
      <c r="Q37" s="93">
        <f t="shared" si="4"/>
        <v>382.20000000000005</v>
      </c>
      <c r="R37" s="17">
        <v>456</v>
      </c>
      <c r="S37" s="35"/>
      <c r="T37" s="93">
        <f t="shared" si="5"/>
        <v>456</v>
      </c>
      <c r="U37" s="17">
        <v>236</v>
      </c>
      <c r="V37" s="35">
        <v>316</v>
      </c>
      <c r="W37" s="62">
        <v>0.5</v>
      </c>
      <c r="X37" s="61">
        <v>0.6</v>
      </c>
      <c r="Y37" s="2">
        <v>25</v>
      </c>
      <c r="Z37" s="17"/>
      <c r="AA37" s="19"/>
      <c r="AB37" s="35"/>
      <c r="AC37" s="738">
        <v>16</v>
      </c>
      <c r="AD37" s="738">
        <v>25</v>
      </c>
      <c r="AE37" s="738">
        <v>0.5</v>
      </c>
      <c r="AF37" s="675">
        <v>0.25</v>
      </c>
      <c r="AG37" s="728">
        <v>30750</v>
      </c>
      <c r="AJ37" s="697"/>
    </row>
    <row r="38" spans="1:36" x14ac:dyDescent="0.25">
      <c r="A38" s="163">
        <v>39448</v>
      </c>
      <c r="B38" s="164">
        <v>39526</v>
      </c>
      <c r="C38" s="17">
        <v>194.5</v>
      </c>
      <c r="D38" s="35"/>
      <c r="E38" s="93">
        <f t="shared" si="0"/>
        <v>194.5</v>
      </c>
      <c r="F38" s="17">
        <v>233.9</v>
      </c>
      <c r="G38" s="35"/>
      <c r="H38" s="93">
        <f t="shared" si="1"/>
        <v>233.9</v>
      </c>
      <c r="I38" s="17">
        <v>355.40000000000003</v>
      </c>
      <c r="J38" s="35"/>
      <c r="K38" s="17">
        <f t="shared" si="2"/>
        <v>355.40000000000003</v>
      </c>
      <c r="L38" s="17">
        <v>355.40000000000003</v>
      </c>
      <c r="M38" s="35"/>
      <c r="N38" s="93">
        <f t="shared" si="3"/>
        <v>355.40000000000003</v>
      </c>
      <c r="O38" s="17">
        <v>390.20000000000005</v>
      </c>
      <c r="P38" s="35"/>
      <c r="Q38" s="93">
        <f t="shared" si="4"/>
        <v>390.20000000000005</v>
      </c>
      <c r="R38" s="17">
        <v>465.6</v>
      </c>
      <c r="S38" s="35"/>
      <c r="T38" s="93">
        <f t="shared" si="5"/>
        <v>465.6</v>
      </c>
      <c r="U38" s="17">
        <v>236</v>
      </c>
      <c r="V38" s="35">
        <v>316</v>
      </c>
      <c r="W38" s="62">
        <v>0.5</v>
      </c>
      <c r="X38" s="61">
        <v>0.6</v>
      </c>
      <c r="Y38" s="2">
        <v>25</v>
      </c>
      <c r="Z38" s="17"/>
      <c r="AA38" s="19"/>
      <c r="AB38" s="35"/>
      <c r="AC38" s="738">
        <v>16</v>
      </c>
      <c r="AD38" s="738">
        <v>25</v>
      </c>
      <c r="AE38" s="738">
        <v>0.5</v>
      </c>
      <c r="AF38" s="675">
        <v>0.25</v>
      </c>
      <c r="AG38" s="728">
        <v>31400</v>
      </c>
      <c r="AJ38" s="697"/>
    </row>
    <row r="39" spans="1:36" ht="15.75" thickBot="1" x14ac:dyDescent="0.3">
      <c r="A39" s="180">
        <v>39527</v>
      </c>
      <c r="B39" s="181">
        <v>39629</v>
      </c>
      <c r="C39" s="65">
        <v>194.5</v>
      </c>
      <c r="D39" s="69"/>
      <c r="E39" s="94">
        <f t="shared" si="0"/>
        <v>194.5</v>
      </c>
      <c r="F39" s="65">
        <v>233.9</v>
      </c>
      <c r="G39" s="69"/>
      <c r="H39" s="94">
        <f t="shared" si="1"/>
        <v>233.9</v>
      </c>
      <c r="I39" s="65">
        <v>355.40000000000003</v>
      </c>
      <c r="J39" s="69"/>
      <c r="K39" s="65">
        <f t="shared" si="2"/>
        <v>355.40000000000003</v>
      </c>
      <c r="L39" s="65">
        <v>355.40000000000003</v>
      </c>
      <c r="M39" s="69"/>
      <c r="N39" s="94">
        <f t="shared" si="3"/>
        <v>355.40000000000003</v>
      </c>
      <c r="O39" s="65">
        <v>390.20000000000005</v>
      </c>
      <c r="P39" s="69"/>
      <c r="Q39" s="94">
        <f t="shared" si="4"/>
        <v>390.20000000000005</v>
      </c>
      <c r="R39" s="65">
        <v>465.6</v>
      </c>
      <c r="S39" s="69"/>
      <c r="T39" s="94">
        <f t="shared" si="5"/>
        <v>465.6</v>
      </c>
      <c r="U39" s="65">
        <v>236</v>
      </c>
      <c r="V39" s="69">
        <v>316</v>
      </c>
      <c r="W39" s="67">
        <v>0.5</v>
      </c>
      <c r="X39" s="66">
        <v>0.6</v>
      </c>
      <c r="Y39" s="85">
        <v>25</v>
      </c>
      <c r="Z39" s="65"/>
      <c r="AA39" s="68"/>
      <c r="AB39" s="69"/>
      <c r="AC39" s="739">
        <v>16</v>
      </c>
      <c r="AD39" s="739">
        <v>25</v>
      </c>
      <c r="AE39" s="739">
        <v>0.5</v>
      </c>
      <c r="AF39" s="676">
        <v>0.25</v>
      </c>
      <c r="AG39" s="729">
        <v>31400</v>
      </c>
      <c r="AJ39" s="697"/>
    </row>
    <row r="40" spans="1:36" x14ac:dyDescent="0.25">
      <c r="A40" s="161">
        <v>39630</v>
      </c>
      <c r="B40" s="162">
        <v>39710</v>
      </c>
      <c r="C40" s="18">
        <v>194.5</v>
      </c>
      <c r="D40" s="60"/>
      <c r="E40" s="92">
        <f t="shared" si="0"/>
        <v>194.5</v>
      </c>
      <c r="F40" s="18">
        <v>233.9</v>
      </c>
      <c r="G40" s="60"/>
      <c r="H40" s="92">
        <f t="shared" si="1"/>
        <v>233.9</v>
      </c>
      <c r="I40" s="18">
        <v>355.40000000000003</v>
      </c>
      <c r="J40" s="60"/>
      <c r="K40" s="18">
        <f t="shared" si="2"/>
        <v>355.40000000000003</v>
      </c>
      <c r="L40" s="18">
        <v>355.40000000000003</v>
      </c>
      <c r="M40" s="60"/>
      <c r="N40" s="92">
        <f t="shared" si="3"/>
        <v>355.40000000000003</v>
      </c>
      <c r="O40" s="18">
        <v>390.20000000000005</v>
      </c>
      <c r="P40" s="60"/>
      <c r="Q40" s="92">
        <f t="shared" si="4"/>
        <v>390.20000000000005</v>
      </c>
      <c r="R40" s="18">
        <v>465.6</v>
      </c>
      <c r="S40" s="60"/>
      <c r="T40" s="92">
        <f t="shared" si="5"/>
        <v>465.6</v>
      </c>
      <c r="U40" s="18">
        <v>236</v>
      </c>
      <c r="V40" s="60">
        <v>316</v>
      </c>
      <c r="W40" s="58">
        <v>0.5</v>
      </c>
      <c r="X40" s="57">
        <v>0.6</v>
      </c>
      <c r="Y40" s="3">
        <v>25</v>
      </c>
      <c r="Z40" s="18"/>
      <c r="AA40" s="20"/>
      <c r="AB40" s="60"/>
      <c r="AC40" s="737">
        <v>16</v>
      </c>
      <c r="AD40" s="737">
        <v>25</v>
      </c>
      <c r="AE40" s="737">
        <v>0.5</v>
      </c>
      <c r="AF40" s="674">
        <v>0.25</v>
      </c>
      <c r="AG40" s="727">
        <v>31400</v>
      </c>
      <c r="AJ40" s="697"/>
    </row>
    <row r="41" spans="1:36" x14ac:dyDescent="0.25">
      <c r="A41" s="163">
        <v>39711</v>
      </c>
      <c r="B41" s="164">
        <v>39813</v>
      </c>
      <c r="C41" s="17">
        <v>194.5</v>
      </c>
      <c r="D41" s="35"/>
      <c r="E41" s="93">
        <f t="shared" si="0"/>
        <v>194.5</v>
      </c>
      <c r="F41" s="17">
        <v>233.9</v>
      </c>
      <c r="G41" s="35"/>
      <c r="H41" s="93">
        <f t="shared" si="1"/>
        <v>233.9</v>
      </c>
      <c r="I41" s="17">
        <v>355.40000000000003</v>
      </c>
      <c r="J41" s="35"/>
      <c r="K41" s="17">
        <f t="shared" si="2"/>
        <v>355.40000000000003</v>
      </c>
      <c r="L41" s="17">
        <v>355.40000000000003</v>
      </c>
      <c r="M41" s="35"/>
      <c r="N41" s="93">
        <f t="shared" si="3"/>
        <v>355.40000000000003</v>
      </c>
      <c r="O41" s="17">
        <v>390.20000000000005</v>
      </c>
      <c r="P41" s="35"/>
      <c r="Q41" s="93">
        <f t="shared" si="4"/>
        <v>390.20000000000005</v>
      </c>
      <c r="R41" s="17">
        <v>465.6</v>
      </c>
      <c r="S41" s="35"/>
      <c r="T41" s="93">
        <f t="shared" si="5"/>
        <v>465.6</v>
      </c>
      <c r="U41" s="17">
        <v>236</v>
      </c>
      <c r="V41" s="35">
        <v>316</v>
      </c>
      <c r="W41" s="62">
        <v>0.5</v>
      </c>
      <c r="X41" s="61">
        <v>0.6</v>
      </c>
      <c r="Y41" s="2">
        <v>25</v>
      </c>
      <c r="Z41" s="17"/>
      <c r="AA41" s="19"/>
      <c r="AB41" s="35"/>
      <c r="AC41" s="738">
        <v>16</v>
      </c>
      <c r="AD41" s="738">
        <v>25</v>
      </c>
      <c r="AE41" s="738">
        <v>0.5</v>
      </c>
      <c r="AF41" s="675">
        <v>0.25</v>
      </c>
      <c r="AG41" s="728">
        <v>31400</v>
      </c>
      <c r="AJ41" s="697"/>
    </row>
    <row r="42" spans="1:36" x14ac:dyDescent="0.25">
      <c r="A42" s="163">
        <v>39814</v>
      </c>
      <c r="B42" s="164">
        <v>39891</v>
      </c>
      <c r="C42" s="17">
        <v>203.3</v>
      </c>
      <c r="D42" s="35"/>
      <c r="E42" s="93">
        <f t="shared" si="0"/>
        <v>203.3</v>
      </c>
      <c r="F42" s="17">
        <v>244.4</v>
      </c>
      <c r="G42" s="35"/>
      <c r="H42" s="93">
        <f t="shared" si="1"/>
        <v>244.4</v>
      </c>
      <c r="I42" s="17">
        <v>371.40000000000003</v>
      </c>
      <c r="J42" s="35"/>
      <c r="K42" s="17">
        <f t="shared" si="2"/>
        <v>371.40000000000003</v>
      </c>
      <c r="L42" s="17">
        <v>371.40000000000003</v>
      </c>
      <c r="M42" s="35"/>
      <c r="N42" s="93">
        <f t="shared" si="3"/>
        <v>371.40000000000003</v>
      </c>
      <c r="O42" s="17">
        <v>407.8</v>
      </c>
      <c r="P42" s="35"/>
      <c r="Q42" s="93">
        <f t="shared" si="4"/>
        <v>407.8</v>
      </c>
      <c r="R42" s="17">
        <v>486.6</v>
      </c>
      <c r="S42" s="35"/>
      <c r="T42" s="93">
        <f t="shared" si="5"/>
        <v>486.6</v>
      </c>
      <c r="U42" s="17">
        <v>236</v>
      </c>
      <c r="V42" s="35">
        <v>316</v>
      </c>
      <c r="W42" s="62">
        <v>0.5</v>
      </c>
      <c r="X42" s="61">
        <v>0.6</v>
      </c>
      <c r="Y42" s="2">
        <v>25</v>
      </c>
      <c r="Z42" s="17"/>
      <c r="AA42" s="19"/>
      <c r="AB42" s="35"/>
      <c r="AC42" s="738">
        <v>16</v>
      </c>
      <c r="AD42" s="738">
        <v>25</v>
      </c>
      <c r="AE42" s="738">
        <v>0.5</v>
      </c>
      <c r="AF42" s="675">
        <v>0.25</v>
      </c>
      <c r="AG42" s="728">
        <v>32800</v>
      </c>
      <c r="AJ42" s="697"/>
    </row>
    <row r="43" spans="1:36" ht="15.75" thickBot="1" x14ac:dyDescent="0.3">
      <c r="A43" s="180">
        <v>39892</v>
      </c>
      <c r="B43" s="181">
        <v>39994</v>
      </c>
      <c r="C43" s="65">
        <v>203.3</v>
      </c>
      <c r="D43" s="69"/>
      <c r="E43" s="94">
        <f t="shared" si="0"/>
        <v>203.3</v>
      </c>
      <c r="F43" s="65">
        <v>244.4</v>
      </c>
      <c r="G43" s="69"/>
      <c r="H43" s="94">
        <f t="shared" si="1"/>
        <v>244.4</v>
      </c>
      <c r="I43" s="65">
        <v>371.40000000000003</v>
      </c>
      <c r="J43" s="69"/>
      <c r="K43" s="65">
        <f t="shared" si="2"/>
        <v>371.40000000000003</v>
      </c>
      <c r="L43" s="65">
        <v>371.40000000000003</v>
      </c>
      <c r="M43" s="69"/>
      <c r="N43" s="94">
        <f t="shared" si="3"/>
        <v>371.40000000000003</v>
      </c>
      <c r="O43" s="65">
        <v>407.8</v>
      </c>
      <c r="P43" s="69"/>
      <c r="Q43" s="94">
        <f t="shared" si="4"/>
        <v>407.8</v>
      </c>
      <c r="R43" s="65">
        <v>486.6</v>
      </c>
      <c r="S43" s="69"/>
      <c r="T43" s="94">
        <f t="shared" si="5"/>
        <v>486.6</v>
      </c>
      <c r="U43" s="65">
        <v>236</v>
      </c>
      <c r="V43" s="69">
        <v>316</v>
      </c>
      <c r="W43" s="67">
        <v>0.5</v>
      </c>
      <c r="X43" s="66">
        <v>0.6</v>
      </c>
      <c r="Y43" s="85">
        <v>25</v>
      </c>
      <c r="Z43" s="65"/>
      <c r="AA43" s="68"/>
      <c r="AB43" s="69"/>
      <c r="AC43" s="739">
        <v>16</v>
      </c>
      <c r="AD43" s="739">
        <v>25</v>
      </c>
      <c r="AE43" s="739">
        <v>0.5</v>
      </c>
      <c r="AF43" s="676">
        <v>0.25</v>
      </c>
      <c r="AG43" s="729">
        <v>32800</v>
      </c>
      <c r="AJ43" s="697"/>
    </row>
    <row r="44" spans="1:36" x14ac:dyDescent="0.25">
      <c r="A44" s="161">
        <v>39995</v>
      </c>
      <c r="B44" s="162">
        <v>40075</v>
      </c>
      <c r="C44" s="18">
        <v>203.3</v>
      </c>
      <c r="D44" s="60"/>
      <c r="E44" s="92">
        <f t="shared" si="0"/>
        <v>203.3</v>
      </c>
      <c r="F44" s="18">
        <v>244.4</v>
      </c>
      <c r="G44" s="60"/>
      <c r="H44" s="92">
        <f t="shared" si="1"/>
        <v>244.4</v>
      </c>
      <c r="I44" s="18">
        <v>371.40000000000003</v>
      </c>
      <c r="J44" s="60"/>
      <c r="K44" s="18">
        <f t="shared" si="2"/>
        <v>371.40000000000003</v>
      </c>
      <c r="L44" s="18">
        <v>371.40000000000003</v>
      </c>
      <c r="M44" s="60"/>
      <c r="N44" s="92">
        <f t="shared" si="3"/>
        <v>371.40000000000003</v>
      </c>
      <c r="O44" s="18">
        <v>407.8</v>
      </c>
      <c r="P44" s="60"/>
      <c r="Q44" s="92">
        <f t="shared" si="4"/>
        <v>407.8</v>
      </c>
      <c r="R44" s="18">
        <v>486.6</v>
      </c>
      <c r="S44" s="60"/>
      <c r="T44" s="92">
        <f t="shared" si="5"/>
        <v>486.6</v>
      </c>
      <c r="U44" s="18">
        <v>236</v>
      </c>
      <c r="V44" s="60">
        <v>316</v>
      </c>
      <c r="W44" s="58">
        <v>0.5</v>
      </c>
      <c r="X44" s="57">
        <v>0.6</v>
      </c>
      <c r="Y44" s="3">
        <v>25</v>
      </c>
      <c r="Z44" s="18">
        <v>0</v>
      </c>
      <c r="AA44" s="20">
        <v>0</v>
      </c>
      <c r="AB44" s="60">
        <v>0</v>
      </c>
      <c r="AC44" s="737">
        <v>16</v>
      </c>
      <c r="AD44" s="737">
        <v>25</v>
      </c>
      <c r="AE44" s="737">
        <v>0.5</v>
      </c>
      <c r="AF44" s="675">
        <v>0.25</v>
      </c>
      <c r="AG44" s="727">
        <v>32800</v>
      </c>
      <c r="AJ44" s="697"/>
    </row>
    <row r="45" spans="1:36" x14ac:dyDescent="0.25">
      <c r="A45" s="163">
        <v>40076</v>
      </c>
      <c r="B45" s="164">
        <v>40178</v>
      </c>
      <c r="C45" s="17">
        <v>203.3</v>
      </c>
      <c r="D45" s="35"/>
      <c r="E45" s="93">
        <f t="shared" si="0"/>
        <v>203.3</v>
      </c>
      <c r="F45" s="17">
        <v>244.4</v>
      </c>
      <c r="G45" s="35"/>
      <c r="H45" s="93">
        <f t="shared" si="1"/>
        <v>244.4</v>
      </c>
      <c r="I45" s="17">
        <v>371.40000000000003</v>
      </c>
      <c r="J45" s="35"/>
      <c r="K45" s="17">
        <f t="shared" si="2"/>
        <v>371.40000000000003</v>
      </c>
      <c r="L45" s="17">
        <v>371.40000000000003</v>
      </c>
      <c r="M45" s="35"/>
      <c r="N45" s="93">
        <f t="shared" si="3"/>
        <v>371.40000000000003</v>
      </c>
      <c r="O45" s="17">
        <v>407.8</v>
      </c>
      <c r="P45" s="35"/>
      <c r="Q45" s="93">
        <f t="shared" si="4"/>
        <v>407.8</v>
      </c>
      <c r="R45" s="17">
        <v>486.6</v>
      </c>
      <c r="S45" s="35"/>
      <c r="T45" s="93">
        <f t="shared" si="5"/>
        <v>486.6</v>
      </c>
      <c r="U45" s="17">
        <v>236</v>
      </c>
      <c r="V45" s="35">
        <v>316</v>
      </c>
      <c r="W45" s="62">
        <v>0.5</v>
      </c>
      <c r="X45" s="61">
        <v>0.6</v>
      </c>
      <c r="Y45" s="2">
        <v>25</v>
      </c>
      <c r="Z45" s="17">
        <v>0</v>
      </c>
      <c r="AA45" s="19">
        <v>0</v>
      </c>
      <c r="AB45" s="35">
        <v>0</v>
      </c>
      <c r="AC45" s="738">
        <v>16</v>
      </c>
      <c r="AD45" s="738">
        <v>25</v>
      </c>
      <c r="AE45" s="738">
        <v>0.5</v>
      </c>
      <c r="AF45" s="675">
        <v>0.25</v>
      </c>
      <c r="AG45" s="728">
        <v>32800</v>
      </c>
      <c r="AJ45" s="697"/>
    </row>
    <row r="46" spans="1:36" x14ac:dyDescent="0.25">
      <c r="A46" s="163">
        <v>40179</v>
      </c>
      <c r="B46" s="164">
        <v>40256</v>
      </c>
      <c r="C46" s="17">
        <v>206.3</v>
      </c>
      <c r="D46" s="35"/>
      <c r="E46" s="93">
        <f t="shared" si="0"/>
        <v>206.3</v>
      </c>
      <c r="F46" s="17">
        <v>248.10000000000002</v>
      </c>
      <c r="G46" s="35"/>
      <c r="H46" s="93">
        <f t="shared" si="1"/>
        <v>248.10000000000002</v>
      </c>
      <c r="I46" s="17">
        <v>377</v>
      </c>
      <c r="J46" s="35"/>
      <c r="K46" s="17">
        <f t="shared" si="2"/>
        <v>377</v>
      </c>
      <c r="L46" s="17">
        <v>377</v>
      </c>
      <c r="M46" s="35"/>
      <c r="N46" s="93">
        <f t="shared" si="3"/>
        <v>377</v>
      </c>
      <c r="O46" s="17">
        <v>413.90000000000003</v>
      </c>
      <c r="P46" s="35"/>
      <c r="Q46" s="93">
        <f t="shared" si="4"/>
        <v>413.90000000000003</v>
      </c>
      <c r="R46" s="17">
        <v>493.90000000000003</v>
      </c>
      <c r="S46" s="35"/>
      <c r="T46" s="93">
        <f t="shared" si="5"/>
        <v>493.90000000000003</v>
      </c>
      <c r="U46" s="17">
        <v>236</v>
      </c>
      <c r="V46" s="35">
        <v>316</v>
      </c>
      <c r="W46" s="62">
        <v>0.5</v>
      </c>
      <c r="X46" s="61">
        <v>0.6</v>
      </c>
      <c r="Y46" s="2">
        <v>24</v>
      </c>
      <c r="Z46" s="17">
        <v>4000</v>
      </c>
      <c r="AA46" s="19">
        <v>1000</v>
      </c>
      <c r="AB46" s="35">
        <v>1000</v>
      </c>
      <c r="AC46" s="741">
        <v>16</v>
      </c>
      <c r="AD46" s="741">
        <v>25</v>
      </c>
      <c r="AE46" s="741">
        <v>0.5</v>
      </c>
      <c r="AF46" s="677">
        <v>0.2</v>
      </c>
      <c r="AG46" s="731">
        <v>44165</v>
      </c>
      <c r="AJ46" s="697"/>
    </row>
    <row r="47" spans="1:36" ht="15.75" thickBot="1" x14ac:dyDescent="0.3">
      <c r="A47" s="180">
        <v>40257</v>
      </c>
      <c r="B47" s="181">
        <v>40359</v>
      </c>
      <c r="C47" s="65">
        <v>206.3</v>
      </c>
      <c r="D47" s="69"/>
      <c r="E47" s="94">
        <f t="shared" si="0"/>
        <v>206.3</v>
      </c>
      <c r="F47" s="65">
        <v>248.10000000000002</v>
      </c>
      <c r="G47" s="69"/>
      <c r="H47" s="94">
        <f t="shared" si="1"/>
        <v>248.10000000000002</v>
      </c>
      <c r="I47" s="65">
        <v>377</v>
      </c>
      <c r="J47" s="69"/>
      <c r="K47" s="65">
        <f t="shared" si="2"/>
        <v>377</v>
      </c>
      <c r="L47" s="65">
        <v>377</v>
      </c>
      <c r="M47" s="69"/>
      <c r="N47" s="94">
        <f t="shared" si="3"/>
        <v>377</v>
      </c>
      <c r="O47" s="65">
        <v>413.90000000000003</v>
      </c>
      <c r="P47" s="69"/>
      <c r="Q47" s="94">
        <f t="shared" si="4"/>
        <v>413.90000000000003</v>
      </c>
      <c r="R47" s="65">
        <v>493.90000000000003</v>
      </c>
      <c r="S47" s="69"/>
      <c r="T47" s="94">
        <f t="shared" si="5"/>
        <v>493.90000000000003</v>
      </c>
      <c r="U47" s="65">
        <v>236</v>
      </c>
      <c r="V47" s="69">
        <v>316</v>
      </c>
      <c r="W47" s="67">
        <v>0.5</v>
      </c>
      <c r="X47" s="66">
        <v>0.6</v>
      </c>
      <c r="Y47" s="85">
        <v>24</v>
      </c>
      <c r="Z47" s="65">
        <v>4000</v>
      </c>
      <c r="AA47" s="68">
        <v>1000</v>
      </c>
      <c r="AB47" s="69">
        <v>1000</v>
      </c>
      <c r="AC47" s="740">
        <v>16</v>
      </c>
      <c r="AD47" s="740">
        <v>25</v>
      </c>
      <c r="AE47" s="740">
        <v>0.5</v>
      </c>
      <c r="AF47" s="678">
        <v>0.2</v>
      </c>
      <c r="AG47" s="730">
        <v>44165</v>
      </c>
      <c r="AJ47" s="697"/>
    </row>
    <row r="48" spans="1:36" x14ac:dyDescent="0.25">
      <c r="A48" s="161">
        <v>40360</v>
      </c>
      <c r="B48" s="162">
        <v>40440</v>
      </c>
      <c r="C48" s="18">
        <v>206.3</v>
      </c>
      <c r="D48" s="60"/>
      <c r="E48" s="92">
        <f t="shared" si="0"/>
        <v>206.3</v>
      </c>
      <c r="F48" s="18">
        <v>248.10000000000002</v>
      </c>
      <c r="G48" s="60"/>
      <c r="H48" s="92">
        <f t="shared" si="1"/>
        <v>248.10000000000002</v>
      </c>
      <c r="I48" s="18">
        <v>377</v>
      </c>
      <c r="J48" s="60"/>
      <c r="K48" s="18">
        <f t="shared" si="2"/>
        <v>377</v>
      </c>
      <c r="L48" s="18">
        <v>377</v>
      </c>
      <c r="M48" s="60"/>
      <c r="N48" s="92">
        <f t="shared" si="3"/>
        <v>377</v>
      </c>
      <c r="O48" s="18">
        <v>413.90000000000003</v>
      </c>
      <c r="P48" s="60"/>
      <c r="Q48" s="92">
        <f t="shared" si="4"/>
        <v>413.90000000000003</v>
      </c>
      <c r="R48" s="18">
        <v>493.90000000000003</v>
      </c>
      <c r="S48" s="60"/>
      <c r="T48" s="92">
        <f t="shared" si="5"/>
        <v>493.90000000000003</v>
      </c>
      <c r="U48" s="18">
        <v>236</v>
      </c>
      <c r="V48" s="60">
        <v>316</v>
      </c>
      <c r="W48" s="58">
        <v>0.5</v>
      </c>
      <c r="X48" s="57">
        <v>0.6</v>
      </c>
      <c r="Y48" s="3">
        <v>24</v>
      </c>
      <c r="Z48" s="18">
        <v>4000</v>
      </c>
      <c r="AA48" s="20">
        <v>1000</v>
      </c>
      <c r="AB48" s="60">
        <v>1000</v>
      </c>
      <c r="AC48" s="742">
        <v>16</v>
      </c>
      <c r="AD48" s="742">
        <v>25</v>
      </c>
      <c r="AE48" s="742">
        <v>0.5</v>
      </c>
      <c r="AF48" s="677">
        <v>0.2</v>
      </c>
      <c r="AG48" s="732">
        <v>44165</v>
      </c>
      <c r="AJ48" s="697"/>
    </row>
    <row r="49" spans="1:36" x14ac:dyDescent="0.25">
      <c r="A49" s="163">
        <v>40441</v>
      </c>
      <c r="B49" s="164">
        <v>40543</v>
      </c>
      <c r="C49" s="17">
        <v>206.3</v>
      </c>
      <c r="D49" s="35"/>
      <c r="E49" s="93">
        <f t="shared" si="0"/>
        <v>206.3</v>
      </c>
      <c r="F49" s="17">
        <v>248.10000000000002</v>
      </c>
      <c r="G49" s="35"/>
      <c r="H49" s="93">
        <f t="shared" si="1"/>
        <v>248.10000000000002</v>
      </c>
      <c r="I49" s="17">
        <v>377</v>
      </c>
      <c r="J49" s="35"/>
      <c r="K49" s="17">
        <f t="shared" si="2"/>
        <v>377</v>
      </c>
      <c r="L49" s="17">
        <v>377</v>
      </c>
      <c r="M49" s="35"/>
      <c r="N49" s="93">
        <f t="shared" si="3"/>
        <v>377</v>
      </c>
      <c r="O49" s="17">
        <v>413.90000000000003</v>
      </c>
      <c r="P49" s="35"/>
      <c r="Q49" s="93">
        <f t="shared" si="4"/>
        <v>413.90000000000003</v>
      </c>
      <c r="R49" s="17">
        <v>493.90000000000003</v>
      </c>
      <c r="S49" s="35"/>
      <c r="T49" s="93">
        <f t="shared" si="5"/>
        <v>493.90000000000003</v>
      </c>
      <c r="U49" s="17">
        <v>236</v>
      </c>
      <c r="V49" s="35">
        <v>316</v>
      </c>
      <c r="W49" s="62">
        <v>0.5</v>
      </c>
      <c r="X49" s="61">
        <v>0.6</v>
      </c>
      <c r="Y49" s="2">
        <v>24</v>
      </c>
      <c r="Z49" s="17">
        <v>4000</v>
      </c>
      <c r="AA49" s="19">
        <v>1000</v>
      </c>
      <c r="AB49" s="35">
        <v>1000</v>
      </c>
      <c r="AC49" s="742">
        <v>16</v>
      </c>
      <c r="AD49" s="742">
        <v>25</v>
      </c>
      <c r="AE49" s="742">
        <v>0.5</v>
      </c>
      <c r="AF49" s="677">
        <v>0.2</v>
      </c>
      <c r="AG49" s="732">
        <v>44165</v>
      </c>
      <c r="AJ49" s="697"/>
    </row>
    <row r="50" spans="1:36" x14ac:dyDescent="0.25">
      <c r="A50" s="163">
        <v>40544</v>
      </c>
      <c r="B50" s="164">
        <v>40621</v>
      </c>
      <c r="C50" s="17">
        <v>212.70000000000002</v>
      </c>
      <c r="D50" s="35"/>
      <c r="E50" s="93">
        <f t="shared" si="0"/>
        <v>212.70000000000002</v>
      </c>
      <c r="F50" s="17">
        <v>255.8</v>
      </c>
      <c r="G50" s="35"/>
      <c r="H50" s="93">
        <f t="shared" si="1"/>
        <v>255.8</v>
      </c>
      <c r="I50" s="17">
        <v>388.70000000000005</v>
      </c>
      <c r="J50" s="35"/>
      <c r="K50" s="17">
        <f t="shared" si="2"/>
        <v>388.70000000000005</v>
      </c>
      <c r="L50" s="17">
        <v>388.70000000000005</v>
      </c>
      <c r="M50" s="35"/>
      <c r="N50" s="93">
        <f t="shared" si="3"/>
        <v>388.70000000000005</v>
      </c>
      <c r="O50" s="17">
        <v>426.70000000000005</v>
      </c>
      <c r="P50" s="35"/>
      <c r="Q50" s="93">
        <f t="shared" si="4"/>
        <v>426.70000000000005</v>
      </c>
      <c r="R50" s="17">
        <v>509.20000000000005</v>
      </c>
      <c r="S50" s="35"/>
      <c r="T50" s="93">
        <f t="shared" si="5"/>
        <v>509.20000000000005</v>
      </c>
      <c r="U50" s="17">
        <v>236</v>
      </c>
      <c r="V50" s="35">
        <v>316</v>
      </c>
      <c r="W50" s="62">
        <v>0.5</v>
      </c>
      <c r="X50" s="61">
        <v>0.6</v>
      </c>
      <c r="Y50" s="2">
        <v>23</v>
      </c>
      <c r="Z50" s="17">
        <v>4124</v>
      </c>
      <c r="AA50" s="19">
        <v>1031</v>
      </c>
      <c r="AB50" s="35">
        <v>1031</v>
      </c>
      <c r="AC50" s="741">
        <v>16</v>
      </c>
      <c r="AD50" s="741">
        <v>25</v>
      </c>
      <c r="AE50" s="741">
        <v>0.5</v>
      </c>
      <c r="AF50" s="677">
        <v>0.2</v>
      </c>
      <c r="AG50" s="731">
        <v>45114</v>
      </c>
      <c r="AJ50" s="697"/>
    </row>
    <row r="51" spans="1:36" ht="15.75" thickBot="1" x14ac:dyDescent="0.3">
      <c r="A51" s="180">
        <v>40622</v>
      </c>
      <c r="B51" s="181">
        <v>40724</v>
      </c>
      <c r="C51" s="65">
        <v>212.70000000000002</v>
      </c>
      <c r="D51" s="69"/>
      <c r="E51" s="94">
        <f t="shared" si="0"/>
        <v>212.70000000000002</v>
      </c>
      <c r="F51" s="65">
        <v>255.8</v>
      </c>
      <c r="G51" s="69"/>
      <c r="H51" s="94">
        <f t="shared" si="1"/>
        <v>255.8</v>
      </c>
      <c r="I51" s="65">
        <v>388.70000000000005</v>
      </c>
      <c r="J51" s="69"/>
      <c r="K51" s="65">
        <f t="shared" si="2"/>
        <v>388.70000000000005</v>
      </c>
      <c r="L51" s="65">
        <v>388.70000000000005</v>
      </c>
      <c r="M51" s="69"/>
      <c r="N51" s="94">
        <f t="shared" si="3"/>
        <v>388.70000000000005</v>
      </c>
      <c r="O51" s="65">
        <v>426.70000000000005</v>
      </c>
      <c r="P51" s="69"/>
      <c r="Q51" s="94">
        <f t="shared" si="4"/>
        <v>426.70000000000005</v>
      </c>
      <c r="R51" s="65">
        <v>509.20000000000005</v>
      </c>
      <c r="S51" s="69"/>
      <c r="T51" s="94">
        <f t="shared" si="5"/>
        <v>509.20000000000005</v>
      </c>
      <c r="U51" s="65">
        <v>236</v>
      </c>
      <c r="V51" s="69">
        <v>316</v>
      </c>
      <c r="W51" s="67">
        <v>0.5</v>
      </c>
      <c r="X51" s="66">
        <v>0.6</v>
      </c>
      <c r="Y51" s="85">
        <v>23</v>
      </c>
      <c r="Z51" s="65">
        <v>4124</v>
      </c>
      <c r="AA51" s="68">
        <v>1031</v>
      </c>
      <c r="AB51" s="69">
        <v>1031</v>
      </c>
      <c r="AC51" s="740">
        <v>16</v>
      </c>
      <c r="AD51" s="740">
        <v>25</v>
      </c>
      <c r="AE51" s="740">
        <v>0.5</v>
      </c>
      <c r="AF51" s="678">
        <v>0.2</v>
      </c>
      <c r="AG51" s="730">
        <v>45114</v>
      </c>
      <c r="AJ51" s="697"/>
    </row>
    <row r="52" spans="1:36" x14ac:dyDescent="0.25">
      <c r="A52" s="161">
        <v>40725</v>
      </c>
      <c r="B52" s="162">
        <v>40805</v>
      </c>
      <c r="C52" s="18">
        <v>212.70000000000002</v>
      </c>
      <c r="D52" s="60"/>
      <c r="E52" s="92">
        <f t="shared" si="0"/>
        <v>212.70000000000002</v>
      </c>
      <c r="F52" s="18">
        <v>255.8</v>
      </c>
      <c r="G52" s="60"/>
      <c r="H52" s="92">
        <f t="shared" si="1"/>
        <v>255.8</v>
      </c>
      <c r="I52" s="18">
        <v>388.70000000000005</v>
      </c>
      <c r="J52" s="60"/>
      <c r="K52" s="18">
        <f t="shared" si="2"/>
        <v>388.70000000000005</v>
      </c>
      <c r="L52" s="18">
        <v>388.70000000000005</v>
      </c>
      <c r="M52" s="60"/>
      <c r="N52" s="92">
        <f t="shared" si="3"/>
        <v>388.70000000000005</v>
      </c>
      <c r="O52" s="18">
        <v>426.70000000000005</v>
      </c>
      <c r="P52" s="60"/>
      <c r="Q52" s="92">
        <f t="shared" si="4"/>
        <v>426.70000000000005</v>
      </c>
      <c r="R52" s="18">
        <v>509.20000000000005</v>
      </c>
      <c r="S52" s="60"/>
      <c r="T52" s="92">
        <f t="shared" si="5"/>
        <v>509.20000000000005</v>
      </c>
      <c r="U52" s="18">
        <v>236</v>
      </c>
      <c r="V52" s="60">
        <v>316</v>
      </c>
      <c r="W52" s="58">
        <v>0.5</v>
      </c>
      <c r="X52" s="57">
        <v>0.6</v>
      </c>
      <c r="Y52" s="3">
        <v>23</v>
      </c>
      <c r="Z52" s="18">
        <v>4124</v>
      </c>
      <c r="AA52" s="20">
        <v>1031</v>
      </c>
      <c r="AB52" s="60">
        <v>1031</v>
      </c>
      <c r="AC52" s="743">
        <v>16</v>
      </c>
      <c r="AD52" s="743">
        <v>25</v>
      </c>
      <c r="AE52" s="743">
        <v>0.5</v>
      </c>
      <c r="AF52" s="675">
        <v>0.2</v>
      </c>
      <c r="AG52" s="733">
        <v>45114</v>
      </c>
      <c r="AJ52" s="697"/>
    </row>
    <row r="53" spans="1:36" x14ac:dyDescent="0.25">
      <c r="A53" s="163">
        <v>40806</v>
      </c>
      <c r="B53" s="164">
        <v>40908</v>
      </c>
      <c r="C53" s="17">
        <v>212.70000000000002</v>
      </c>
      <c r="D53" s="35"/>
      <c r="E53" s="93">
        <f t="shared" si="0"/>
        <v>212.70000000000002</v>
      </c>
      <c r="F53" s="17">
        <v>255.8</v>
      </c>
      <c r="G53" s="35"/>
      <c r="H53" s="93">
        <f t="shared" si="1"/>
        <v>255.8</v>
      </c>
      <c r="I53" s="17">
        <v>388.70000000000005</v>
      </c>
      <c r="J53" s="35"/>
      <c r="K53" s="17">
        <f t="shared" si="2"/>
        <v>388.70000000000005</v>
      </c>
      <c r="L53" s="17">
        <v>388.70000000000005</v>
      </c>
      <c r="M53" s="35"/>
      <c r="N53" s="93">
        <f t="shared" si="3"/>
        <v>388.70000000000005</v>
      </c>
      <c r="O53" s="17">
        <v>426.70000000000005</v>
      </c>
      <c r="P53" s="35"/>
      <c r="Q53" s="93">
        <f t="shared" si="4"/>
        <v>426.70000000000005</v>
      </c>
      <c r="R53" s="17">
        <v>509.20000000000005</v>
      </c>
      <c r="S53" s="35"/>
      <c r="T53" s="93">
        <f t="shared" si="5"/>
        <v>509.20000000000005</v>
      </c>
      <c r="U53" s="17">
        <v>236</v>
      </c>
      <c r="V53" s="35">
        <v>316</v>
      </c>
      <c r="W53" s="62">
        <v>0.5</v>
      </c>
      <c r="X53" s="61">
        <v>0.6</v>
      </c>
      <c r="Y53" s="2">
        <v>23</v>
      </c>
      <c r="Z53" s="17">
        <v>4124</v>
      </c>
      <c r="AA53" s="19">
        <v>1031</v>
      </c>
      <c r="AB53" s="35">
        <v>1031</v>
      </c>
      <c r="AC53" s="743">
        <v>16</v>
      </c>
      <c r="AD53" s="743">
        <v>25</v>
      </c>
      <c r="AE53" s="743">
        <v>0.5</v>
      </c>
      <c r="AF53" s="675">
        <v>0.2</v>
      </c>
      <c r="AG53" s="733">
        <v>45114</v>
      </c>
      <c r="AJ53" s="697"/>
    </row>
    <row r="54" spans="1:36" x14ac:dyDescent="0.25">
      <c r="A54" s="163">
        <v>40909</v>
      </c>
      <c r="B54" s="164">
        <v>40987</v>
      </c>
      <c r="C54" s="17">
        <v>220.4</v>
      </c>
      <c r="D54" s="35"/>
      <c r="E54" s="93">
        <f t="shared" si="0"/>
        <v>220.4</v>
      </c>
      <c r="F54" s="17">
        <v>265</v>
      </c>
      <c r="G54" s="35"/>
      <c r="H54" s="93">
        <f t="shared" si="1"/>
        <v>265</v>
      </c>
      <c r="I54" s="17">
        <v>402.70000000000005</v>
      </c>
      <c r="J54" s="35"/>
      <c r="K54" s="17">
        <f t="shared" si="2"/>
        <v>402.70000000000005</v>
      </c>
      <c r="L54" s="17">
        <v>402.70000000000005</v>
      </c>
      <c r="M54" s="35"/>
      <c r="N54" s="93">
        <f t="shared" si="3"/>
        <v>402.70000000000005</v>
      </c>
      <c r="O54" s="17">
        <v>442.1</v>
      </c>
      <c r="P54" s="35"/>
      <c r="Q54" s="93">
        <f t="shared" si="4"/>
        <v>442.1</v>
      </c>
      <c r="R54" s="17">
        <v>527.5</v>
      </c>
      <c r="S54" s="35"/>
      <c r="T54" s="93">
        <f t="shared" si="5"/>
        <v>527.5</v>
      </c>
      <c r="U54" s="17">
        <v>236</v>
      </c>
      <c r="V54" s="35">
        <v>316</v>
      </c>
      <c r="W54" s="62">
        <v>0.5</v>
      </c>
      <c r="X54" s="61">
        <v>0.6</v>
      </c>
      <c r="Y54" s="2">
        <v>22</v>
      </c>
      <c r="Z54" s="17">
        <v>4000</v>
      </c>
      <c r="AA54" s="19">
        <v>2000</v>
      </c>
      <c r="AB54" s="35">
        <v>1000</v>
      </c>
      <c r="AC54" s="738">
        <v>16</v>
      </c>
      <c r="AD54" s="738">
        <v>25</v>
      </c>
      <c r="AE54" s="738">
        <v>0.5</v>
      </c>
      <c r="AF54" s="675">
        <v>0.2</v>
      </c>
      <c r="AG54" s="728">
        <v>46355</v>
      </c>
      <c r="AJ54" s="697"/>
    </row>
    <row r="55" spans="1:36" ht="15.75" thickBot="1" x14ac:dyDescent="0.3">
      <c r="A55" s="180">
        <v>40988</v>
      </c>
      <c r="B55" s="181">
        <v>41090</v>
      </c>
      <c r="C55" s="65">
        <v>220.4</v>
      </c>
      <c r="D55" s="69"/>
      <c r="E55" s="94">
        <f t="shared" si="0"/>
        <v>220.4</v>
      </c>
      <c r="F55" s="65">
        <v>265</v>
      </c>
      <c r="G55" s="69"/>
      <c r="H55" s="94">
        <f t="shared" si="1"/>
        <v>265</v>
      </c>
      <c r="I55" s="65">
        <v>402.70000000000005</v>
      </c>
      <c r="J55" s="69"/>
      <c r="K55" s="65">
        <f t="shared" si="2"/>
        <v>402.70000000000005</v>
      </c>
      <c r="L55" s="65">
        <v>402.70000000000005</v>
      </c>
      <c r="M55" s="69"/>
      <c r="N55" s="94">
        <f t="shared" si="3"/>
        <v>402.70000000000005</v>
      </c>
      <c r="O55" s="65">
        <v>442.1</v>
      </c>
      <c r="P55" s="69"/>
      <c r="Q55" s="94">
        <f t="shared" si="4"/>
        <v>442.1</v>
      </c>
      <c r="R55" s="65">
        <v>527.5</v>
      </c>
      <c r="S55" s="69"/>
      <c r="T55" s="94">
        <f t="shared" si="5"/>
        <v>527.5</v>
      </c>
      <c r="U55" s="65">
        <v>236</v>
      </c>
      <c r="V55" s="69">
        <v>316</v>
      </c>
      <c r="W55" s="67">
        <v>0.5</v>
      </c>
      <c r="X55" s="66">
        <v>0.6</v>
      </c>
      <c r="Y55" s="85">
        <v>22</v>
      </c>
      <c r="Z55" s="65">
        <v>4000</v>
      </c>
      <c r="AA55" s="68">
        <v>2000</v>
      </c>
      <c r="AB55" s="69">
        <v>1000</v>
      </c>
      <c r="AC55" s="739">
        <v>16</v>
      </c>
      <c r="AD55" s="739">
        <v>25</v>
      </c>
      <c r="AE55" s="739">
        <v>0.5</v>
      </c>
      <c r="AF55" s="676">
        <v>0.2</v>
      </c>
      <c r="AG55" s="729">
        <v>46355</v>
      </c>
      <c r="AJ55" s="697"/>
    </row>
    <row r="56" spans="1:36" x14ac:dyDescent="0.25">
      <c r="A56" s="161">
        <v>41091</v>
      </c>
      <c r="B56" s="162">
        <v>41171</v>
      </c>
      <c r="C56" s="18">
        <v>220.4</v>
      </c>
      <c r="D56" s="60"/>
      <c r="E56" s="92">
        <f t="shared" si="0"/>
        <v>220.4</v>
      </c>
      <c r="F56" s="18">
        <v>265</v>
      </c>
      <c r="G56" s="60"/>
      <c r="H56" s="92">
        <f t="shared" si="1"/>
        <v>265</v>
      </c>
      <c r="I56" s="18">
        <v>402.70000000000005</v>
      </c>
      <c r="J56" s="60"/>
      <c r="K56" s="18">
        <f t="shared" si="2"/>
        <v>402.70000000000005</v>
      </c>
      <c r="L56" s="18">
        <v>402.70000000000005</v>
      </c>
      <c r="M56" s="60"/>
      <c r="N56" s="92">
        <f t="shared" si="3"/>
        <v>402.70000000000005</v>
      </c>
      <c r="O56" s="18">
        <v>442.1</v>
      </c>
      <c r="P56" s="60"/>
      <c r="Q56" s="92">
        <f t="shared" si="4"/>
        <v>442.1</v>
      </c>
      <c r="R56" s="18">
        <v>527.5</v>
      </c>
      <c r="S56" s="60"/>
      <c r="T56" s="92">
        <f t="shared" si="5"/>
        <v>527.5</v>
      </c>
      <c r="U56" s="18">
        <v>400</v>
      </c>
      <c r="V56" s="60">
        <v>480</v>
      </c>
      <c r="W56" s="58">
        <v>0.5</v>
      </c>
      <c r="X56" s="57">
        <v>0.6</v>
      </c>
      <c r="Y56" s="3">
        <v>22</v>
      </c>
      <c r="Z56" s="18">
        <v>4000</v>
      </c>
      <c r="AA56" s="20">
        <v>2000</v>
      </c>
      <c r="AB56" s="60">
        <v>1000</v>
      </c>
      <c r="AC56" s="743">
        <v>16</v>
      </c>
      <c r="AD56" s="743">
        <v>25</v>
      </c>
      <c r="AE56" s="743">
        <v>0.5</v>
      </c>
      <c r="AF56" s="675">
        <v>0.2</v>
      </c>
      <c r="AG56" s="733">
        <v>46355</v>
      </c>
      <c r="AJ56" s="697"/>
    </row>
    <row r="57" spans="1:36" x14ac:dyDescent="0.25">
      <c r="A57" s="163">
        <v>41172</v>
      </c>
      <c r="B57" s="164">
        <v>41274</v>
      </c>
      <c r="C57" s="17">
        <v>220.4</v>
      </c>
      <c r="D57" s="35"/>
      <c r="E57" s="93">
        <f t="shared" si="0"/>
        <v>220.4</v>
      </c>
      <c r="F57" s="17">
        <v>265</v>
      </c>
      <c r="G57" s="35"/>
      <c r="H57" s="93">
        <f t="shared" si="1"/>
        <v>265</v>
      </c>
      <c r="I57" s="17">
        <v>402.70000000000005</v>
      </c>
      <c r="J57" s="35"/>
      <c r="K57" s="17">
        <f t="shared" si="2"/>
        <v>402.70000000000005</v>
      </c>
      <c r="L57" s="17">
        <v>402.70000000000005</v>
      </c>
      <c r="M57" s="35"/>
      <c r="N57" s="93">
        <f t="shared" si="3"/>
        <v>402.70000000000005</v>
      </c>
      <c r="O57" s="17">
        <v>442.1</v>
      </c>
      <c r="P57" s="35"/>
      <c r="Q57" s="93">
        <f t="shared" si="4"/>
        <v>442.1</v>
      </c>
      <c r="R57" s="17">
        <v>527.5</v>
      </c>
      <c r="S57" s="35"/>
      <c r="T57" s="93">
        <f t="shared" si="5"/>
        <v>527.5</v>
      </c>
      <c r="U57" s="17">
        <v>400</v>
      </c>
      <c r="V57" s="35">
        <v>480</v>
      </c>
      <c r="W57" s="62">
        <v>0.5</v>
      </c>
      <c r="X57" s="61">
        <v>0.6</v>
      </c>
      <c r="Y57" s="2">
        <v>22</v>
      </c>
      <c r="Z57" s="17">
        <v>4000</v>
      </c>
      <c r="AA57" s="19">
        <v>2000</v>
      </c>
      <c r="AB57" s="35">
        <v>1000</v>
      </c>
      <c r="AC57" s="743">
        <v>16</v>
      </c>
      <c r="AD57" s="743">
        <v>25</v>
      </c>
      <c r="AE57" s="743">
        <v>0.5</v>
      </c>
      <c r="AF57" s="675">
        <v>0.2</v>
      </c>
      <c r="AG57" s="733">
        <v>46355</v>
      </c>
      <c r="AJ57" s="697"/>
    </row>
    <row r="58" spans="1:36" s="5" customFormat="1" x14ac:dyDescent="0.25">
      <c r="A58" s="496">
        <v>41275</v>
      </c>
      <c r="B58" s="497">
        <v>41352</v>
      </c>
      <c r="C58" s="375">
        <v>223</v>
      </c>
      <c r="D58" s="374"/>
      <c r="E58" s="373">
        <f t="shared" si="0"/>
        <v>223</v>
      </c>
      <c r="F58" s="375">
        <v>268.2</v>
      </c>
      <c r="G58" s="374"/>
      <c r="H58" s="373">
        <f t="shared" si="1"/>
        <v>268.2</v>
      </c>
      <c r="I58" s="375">
        <v>407.5</v>
      </c>
      <c r="J58" s="374"/>
      <c r="K58" s="375">
        <f t="shared" si="2"/>
        <v>407.5</v>
      </c>
      <c r="L58" s="375">
        <v>407.5</v>
      </c>
      <c r="M58" s="374"/>
      <c r="N58" s="373">
        <f t="shared" si="3"/>
        <v>407.5</v>
      </c>
      <c r="O58" s="375">
        <v>447.40000000000003</v>
      </c>
      <c r="P58" s="374"/>
      <c r="Q58" s="373">
        <f t="shared" si="4"/>
        <v>447.40000000000003</v>
      </c>
      <c r="R58" s="375">
        <v>533.80000000000007</v>
      </c>
      <c r="S58" s="374"/>
      <c r="T58" s="373">
        <f t="shared" si="5"/>
        <v>533.80000000000007</v>
      </c>
      <c r="U58" s="375">
        <f>IndexAmt(U57,"peCpiFp",$A56,1,12)</f>
        <v>405</v>
      </c>
      <c r="V58" s="374">
        <f>IndexAmt(V57,"peCpiFp",$A56,1,12)</f>
        <v>486</v>
      </c>
      <c r="W58" s="403">
        <v>0.5</v>
      </c>
      <c r="X58" s="377">
        <v>0.6</v>
      </c>
      <c r="Y58" s="396">
        <v>22</v>
      </c>
      <c r="Z58" s="375">
        <v>4048</v>
      </c>
      <c r="AA58" s="242">
        <v>2024</v>
      </c>
      <c r="AB58" s="374">
        <v>1012</v>
      </c>
      <c r="AC58" s="738">
        <v>16</v>
      </c>
      <c r="AD58" s="738">
        <v>25</v>
      </c>
      <c r="AE58" s="738">
        <v>0.5</v>
      </c>
      <c r="AF58" s="675">
        <f>AF57</f>
        <v>0.2</v>
      </c>
      <c r="AG58" s="728">
        <v>47815</v>
      </c>
      <c r="AJ58" s="697"/>
    </row>
    <row r="59" spans="1:36" s="5" customFormat="1" ht="15.75" thickBot="1" x14ac:dyDescent="0.3">
      <c r="A59" s="538">
        <v>41353</v>
      </c>
      <c r="B59" s="539">
        <v>41455</v>
      </c>
      <c r="C59" s="540">
        <v>223</v>
      </c>
      <c r="D59" s="541"/>
      <c r="E59" s="542">
        <f t="shared" si="0"/>
        <v>223</v>
      </c>
      <c r="F59" s="540">
        <v>268.2</v>
      </c>
      <c r="G59" s="541"/>
      <c r="H59" s="542">
        <f t="shared" si="1"/>
        <v>268.2</v>
      </c>
      <c r="I59" s="540">
        <v>407.5</v>
      </c>
      <c r="J59" s="541"/>
      <c r="K59" s="540">
        <f t="shared" si="2"/>
        <v>407.5</v>
      </c>
      <c r="L59" s="540">
        <v>407.5</v>
      </c>
      <c r="M59" s="541"/>
      <c r="N59" s="542">
        <f t="shared" si="3"/>
        <v>407.5</v>
      </c>
      <c r="O59" s="540">
        <v>447.40000000000003</v>
      </c>
      <c r="P59" s="541"/>
      <c r="Q59" s="542">
        <f t="shared" si="4"/>
        <v>447.40000000000003</v>
      </c>
      <c r="R59" s="540">
        <v>533.80000000000007</v>
      </c>
      <c r="S59" s="541"/>
      <c r="T59" s="542">
        <f t="shared" si="5"/>
        <v>533.80000000000007</v>
      </c>
      <c r="U59" s="540">
        <f t="shared" ref="U59:V61" si="6">U58</f>
        <v>405</v>
      </c>
      <c r="V59" s="541">
        <f t="shared" si="6"/>
        <v>486</v>
      </c>
      <c r="W59" s="544">
        <v>0.5</v>
      </c>
      <c r="X59" s="545">
        <v>0.6</v>
      </c>
      <c r="Y59" s="548">
        <v>22</v>
      </c>
      <c r="Z59" s="540">
        <v>4048</v>
      </c>
      <c r="AA59" s="543">
        <v>2024</v>
      </c>
      <c r="AB59" s="541">
        <v>1012</v>
      </c>
      <c r="AC59" s="739">
        <v>16</v>
      </c>
      <c r="AD59" s="739">
        <v>25</v>
      </c>
      <c r="AE59" s="739">
        <v>0.5</v>
      </c>
      <c r="AF59" s="676">
        <f>AF58</f>
        <v>0.2</v>
      </c>
      <c r="AG59" s="729">
        <v>47815</v>
      </c>
      <c r="AJ59" s="697"/>
    </row>
    <row r="60" spans="1:36" s="5" customFormat="1" x14ac:dyDescent="0.25">
      <c r="A60" s="531">
        <v>41456</v>
      </c>
      <c r="B60" s="532">
        <v>41536</v>
      </c>
      <c r="C60" s="534">
        <v>223</v>
      </c>
      <c r="D60" s="535"/>
      <c r="E60" s="533">
        <f t="shared" si="0"/>
        <v>223</v>
      </c>
      <c r="F60" s="534">
        <f>F59</f>
        <v>268.2</v>
      </c>
      <c r="G60" s="535"/>
      <c r="H60" s="533">
        <f t="shared" si="1"/>
        <v>268.2</v>
      </c>
      <c r="I60" s="534">
        <f>I59</f>
        <v>407.5</v>
      </c>
      <c r="J60" s="535"/>
      <c r="K60" s="534">
        <f t="shared" si="2"/>
        <v>407.5</v>
      </c>
      <c r="L60" s="534">
        <f>L59</f>
        <v>407.5</v>
      </c>
      <c r="M60" s="535"/>
      <c r="N60" s="533">
        <f t="shared" si="3"/>
        <v>407.5</v>
      </c>
      <c r="O60" s="534">
        <f>O59</f>
        <v>447.40000000000003</v>
      </c>
      <c r="P60" s="535"/>
      <c r="Q60" s="533">
        <f t="shared" si="4"/>
        <v>447.40000000000003</v>
      </c>
      <c r="R60" s="534">
        <f>R59</f>
        <v>533.80000000000007</v>
      </c>
      <c r="S60" s="535"/>
      <c r="T60" s="533">
        <f t="shared" si="5"/>
        <v>533.80000000000007</v>
      </c>
      <c r="U60" s="534">
        <f t="shared" si="6"/>
        <v>405</v>
      </c>
      <c r="V60" s="535">
        <f t="shared" si="6"/>
        <v>486</v>
      </c>
      <c r="W60" s="546">
        <v>0.5</v>
      </c>
      <c r="X60" s="547">
        <v>0.6</v>
      </c>
      <c r="Y60" s="555">
        <v>22</v>
      </c>
      <c r="Z60" s="534">
        <f t="shared" ref="Z60:AB61" si="7">Z59</f>
        <v>4048</v>
      </c>
      <c r="AA60" s="536">
        <f t="shared" si="7"/>
        <v>2024</v>
      </c>
      <c r="AB60" s="535">
        <f t="shared" si="7"/>
        <v>1012</v>
      </c>
      <c r="AC60" s="742">
        <v>16</v>
      </c>
      <c r="AD60" s="742">
        <v>25</v>
      </c>
      <c r="AE60" s="742">
        <v>0.5</v>
      </c>
      <c r="AF60" s="677">
        <f t="shared" ref="AF60:AF91" si="8">AF59</f>
        <v>0.2</v>
      </c>
      <c r="AG60" s="732">
        <v>47815</v>
      </c>
      <c r="AJ60" s="697"/>
    </row>
    <row r="61" spans="1:36" s="5" customFormat="1" x14ac:dyDescent="0.25">
      <c r="A61" s="496">
        <v>41537</v>
      </c>
      <c r="B61" s="497">
        <v>41639</v>
      </c>
      <c r="C61" s="375">
        <v>223</v>
      </c>
      <c r="D61" s="374"/>
      <c r="E61" s="373">
        <f t="shared" si="0"/>
        <v>223</v>
      </c>
      <c r="F61" s="375">
        <f>F60</f>
        <v>268.2</v>
      </c>
      <c r="G61" s="374"/>
      <c r="H61" s="373">
        <f t="shared" si="1"/>
        <v>268.2</v>
      </c>
      <c r="I61" s="375">
        <f>I60</f>
        <v>407.5</v>
      </c>
      <c r="J61" s="374"/>
      <c r="K61" s="375">
        <f t="shared" si="2"/>
        <v>407.5</v>
      </c>
      <c r="L61" s="375">
        <f>L60</f>
        <v>407.5</v>
      </c>
      <c r="M61" s="374"/>
      <c r="N61" s="373">
        <f t="shared" si="3"/>
        <v>407.5</v>
      </c>
      <c r="O61" s="375">
        <f>O60</f>
        <v>447.40000000000003</v>
      </c>
      <c r="P61" s="374"/>
      <c r="Q61" s="373">
        <f t="shared" si="4"/>
        <v>447.40000000000003</v>
      </c>
      <c r="R61" s="375">
        <f>R60</f>
        <v>533.80000000000007</v>
      </c>
      <c r="S61" s="374"/>
      <c r="T61" s="373">
        <f t="shared" si="5"/>
        <v>533.80000000000007</v>
      </c>
      <c r="U61" s="375">
        <f t="shared" si="6"/>
        <v>405</v>
      </c>
      <c r="V61" s="374">
        <f t="shared" si="6"/>
        <v>486</v>
      </c>
      <c r="W61" s="403">
        <v>0.5</v>
      </c>
      <c r="X61" s="377">
        <v>0.6</v>
      </c>
      <c r="Y61" s="396">
        <v>22</v>
      </c>
      <c r="Z61" s="375">
        <f t="shared" si="7"/>
        <v>4048</v>
      </c>
      <c r="AA61" s="242">
        <f t="shared" si="7"/>
        <v>2024</v>
      </c>
      <c r="AB61" s="374">
        <f t="shared" si="7"/>
        <v>1012</v>
      </c>
      <c r="AC61" s="743">
        <v>16</v>
      </c>
      <c r="AD61" s="743">
        <v>25</v>
      </c>
      <c r="AE61" s="743">
        <v>0.5</v>
      </c>
      <c r="AF61" s="675">
        <f t="shared" si="8"/>
        <v>0.2</v>
      </c>
      <c r="AG61" s="733">
        <v>47815</v>
      </c>
      <c r="AJ61" s="697"/>
    </row>
    <row r="62" spans="1:36" s="5" customFormat="1" x14ac:dyDescent="0.25">
      <c r="A62" s="496">
        <v>41640</v>
      </c>
      <c r="B62" s="497">
        <v>41717</v>
      </c>
      <c r="C62" s="375">
        <v>226.8</v>
      </c>
      <c r="D62" s="374">
        <f>MROUND(0.017*C62,0.1)</f>
        <v>3.9000000000000004</v>
      </c>
      <c r="E62" s="373">
        <f t="shared" si="0"/>
        <v>230.70000000000002</v>
      </c>
      <c r="F62" s="375">
        <f>MROUND(F61*(indexFctr("peCpiFp",$A60,12)-0.007),0.1)</f>
        <v>272.8</v>
      </c>
      <c r="G62" s="374">
        <f>MROUND(0.017*F62,0.1)</f>
        <v>4.6000000000000005</v>
      </c>
      <c r="H62" s="373">
        <f t="shared" si="1"/>
        <v>277.40000000000003</v>
      </c>
      <c r="I62" s="375">
        <f>MROUND(I61*(indexFctr("peCpiFp",$A60,12)-0.007),0.1)</f>
        <v>414.40000000000003</v>
      </c>
      <c r="J62" s="374">
        <f>MROUND(0.017*I62,0.1)</f>
        <v>7</v>
      </c>
      <c r="K62" s="375">
        <f t="shared" si="2"/>
        <v>421.40000000000003</v>
      </c>
      <c r="L62" s="375">
        <f>MROUND(L61*(indexFctr("peCpiFp",$A60,12)-0.007),0.1)</f>
        <v>414.40000000000003</v>
      </c>
      <c r="M62" s="374">
        <f>MROUND(0.017*L62,0.1)</f>
        <v>7</v>
      </c>
      <c r="N62" s="373">
        <f t="shared" si="3"/>
        <v>421.40000000000003</v>
      </c>
      <c r="O62" s="375">
        <f>MROUND(O61*(indexFctr("peCpiFp",$A60,12)-0.007),0.1)</f>
        <v>455</v>
      </c>
      <c r="P62" s="374">
        <f>MROUND(0.017*O62,0.1)</f>
        <v>7.7</v>
      </c>
      <c r="Q62" s="373">
        <f t="shared" si="4"/>
        <v>462.7</v>
      </c>
      <c r="R62" s="375">
        <f>MROUND(R61*(indexFctr("peCpiFp",$A60,12)-0.007),0.1)</f>
        <v>542.9</v>
      </c>
      <c r="S62" s="374">
        <f>MROUND(0.017*R62,0.1)</f>
        <v>9.2000000000000011</v>
      </c>
      <c r="T62" s="373">
        <f t="shared" si="5"/>
        <v>552.1</v>
      </c>
      <c r="U62" s="375">
        <f>IndexAmt(U61,"peCpiFp",$A60,1,12)</f>
        <v>415</v>
      </c>
      <c r="V62" s="374">
        <f>IndexAmt(V61,"peCpiFp",$A60,1,12)</f>
        <v>498</v>
      </c>
      <c r="W62" s="403">
        <v>0.5</v>
      </c>
      <c r="X62" s="377">
        <v>0.6</v>
      </c>
      <c r="Y62" s="396">
        <v>22</v>
      </c>
      <c r="Z62" s="375">
        <f>IndexAmt(Z61,"peCpiFp",$A60,1,12)</f>
        <v>4145</v>
      </c>
      <c r="AA62" s="242">
        <f>IndexAmt(AA61,"peCpiFp",$A60,1,12)</f>
        <v>2073</v>
      </c>
      <c r="AB62" s="374">
        <f>IndexAmt(AB61,"peCpiFp",$A60,1,12)</f>
        <v>1036</v>
      </c>
      <c r="AC62" s="738">
        <v>16</v>
      </c>
      <c r="AD62" s="738">
        <v>25</v>
      </c>
      <c r="AE62" s="738">
        <v>0.5</v>
      </c>
      <c r="AF62" s="675">
        <f t="shared" si="8"/>
        <v>0.2</v>
      </c>
      <c r="AG62" s="728">
        <v>48837</v>
      </c>
      <c r="AJ62" s="12"/>
    </row>
    <row r="63" spans="1:36" s="5" customFormat="1" ht="15.75" thickBot="1" x14ac:dyDescent="0.3">
      <c r="A63" s="538">
        <v>41718</v>
      </c>
      <c r="B63" s="539">
        <v>41820</v>
      </c>
      <c r="C63" s="540">
        <v>226.8</v>
      </c>
      <c r="D63" s="541">
        <f t="shared" ref="D63:D69" si="9">D62</f>
        <v>3.9000000000000004</v>
      </c>
      <c r="E63" s="542">
        <f t="shared" si="0"/>
        <v>230.70000000000002</v>
      </c>
      <c r="F63" s="540">
        <f t="shared" ref="F63:G65" si="10">F62</f>
        <v>272.8</v>
      </c>
      <c r="G63" s="541">
        <f t="shared" si="10"/>
        <v>4.6000000000000005</v>
      </c>
      <c r="H63" s="542">
        <f t="shared" si="1"/>
        <v>277.40000000000003</v>
      </c>
      <c r="I63" s="540">
        <f t="shared" ref="I63:J65" si="11">I62</f>
        <v>414.40000000000003</v>
      </c>
      <c r="J63" s="541">
        <f t="shared" si="11"/>
        <v>7</v>
      </c>
      <c r="K63" s="540">
        <f t="shared" si="2"/>
        <v>421.40000000000003</v>
      </c>
      <c r="L63" s="540">
        <f t="shared" ref="L63:M65" si="12">L62</f>
        <v>414.40000000000003</v>
      </c>
      <c r="M63" s="541">
        <f t="shared" si="12"/>
        <v>7</v>
      </c>
      <c r="N63" s="542">
        <f t="shared" si="3"/>
        <v>421.40000000000003</v>
      </c>
      <c r="O63" s="540">
        <f t="shared" ref="O63:P65" si="13">O62</f>
        <v>455</v>
      </c>
      <c r="P63" s="541">
        <f t="shared" si="13"/>
        <v>7.7</v>
      </c>
      <c r="Q63" s="542">
        <f t="shared" si="4"/>
        <v>462.7</v>
      </c>
      <c r="R63" s="540">
        <f t="shared" ref="R63:S65" si="14">R62</f>
        <v>542.9</v>
      </c>
      <c r="S63" s="541">
        <f t="shared" si="14"/>
        <v>9.2000000000000011</v>
      </c>
      <c r="T63" s="542">
        <f t="shared" si="5"/>
        <v>552.1</v>
      </c>
      <c r="U63" s="540">
        <f t="shared" ref="U63:V65" si="15">U62</f>
        <v>415</v>
      </c>
      <c r="V63" s="541">
        <f t="shared" si="15"/>
        <v>498</v>
      </c>
      <c r="W63" s="544">
        <v>0.5</v>
      </c>
      <c r="X63" s="545">
        <v>0.6</v>
      </c>
      <c r="Y63" s="548">
        <v>22</v>
      </c>
      <c r="Z63" s="540">
        <f t="shared" ref="Z63:AB65" si="16">Z62</f>
        <v>4145</v>
      </c>
      <c r="AA63" s="543">
        <f t="shared" si="16"/>
        <v>2073</v>
      </c>
      <c r="AB63" s="541">
        <f t="shared" si="16"/>
        <v>1036</v>
      </c>
      <c r="AC63" s="739">
        <v>16</v>
      </c>
      <c r="AD63" s="739">
        <v>25</v>
      </c>
      <c r="AE63" s="739">
        <v>0.5</v>
      </c>
      <c r="AF63" s="676">
        <f t="shared" si="8"/>
        <v>0.2</v>
      </c>
      <c r="AG63" s="729">
        <v>48837</v>
      </c>
      <c r="AJ63" s="12"/>
    </row>
    <row r="64" spans="1:36" x14ac:dyDescent="0.25">
      <c r="A64" s="531">
        <v>41821</v>
      </c>
      <c r="B64" s="532">
        <v>41901</v>
      </c>
      <c r="C64" s="534">
        <v>226.8</v>
      </c>
      <c r="D64" s="535">
        <f t="shared" si="9"/>
        <v>3.9000000000000004</v>
      </c>
      <c r="E64" s="533">
        <f t="shared" si="0"/>
        <v>230.70000000000002</v>
      </c>
      <c r="F64" s="534">
        <f t="shared" si="10"/>
        <v>272.8</v>
      </c>
      <c r="G64" s="535">
        <f t="shared" si="10"/>
        <v>4.6000000000000005</v>
      </c>
      <c r="H64" s="533">
        <f t="shared" si="1"/>
        <v>277.40000000000003</v>
      </c>
      <c r="I64" s="534">
        <f t="shared" si="11"/>
        <v>414.40000000000003</v>
      </c>
      <c r="J64" s="535">
        <f t="shared" si="11"/>
        <v>7</v>
      </c>
      <c r="K64" s="534">
        <f t="shared" si="2"/>
        <v>421.40000000000003</v>
      </c>
      <c r="L64" s="534">
        <f t="shared" si="12"/>
        <v>414.40000000000003</v>
      </c>
      <c r="M64" s="535">
        <f t="shared" si="12"/>
        <v>7</v>
      </c>
      <c r="N64" s="533">
        <f t="shared" si="3"/>
        <v>421.40000000000003</v>
      </c>
      <c r="O64" s="534">
        <f t="shared" si="13"/>
        <v>455</v>
      </c>
      <c r="P64" s="535">
        <f t="shared" si="13"/>
        <v>7.7</v>
      </c>
      <c r="Q64" s="533">
        <f t="shared" si="4"/>
        <v>462.7</v>
      </c>
      <c r="R64" s="534">
        <f t="shared" si="14"/>
        <v>542.9</v>
      </c>
      <c r="S64" s="535">
        <f t="shared" si="14"/>
        <v>9.2000000000000011</v>
      </c>
      <c r="T64" s="533">
        <f t="shared" si="5"/>
        <v>552.1</v>
      </c>
      <c r="U64" s="534">
        <f t="shared" si="15"/>
        <v>415</v>
      </c>
      <c r="V64" s="535">
        <f t="shared" si="15"/>
        <v>498</v>
      </c>
      <c r="W64" s="546">
        <f t="shared" ref="W64:Y69" si="17">W63</f>
        <v>0.5</v>
      </c>
      <c r="X64" s="547">
        <f t="shared" si="17"/>
        <v>0.6</v>
      </c>
      <c r="Y64" s="555">
        <f t="shared" si="17"/>
        <v>22</v>
      </c>
      <c r="Z64" s="534">
        <f t="shared" si="16"/>
        <v>4145</v>
      </c>
      <c r="AA64" s="536">
        <f t="shared" si="16"/>
        <v>2073</v>
      </c>
      <c r="AB64" s="535">
        <f t="shared" si="16"/>
        <v>1036</v>
      </c>
      <c r="AC64" s="743">
        <v>16</v>
      </c>
      <c r="AD64" s="743">
        <v>25</v>
      </c>
      <c r="AE64" s="743">
        <v>0.5</v>
      </c>
      <c r="AF64" s="675">
        <f t="shared" si="8"/>
        <v>0.2</v>
      </c>
      <c r="AG64" s="733">
        <v>48837</v>
      </c>
      <c r="AJ64" s="12"/>
    </row>
    <row r="65" spans="1:36" x14ac:dyDescent="0.25">
      <c r="A65" s="496">
        <v>41902</v>
      </c>
      <c r="B65" s="497">
        <v>42004</v>
      </c>
      <c r="C65" s="375">
        <v>226.8</v>
      </c>
      <c r="D65" s="374">
        <f t="shared" si="9"/>
        <v>3.9000000000000004</v>
      </c>
      <c r="E65" s="373">
        <f t="shared" si="0"/>
        <v>230.70000000000002</v>
      </c>
      <c r="F65" s="375">
        <f t="shared" si="10"/>
        <v>272.8</v>
      </c>
      <c r="G65" s="374">
        <f>G64</f>
        <v>4.6000000000000005</v>
      </c>
      <c r="H65" s="373">
        <f t="shared" si="1"/>
        <v>277.40000000000003</v>
      </c>
      <c r="I65" s="375">
        <f t="shared" si="11"/>
        <v>414.40000000000003</v>
      </c>
      <c r="J65" s="374">
        <f>J64</f>
        <v>7</v>
      </c>
      <c r="K65" s="375">
        <f t="shared" si="2"/>
        <v>421.40000000000003</v>
      </c>
      <c r="L65" s="375">
        <f t="shared" si="12"/>
        <v>414.40000000000003</v>
      </c>
      <c r="M65" s="374">
        <f>M64</f>
        <v>7</v>
      </c>
      <c r="N65" s="373">
        <f t="shared" si="3"/>
        <v>421.40000000000003</v>
      </c>
      <c r="O65" s="375">
        <f t="shared" si="13"/>
        <v>455</v>
      </c>
      <c r="P65" s="374">
        <f>P64</f>
        <v>7.7</v>
      </c>
      <c r="Q65" s="373">
        <f t="shared" si="4"/>
        <v>462.7</v>
      </c>
      <c r="R65" s="375">
        <f t="shared" si="14"/>
        <v>542.9</v>
      </c>
      <c r="S65" s="374">
        <f>S64</f>
        <v>9.2000000000000011</v>
      </c>
      <c r="T65" s="373">
        <f t="shared" si="5"/>
        <v>552.1</v>
      </c>
      <c r="U65" s="375">
        <f t="shared" si="15"/>
        <v>415</v>
      </c>
      <c r="V65" s="374">
        <f t="shared" si="15"/>
        <v>498</v>
      </c>
      <c r="W65" s="403">
        <f t="shared" si="17"/>
        <v>0.5</v>
      </c>
      <c r="X65" s="377">
        <f t="shared" si="17"/>
        <v>0.6</v>
      </c>
      <c r="Y65" s="396">
        <f t="shared" si="17"/>
        <v>22</v>
      </c>
      <c r="Z65" s="375">
        <f t="shared" si="16"/>
        <v>4145</v>
      </c>
      <c r="AA65" s="242">
        <f t="shared" si="16"/>
        <v>2073</v>
      </c>
      <c r="AB65" s="374">
        <f t="shared" si="16"/>
        <v>1036</v>
      </c>
      <c r="AC65" s="743">
        <v>16</v>
      </c>
      <c r="AD65" s="743">
        <v>25</v>
      </c>
      <c r="AE65" s="743">
        <v>0.5</v>
      </c>
      <c r="AF65" s="675">
        <f t="shared" si="8"/>
        <v>0.2</v>
      </c>
      <c r="AG65" s="733">
        <v>48837</v>
      </c>
      <c r="AJ65" s="12"/>
    </row>
    <row r="66" spans="1:36" x14ac:dyDescent="0.25">
      <c r="A66" s="496">
        <v>42005</v>
      </c>
      <c r="B66" s="497">
        <v>42082</v>
      </c>
      <c r="C66" s="375">
        <v>233.60000000000002</v>
      </c>
      <c r="D66" s="374">
        <f t="shared" si="9"/>
        <v>3.9000000000000004</v>
      </c>
      <c r="E66" s="373">
        <f t="shared" si="0"/>
        <v>237.50000000000003</v>
      </c>
      <c r="F66" s="375">
        <f>IndexAmt(F65,"peCpiFp",$A64,0.1,12)</f>
        <v>281</v>
      </c>
      <c r="G66" s="374">
        <f>G65</f>
        <v>4.6000000000000005</v>
      </c>
      <c r="H66" s="373">
        <f t="shared" si="1"/>
        <v>285.60000000000002</v>
      </c>
      <c r="I66" s="375">
        <f>IndexAmt(I65,"peCpiFp",$A64,0.1,12)</f>
        <v>426.8</v>
      </c>
      <c r="J66" s="374">
        <f>J65</f>
        <v>7</v>
      </c>
      <c r="K66" s="375">
        <f t="shared" si="2"/>
        <v>433.8</v>
      </c>
      <c r="L66" s="375">
        <f>IndexAmt(L65,"peCpiFp",$A64,0.1,12)</f>
        <v>426.8</v>
      </c>
      <c r="M66" s="374">
        <f>M65</f>
        <v>7</v>
      </c>
      <c r="N66" s="373">
        <f t="shared" si="3"/>
        <v>433.8</v>
      </c>
      <c r="O66" s="375">
        <f>IndexAmt(O65,"peCpiFp",$A64,0.1,12)</f>
        <v>468.70000000000005</v>
      </c>
      <c r="P66" s="374">
        <f>P65</f>
        <v>7.7</v>
      </c>
      <c r="Q66" s="373">
        <f t="shared" si="4"/>
        <v>476.40000000000003</v>
      </c>
      <c r="R66" s="375">
        <f>IndexAmt(R65,"peCpiFp",$A64,0.1,12)</f>
        <v>559.20000000000005</v>
      </c>
      <c r="S66" s="374">
        <f>S65</f>
        <v>9.2000000000000011</v>
      </c>
      <c r="T66" s="373">
        <f t="shared" si="5"/>
        <v>568.40000000000009</v>
      </c>
      <c r="U66" s="375">
        <f>IndexAmt(U65,"peCpiFp",$A64,1,12)</f>
        <v>427</v>
      </c>
      <c r="V66" s="374">
        <f>IndexAmt(V65-U65,"peCpiFp",$A64,1,12)+U66</f>
        <v>512</v>
      </c>
      <c r="W66" s="403">
        <f t="shared" si="17"/>
        <v>0.5</v>
      </c>
      <c r="X66" s="377">
        <f t="shared" si="17"/>
        <v>0.6</v>
      </c>
      <c r="Y66" s="396">
        <f t="shared" si="17"/>
        <v>22</v>
      </c>
      <c r="Z66" s="375">
        <f>IndexAmt(Z65,"peCpiFp",$A64,1,12)</f>
        <v>4269</v>
      </c>
      <c r="AA66" s="242">
        <f>IndexAmt(AA65,"peCpiFp",$A64,1,12)</f>
        <v>2135</v>
      </c>
      <c r="AB66" s="374">
        <f>IndexAmt(AB65,"peCpiFp",$A64,1,12)</f>
        <v>1067</v>
      </c>
      <c r="AC66" s="738">
        <v>16</v>
      </c>
      <c r="AD66" s="738">
        <v>25</v>
      </c>
      <c r="AE66" s="738">
        <v>0.5</v>
      </c>
      <c r="AF66" s="675">
        <f t="shared" si="8"/>
        <v>0.2</v>
      </c>
      <c r="AG66" s="728">
        <f>FTBA!AE64</f>
        <v>50151</v>
      </c>
      <c r="AJ66" s="12"/>
    </row>
    <row r="67" spans="1:36" ht="15.75" thickBot="1" x14ac:dyDescent="0.3">
      <c r="A67" s="538">
        <v>42083</v>
      </c>
      <c r="B67" s="539">
        <v>42185</v>
      </c>
      <c r="C67" s="540">
        <v>233.60000000000002</v>
      </c>
      <c r="D67" s="541">
        <f t="shared" si="9"/>
        <v>3.9000000000000004</v>
      </c>
      <c r="E67" s="542">
        <f t="shared" si="0"/>
        <v>237.50000000000003</v>
      </c>
      <c r="F67" s="540">
        <f t="shared" ref="F67:G69" si="18">F66</f>
        <v>281</v>
      </c>
      <c r="G67" s="541">
        <f t="shared" si="18"/>
        <v>4.6000000000000005</v>
      </c>
      <c r="H67" s="542">
        <f t="shared" si="1"/>
        <v>285.60000000000002</v>
      </c>
      <c r="I67" s="540">
        <f t="shared" ref="I67:J69" si="19">I66</f>
        <v>426.8</v>
      </c>
      <c r="J67" s="541">
        <f t="shared" si="19"/>
        <v>7</v>
      </c>
      <c r="K67" s="540">
        <f t="shared" si="2"/>
        <v>433.8</v>
      </c>
      <c r="L67" s="540">
        <f t="shared" ref="L67:M69" si="20">L66</f>
        <v>426.8</v>
      </c>
      <c r="M67" s="541">
        <f t="shared" si="20"/>
        <v>7</v>
      </c>
      <c r="N67" s="542">
        <f t="shared" si="3"/>
        <v>433.8</v>
      </c>
      <c r="O67" s="540">
        <f t="shared" ref="O67:P69" si="21">O66</f>
        <v>468.70000000000005</v>
      </c>
      <c r="P67" s="541">
        <f t="shared" si="21"/>
        <v>7.7</v>
      </c>
      <c r="Q67" s="542">
        <f t="shared" si="4"/>
        <v>476.40000000000003</v>
      </c>
      <c r="R67" s="540">
        <f t="shared" ref="R67:S69" si="22">R66</f>
        <v>559.20000000000005</v>
      </c>
      <c r="S67" s="541">
        <f t="shared" si="22"/>
        <v>9.2000000000000011</v>
      </c>
      <c r="T67" s="542">
        <f t="shared" si="5"/>
        <v>568.40000000000009</v>
      </c>
      <c r="U67" s="540">
        <f t="shared" ref="U67:V69" si="23">U66</f>
        <v>427</v>
      </c>
      <c r="V67" s="541">
        <f t="shared" si="23"/>
        <v>512</v>
      </c>
      <c r="W67" s="544">
        <f t="shared" si="17"/>
        <v>0.5</v>
      </c>
      <c r="X67" s="545">
        <f t="shared" si="17"/>
        <v>0.6</v>
      </c>
      <c r="Y67" s="548">
        <f t="shared" si="17"/>
        <v>22</v>
      </c>
      <c r="Z67" s="540">
        <f t="shared" ref="Z67:AB69" si="24">Z66</f>
        <v>4269</v>
      </c>
      <c r="AA67" s="543">
        <f t="shared" si="24"/>
        <v>2135</v>
      </c>
      <c r="AB67" s="541">
        <f t="shared" si="24"/>
        <v>1067</v>
      </c>
      <c r="AC67" s="739">
        <v>16</v>
      </c>
      <c r="AD67" s="739">
        <v>25</v>
      </c>
      <c r="AE67" s="739">
        <v>0.5</v>
      </c>
      <c r="AF67" s="676">
        <f t="shared" si="8"/>
        <v>0.2</v>
      </c>
      <c r="AG67" s="729">
        <f>FTBA!AE65</f>
        <v>50151</v>
      </c>
      <c r="AJ67" s="12"/>
    </row>
    <row r="68" spans="1:36" x14ac:dyDescent="0.25">
      <c r="A68" s="531">
        <v>42186</v>
      </c>
      <c r="B68" s="532">
        <v>42266</v>
      </c>
      <c r="C68" s="534">
        <v>233.60000000000002</v>
      </c>
      <c r="D68" s="535">
        <f t="shared" si="9"/>
        <v>3.9000000000000004</v>
      </c>
      <c r="E68" s="533">
        <f t="shared" si="0"/>
        <v>237.50000000000003</v>
      </c>
      <c r="F68" s="534">
        <f t="shared" si="18"/>
        <v>281</v>
      </c>
      <c r="G68" s="535">
        <f t="shared" si="18"/>
        <v>4.6000000000000005</v>
      </c>
      <c r="H68" s="533">
        <f t="shared" si="1"/>
        <v>285.60000000000002</v>
      </c>
      <c r="I68" s="534">
        <f t="shared" si="19"/>
        <v>426.8</v>
      </c>
      <c r="J68" s="535">
        <f t="shared" si="19"/>
        <v>7</v>
      </c>
      <c r="K68" s="534">
        <f t="shared" si="2"/>
        <v>433.8</v>
      </c>
      <c r="L68" s="534">
        <f t="shared" si="20"/>
        <v>426.8</v>
      </c>
      <c r="M68" s="535">
        <f t="shared" si="20"/>
        <v>7</v>
      </c>
      <c r="N68" s="533">
        <f t="shared" si="3"/>
        <v>433.8</v>
      </c>
      <c r="O68" s="534">
        <f t="shared" si="21"/>
        <v>468.70000000000005</v>
      </c>
      <c r="P68" s="535">
        <f t="shared" si="21"/>
        <v>7.7</v>
      </c>
      <c r="Q68" s="533">
        <f t="shared" si="4"/>
        <v>476.40000000000003</v>
      </c>
      <c r="R68" s="534">
        <f t="shared" si="22"/>
        <v>559.20000000000005</v>
      </c>
      <c r="S68" s="535">
        <f t="shared" si="22"/>
        <v>9.2000000000000011</v>
      </c>
      <c r="T68" s="533">
        <f t="shared" si="5"/>
        <v>568.40000000000009</v>
      </c>
      <c r="U68" s="534">
        <f t="shared" si="23"/>
        <v>427</v>
      </c>
      <c r="V68" s="535">
        <f t="shared" si="23"/>
        <v>512</v>
      </c>
      <c r="W68" s="546">
        <f t="shared" si="17"/>
        <v>0.5</v>
      </c>
      <c r="X68" s="547">
        <f t="shared" si="17"/>
        <v>0.6</v>
      </c>
      <c r="Y68" s="555">
        <f t="shared" si="17"/>
        <v>22</v>
      </c>
      <c r="Z68" s="534">
        <f t="shared" si="24"/>
        <v>4269</v>
      </c>
      <c r="AA68" s="536">
        <f t="shared" si="24"/>
        <v>2135</v>
      </c>
      <c r="AB68" s="535">
        <f t="shared" si="24"/>
        <v>1067</v>
      </c>
      <c r="AC68" s="743">
        <v>16</v>
      </c>
      <c r="AD68" s="743">
        <v>25</v>
      </c>
      <c r="AE68" s="743">
        <v>0.5</v>
      </c>
      <c r="AF68" s="675">
        <f t="shared" si="8"/>
        <v>0.2</v>
      </c>
      <c r="AG68" s="733">
        <f>FTBA!AE66</f>
        <v>50151</v>
      </c>
      <c r="AJ68" s="834"/>
    </row>
    <row r="69" spans="1:36" x14ac:dyDescent="0.25">
      <c r="A69" s="496">
        <v>42267</v>
      </c>
      <c r="B69" s="497">
        <v>42369</v>
      </c>
      <c r="C69" s="375">
        <v>233.60000000000002</v>
      </c>
      <c r="D69" s="374">
        <f t="shared" si="9"/>
        <v>3.9000000000000004</v>
      </c>
      <c r="E69" s="373">
        <f t="shared" si="0"/>
        <v>237.50000000000003</v>
      </c>
      <c r="F69" s="375">
        <f t="shared" si="18"/>
        <v>281</v>
      </c>
      <c r="G69" s="374">
        <f t="shared" si="18"/>
        <v>4.6000000000000005</v>
      </c>
      <c r="H69" s="373">
        <f t="shared" si="1"/>
        <v>285.60000000000002</v>
      </c>
      <c r="I69" s="375">
        <f t="shared" si="19"/>
        <v>426.8</v>
      </c>
      <c r="J69" s="374">
        <f t="shared" si="19"/>
        <v>7</v>
      </c>
      <c r="K69" s="375">
        <f t="shared" si="2"/>
        <v>433.8</v>
      </c>
      <c r="L69" s="375">
        <f t="shared" si="20"/>
        <v>426.8</v>
      </c>
      <c r="M69" s="374">
        <f t="shared" si="20"/>
        <v>7</v>
      </c>
      <c r="N69" s="373">
        <f t="shared" si="3"/>
        <v>433.8</v>
      </c>
      <c r="O69" s="375">
        <f t="shared" si="21"/>
        <v>468.70000000000005</v>
      </c>
      <c r="P69" s="374">
        <f t="shared" si="21"/>
        <v>7.7</v>
      </c>
      <c r="Q69" s="373">
        <f t="shared" si="4"/>
        <v>476.40000000000003</v>
      </c>
      <c r="R69" s="375">
        <f t="shared" si="22"/>
        <v>559.20000000000005</v>
      </c>
      <c r="S69" s="374">
        <f t="shared" si="22"/>
        <v>9.2000000000000011</v>
      </c>
      <c r="T69" s="373">
        <f t="shared" si="5"/>
        <v>568.40000000000009</v>
      </c>
      <c r="U69" s="375">
        <f t="shared" si="23"/>
        <v>427</v>
      </c>
      <c r="V69" s="374">
        <f t="shared" si="23"/>
        <v>512</v>
      </c>
      <c r="W69" s="403">
        <f t="shared" si="17"/>
        <v>0.5</v>
      </c>
      <c r="X69" s="377">
        <f t="shared" si="17"/>
        <v>0.6</v>
      </c>
      <c r="Y69" s="944">
        <f t="shared" si="17"/>
        <v>22</v>
      </c>
      <c r="Z69" s="375">
        <f t="shared" si="24"/>
        <v>4269</v>
      </c>
      <c r="AA69" s="242">
        <f t="shared" si="24"/>
        <v>2135</v>
      </c>
      <c r="AB69" s="374">
        <f t="shared" si="24"/>
        <v>1067</v>
      </c>
      <c r="AC69" s="743">
        <v>16</v>
      </c>
      <c r="AD69" s="743">
        <v>25</v>
      </c>
      <c r="AE69" s="743">
        <v>0.5</v>
      </c>
      <c r="AF69" s="675">
        <f t="shared" si="8"/>
        <v>0.2</v>
      </c>
      <c r="AG69" s="733">
        <f>FTBA!AE67</f>
        <v>50151</v>
      </c>
      <c r="AI69" s="825"/>
      <c r="AJ69" s="834"/>
    </row>
    <row r="70" spans="1:36" x14ac:dyDescent="0.25">
      <c r="A70" s="496">
        <v>42370</v>
      </c>
      <c r="B70" s="497">
        <v>42448</v>
      </c>
      <c r="C70" s="375">
        <v>237.10000000000002</v>
      </c>
      <c r="D70" s="374">
        <v>3.9000000000000004</v>
      </c>
      <c r="E70" s="373">
        <v>241.00000000000003</v>
      </c>
      <c r="F70" s="375">
        <v>285.2</v>
      </c>
      <c r="G70" s="374">
        <v>4.6000000000000005</v>
      </c>
      <c r="H70" s="373">
        <v>289.8</v>
      </c>
      <c r="I70" s="375">
        <v>433.20000000000005</v>
      </c>
      <c r="J70" s="374">
        <v>7</v>
      </c>
      <c r="K70" s="375">
        <v>440.20000000000005</v>
      </c>
      <c r="L70" s="375">
        <v>433.20000000000005</v>
      </c>
      <c r="M70" s="374">
        <v>7</v>
      </c>
      <c r="N70" s="373">
        <v>440.20000000000005</v>
      </c>
      <c r="O70" s="375">
        <v>475.70000000000005</v>
      </c>
      <c r="P70" s="374">
        <v>7.7</v>
      </c>
      <c r="Q70" s="373">
        <v>483.40000000000003</v>
      </c>
      <c r="R70" s="375">
        <v>567.6</v>
      </c>
      <c r="S70" s="374">
        <v>9.2000000000000011</v>
      </c>
      <c r="T70" s="373">
        <v>576.80000000000007</v>
      </c>
      <c r="U70" s="375">
        <v>433</v>
      </c>
      <c r="V70" s="374">
        <v>519</v>
      </c>
      <c r="W70" s="403">
        <v>0.5</v>
      </c>
      <c r="X70" s="377">
        <v>0.6</v>
      </c>
      <c r="Y70" s="944">
        <v>22</v>
      </c>
      <c r="Z70" s="375">
        <v>4333</v>
      </c>
      <c r="AA70" s="242">
        <v>2167</v>
      </c>
      <c r="AB70" s="374">
        <v>1083</v>
      </c>
      <c r="AC70" s="738">
        <v>16</v>
      </c>
      <c r="AD70" s="738">
        <v>25</v>
      </c>
      <c r="AE70" s="738">
        <v>0.5</v>
      </c>
      <c r="AF70" s="675">
        <v>0.2</v>
      </c>
      <c r="AG70" s="728">
        <v>51027</v>
      </c>
      <c r="AJ70" s="834"/>
    </row>
    <row r="71" spans="1:36" ht="15.75" thickBot="1" x14ac:dyDescent="0.3">
      <c r="A71" s="538">
        <v>42449</v>
      </c>
      <c r="B71" s="539">
        <v>42551</v>
      </c>
      <c r="C71" s="540">
        <v>237.10000000000002</v>
      </c>
      <c r="D71" s="541">
        <v>3.9000000000000004</v>
      </c>
      <c r="E71" s="542">
        <v>241.00000000000003</v>
      </c>
      <c r="F71" s="540">
        <v>285.2</v>
      </c>
      <c r="G71" s="541">
        <v>4.6000000000000005</v>
      </c>
      <c r="H71" s="542">
        <v>289.8</v>
      </c>
      <c r="I71" s="540">
        <v>433.20000000000005</v>
      </c>
      <c r="J71" s="541">
        <v>7</v>
      </c>
      <c r="K71" s="540">
        <v>440.20000000000005</v>
      </c>
      <c r="L71" s="540">
        <v>433.20000000000005</v>
      </c>
      <c r="M71" s="541">
        <v>7</v>
      </c>
      <c r="N71" s="542">
        <v>440.20000000000005</v>
      </c>
      <c r="O71" s="540">
        <v>475.70000000000005</v>
      </c>
      <c r="P71" s="541">
        <v>7.7</v>
      </c>
      <c r="Q71" s="542">
        <v>483.40000000000003</v>
      </c>
      <c r="R71" s="540">
        <v>567.6</v>
      </c>
      <c r="S71" s="541">
        <v>9.2000000000000011</v>
      </c>
      <c r="T71" s="542">
        <v>576.80000000000007</v>
      </c>
      <c r="U71" s="540">
        <v>433</v>
      </c>
      <c r="V71" s="541">
        <v>519</v>
      </c>
      <c r="W71" s="544">
        <v>0.5</v>
      </c>
      <c r="X71" s="545">
        <v>0.6</v>
      </c>
      <c r="Y71" s="548">
        <v>22</v>
      </c>
      <c r="Z71" s="540">
        <v>4333</v>
      </c>
      <c r="AA71" s="543">
        <v>2167</v>
      </c>
      <c r="AB71" s="541">
        <v>1083</v>
      </c>
      <c r="AC71" s="739">
        <v>16</v>
      </c>
      <c r="AD71" s="739">
        <v>25</v>
      </c>
      <c r="AE71" s="739">
        <v>0.5</v>
      </c>
      <c r="AF71" s="676">
        <v>0.2</v>
      </c>
      <c r="AG71" s="729">
        <v>51027</v>
      </c>
      <c r="AJ71" s="834"/>
    </row>
    <row r="72" spans="1:36" x14ac:dyDescent="0.25">
      <c r="A72" s="531">
        <v>42552</v>
      </c>
      <c r="B72" s="532">
        <v>42632</v>
      </c>
      <c r="C72" s="534">
        <v>237.10000000000002</v>
      </c>
      <c r="D72" s="535">
        <v>3.9000000000000004</v>
      </c>
      <c r="E72" s="533">
        <v>241.00000000000003</v>
      </c>
      <c r="F72" s="534">
        <v>285.2</v>
      </c>
      <c r="G72" s="535">
        <v>4.6000000000000005</v>
      </c>
      <c r="H72" s="533">
        <v>289.8</v>
      </c>
      <c r="I72" s="534">
        <v>433.20000000000005</v>
      </c>
      <c r="J72" s="535">
        <v>7</v>
      </c>
      <c r="K72" s="534">
        <v>440.20000000000005</v>
      </c>
      <c r="L72" s="534">
        <v>433.20000000000005</v>
      </c>
      <c r="M72" s="535">
        <v>7</v>
      </c>
      <c r="N72" s="533">
        <v>440.20000000000005</v>
      </c>
      <c r="O72" s="534">
        <v>475.70000000000005</v>
      </c>
      <c r="P72" s="535">
        <v>7.7</v>
      </c>
      <c r="Q72" s="533">
        <v>483.40000000000003</v>
      </c>
      <c r="R72" s="534">
        <v>567.6</v>
      </c>
      <c r="S72" s="535">
        <v>9.2000000000000011</v>
      </c>
      <c r="T72" s="533">
        <v>576.80000000000007</v>
      </c>
      <c r="U72" s="534">
        <v>433</v>
      </c>
      <c r="V72" s="535">
        <v>519</v>
      </c>
      <c r="W72" s="546">
        <v>0.5</v>
      </c>
      <c r="X72" s="547">
        <v>0.6</v>
      </c>
      <c r="Y72" s="555">
        <v>22</v>
      </c>
      <c r="Z72" s="534">
        <v>4333</v>
      </c>
      <c r="AA72" s="536">
        <v>2167</v>
      </c>
      <c r="AB72" s="535">
        <v>1083</v>
      </c>
      <c r="AC72" s="743">
        <v>16</v>
      </c>
      <c r="AD72" s="743">
        <v>25</v>
      </c>
      <c r="AE72" s="743">
        <v>0.5</v>
      </c>
      <c r="AF72" s="675">
        <v>0.2</v>
      </c>
      <c r="AG72" s="733">
        <v>51027</v>
      </c>
      <c r="AJ72" s="834"/>
    </row>
    <row r="73" spans="1:36" x14ac:dyDescent="0.25">
      <c r="A73" s="496">
        <v>42633</v>
      </c>
      <c r="B73" s="497">
        <v>42735</v>
      </c>
      <c r="C73" s="375">
        <f>C72</f>
        <v>237.10000000000002</v>
      </c>
      <c r="D73" s="374">
        <f>D72</f>
        <v>3.9000000000000004</v>
      </c>
      <c r="E73" s="373">
        <f t="shared" ref="E73:E91" si="25">SUM(C73:D73)</f>
        <v>241.00000000000003</v>
      </c>
      <c r="F73" s="375">
        <f>F72</f>
        <v>285.2</v>
      </c>
      <c r="G73" s="374">
        <f>G72</f>
        <v>4.6000000000000005</v>
      </c>
      <c r="H73" s="373">
        <f t="shared" ref="H73:H91" si="26">SUM(F73:G73)</f>
        <v>289.8</v>
      </c>
      <c r="I73" s="375">
        <f>I72</f>
        <v>433.20000000000005</v>
      </c>
      <c r="J73" s="374">
        <f>J72</f>
        <v>7</v>
      </c>
      <c r="K73" s="375">
        <f t="shared" ref="K73:K91" si="27">SUM(I73:J73)</f>
        <v>440.20000000000005</v>
      </c>
      <c r="L73" s="375">
        <f>L72</f>
        <v>433.20000000000005</v>
      </c>
      <c r="M73" s="374">
        <f>M72</f>
        <v>7</v>
      </c>
      <c r="N73" s="373">
        <f t="shared" ref="N73:N91" si="28">SUM(L73:M73)</f>
        <v>440.20000000000005</v>
      </c>
      <c r="O73" s="375">
        <f>O72</f>
        <v>475.70000000000005</v>
      </c>
      <c r="P73" s="374">
        <f>P72</f>
        <v>7.7</v>
      </c>
      <c r="Q73" s="373">
        <f t="shared" ref="Q73:Q91" si="29">SUM(O73:P73)</f>
        <v>483.40000000000003</v>
      </c>
      <c r="R73" s="375">
        <f>R72</f>
        <v>567.6</v>
      </c>
      <c r="S73" s="374">
        <f>S72</f>
        <v>9.2000000000000011</v>
      </c>
      <c r="T73" s="373">
        <f t="shared" ref="T73:T91" si="30">SUM(R73:S73)</f>
        <v>576.80000000000007</v>
      </c>
      <c r="U73" s="375">
        <f t="shared" ref="U73:AB73" si="31">U72</f>
        <v>433</v>
      </c>
      <c r="V73" s="374">
        <f t="shared" si="31"/>
        <v>519</v>
      </c>
      <c r="W73" s="403">
        <f t="shared" si="31"/>
        <v>0.5</v>
      </c>
      <c r="X73" s="377">
        <f t="shared" si="31"/>
        <v>0.6</v>
      </c>
      <c r="Y73" s="944">
        <f t="shared" si="31"/>
        <v>22</v>
      </c>
      <c r="Z73" s="375">
        <f t="shared" si="31"/>
        <v>4333</v>
      </c>
      <c r="AA73" s="242">
        <f t="shared" si="31"/>
        <v>2167</v>
      </c>
      <c r="AB73" s="374">
        <f t="shared" si="31"/>
        <v>1083</v>
      </c>
      <c r="AC73" s="743">
        <v>16</v>
      </c>
      <c r="AD73" s="743">
        <v>25</v>
      </c>
      <c r="AE73" s="743">
        <v>0.5</v>
      </c>
      <c r="AF73" s="675">
        <f t="shared" si="8"/>
        <v>0.2</v>
      </c>
      <c r="AG73" s="733">
        <f>FTBA!AE71</f>
        <v>51027</v>
      </c>
      <c r="AJ73" s="834"/>
    </row>
    <row r="74" spans="1:36" x14ac:dyDescent="0.25">
      <c r="A74" s="496">
        <v>42736</v>
      </c>
      <c r="B74" s="497">
        <v>42813</v>
      </c>
      <c r="C74" s="375">
        <f>IndexAmt(C73,"peCpiFp",$A72,0.1,12)</f>
        <v>239.5</v>
      </c>
      <c r="D74" s="374">
        <f>D73</f>
        <v>3.9000000000000004</v>
      </c>
      <c r="E74" s="373">
        <f t="shared" si="25"/>
        <v>243.4</v>
      </c>
      <c r="F74" s="375">
        <f>IndexAmt(F73,"peCpiFp",$A72,0.1,12)</f>
        <v>288.10000000000002</v>
      </c>
      <c r="G74" s="374">
        <f>G73</f>
        <v>4.6000000000000005</v>
      </c>
      <c r="H74" s="373">
        <f t="shared" si="26"/>
        <v>292.70000000000005</v>
      </c>
      <c r="I74" s="375">
        <f>IndexAmt(I73,"peCpiFp",$A72,0.1,12)</f>
        <v>437.5</v>
      </c>
      <c r="J74" s="374">
        <f>J73</f>
        <v>7</v>
      </c>
      <c r="K74" s="375">
        <f t="shared" si="27"/>
        <v>444.5</v>
      </c>
      <c r="L74" s="375">
        <f>IndexAmt(L73,"peCpiFp",$A72,0.1,12)</f>
        <v>437.5</v>
      </c>
      <c r="M74" s="374">
        <f>M73</f>
        <v>7</v>
      </c>
      <c r="N74" s="373">
        <f t="shared" si="28"/>
        <v>444.5</v>
      </c>
      <c r="O74" s="375">
        <f>IndexAmt(O73,"peCpiFp",$A72,0.1,12)</f>
        <v>480.5</v>
      </c>
      <c r="P74" s="374">
        <f>P73</f>
        <v>7.7</v>
      </c>
      <c r="Q74" s="373">
        <f t="shared" si="29"/>
        <v>488.2</v>
      </c>
      <c r="R74" s="375">
        <f>IndexAmt(R73,"peCpiFp",$A72,0.1,12)</f>
        <v>573.30000000000007</v>
      </c>
      <c r="S74" s="374">
        <f>S73</f>
        <v>9.2000000000000011</v>
      </c>
      <c r="T74" s="373">
        <f t="shared" si="30"/>
        <v>582.50000000000011</v>
      </c>
      <c r="U74" s="375">
        <f>IndexAmt(U73,"peCpiFp",$A72,1,12)</f>
        <v>437</v>
      </c>
      <c r="V74" s="374">
        <f>IndexAmt(V73-U73,"peCpiFp",$A72,1,12)+U74</f>
        <v>524</v>
      </c>
      <c r="W74" s="403">
        <f>W73</f>
        <v>0.5</v>
      </c>
      <c r="X74" s="377">
        <f>X73</f>
        <v>0.6</v>
      </c>
      <c r="Y74" s="944">
        <f>Y73</f>
        <v>22</v>
      </c>
      <c r="Z74" s="375">
        <f>IndexAmt(Z73,"peCpiFp",$A72,1,12)</f>
        <v>4376</v>
      </c>
      <c r="AA74" s="242">
        <f>IndexAmt(AA73,"peCpiFp",$A72,1,12)</f>
        <v>2189</v>
      </c>
      <c r="AB74" s="374">
        <f>IndexAmt(AB73,"peCpiFp",$A72,1,12)</f>
        <v>1094</v>
      </c>
      <c r="AC74" s="738">
        <v>16</v>
      </c>
      <c r="AD74" s="738">
        <v>25</v>
      </c>
      <c r="AE74" s="738">
        <v>0.5</v>
      </c>
      <c r="AF74" s="675">
        <f t="shared" si="8"/>
        <v>0.2</v>
      </c>
      <c r="AG74" s="728">
        <f>FTBA!AE72</f>
        <v>51903</v>
      </c>
      <c r="AJ74" s="834"/>
    </row>
    <row r="75" spans="1:36" ht="15.75" thickBot="1" x14ac:dyDescent="0.3">
      <c r="A75" s="538">
        <v>42814</v>
      </c>
      <c r="B75" s="539">
        <v>42916</v>
      </c>
      <c r="C75" s="540">
        <f t="shared" ref="C75:D77" si="32">C74</f>
        <v>239.5</v>
      </c>
      <c r="D75" s="541">
        <f t="shared" si="32"/>
        <v>3.9000000000000004</v>
      </c>
      <c r="E75" s="542">
        <f t="shared" si="25"/>
        <v>243.4</v>
      </c>
      <c r="F75" s="540">
        <f t="shared" ref="F75:G77" si="33">F74</f>
        <v>288.10000000000002</v>
      </c>
      <c r="G75" s="541">
        <f t="shared" si="33"/>
        <v>4.6000000000000005</v>
      </c>
      <c r="H75" s="542">
        <f t="shared" si="26"/>
        <v>292.70000000000005</v>
      </c>
      <c r="I75" s="540">
        <f t="shared" ref="I75:J77" si="34">I74</f>
        <v>437.5</v>
      </c>
      <c r="J75" s="541">
        <f t="shared" si="34"/>
        <v>7</v>
      </c>
      <c r="K75" s="540">
        <f t="shared" si="27"/>
        <v>444.5</v>
      </c>
      <c r="L75" s="540">
        <f t="shared" ref="L75:M77" si="35">L74</f>
        <v>437.5</v>
      </c>
      <c r="M75" s="541">
        <f t="shared" si="35"/>
        <v>7</v>
      </c>
      <c r="N75" s="542">
        <f t="shared" si="28"/>
        <v>444.5</v>
      </c>
      <c r="O75" s="540">
        <f t="shared" ref="O75:P77" si="36">O74</f>
        <v>480.5</v>
      </c>
      <c r="P75" s="541">
        <f t="shared" si="36"/>
        <v>7.7</v>
      </c>
      <c r="Q75" s="542">
        <f t="shared" si="29"/>
        <v>488.2</v>
      </c>
      <c r="R75" s="540">
        <f t="shared" ref="R75:S77" si="37">R74</f>
        <v>573.30000000000007</v>
      </c>
      <c r="S75" s="541">
        <f t="shared" si="37"/>
        <v>9.2000000000000011</v>
      </c>
      <c r="T75" s="542">
        <f t="shared" si="30"/>
        <v>582.50000000000011</v>
      </c>
      <c r="U75" s="540">
        <f t="shared" ref="U75:V77" si="38">U74</f>
        <v>437</v>
      </c>
      <c r="V75" s="541">
        <f t="shared" si="38"/>
        <v>524</v>
      </c>
      <c r="W75" s="544">
        <f t="shared" ref="W75:AB77" si="39">W74</f>
        <v>0.5</v>
      </c>
      <c r="X75" s="545">
        <f t="shared" si="39"/>
        <v>0.6</v>
      </c>
      <c r="Y75" s="548">
        <f t="shared" si="39"/>
        <v>22</v>
      </c>
      <c r="Z75" s="540">
        <f t="shared" si="39"/>
        <v>4376</v>
      </c>
      <c r="AA75" s="543">
        <f t="shared" si="39"/>
        <v>2189</v>
      </c>
      <c r="AB75" s="541">
        <f t="shared" si="39"/>
        <v>1094</v>
      </c>
      <c r="AC75" s="739">
        <v>16</v>
      </c>
      <c r="AD75" s="739">
        <v>25</v>
      </c>
      <c r="AE75" s="739">
        <v>0.5</v>
      </c>
      <c r="AF75" s="676">
        <f t="shared" si="8"/>
        <v>0.2</v>
      </c>
      <c r="AG75" s="729">
        <f>FTBA!AE73</f>
        <v>51903</v>
      </c>
      <c r="AJ75" s="834"/>
    </row>
    <row r="76" spans="1:36" x14ac:dyDescent="0.25">
      <c r="A76" s="531">
        <v>42917</v>
      </c>
      <c r="B76" s="532">
        <v>42997</v>
      </c>
      <c r="C76" s="534">
        <f t="shared" si="32"/>
        <v>239.5</v>
      </c>
      <c r="D76" s="535">
        <f t="shared" si="32"/>
        <v>3.9000000000000004</v>
      </c>
      <c r="E76" s="533">
        <f t="shared" si="25"/>
        <v>243.4</v>
      </c>
      <c r="F76" s="534">
        <f t="shared" si="33"/>
        <v>288.10000000000002</v>
      </c>
      <c r="G76" s="535">
        <f t="shared" si="33"/>
        <v>4.6000000000000005</v>
      </c>
      <c r="H76" s="533">
        <f t="shared" si="26"/>
        <v>292.70000000000005</v>
      </c>
      <c r="I76" s="534">
        <f t="shared" si="34"/>
        <v>437.5</v>
      </c>
      <c r="J76" s="535">
        <f t="shared" si="34"/>
        <v>7</v>
      </c>
      <c r="K76" s="534">
        <f t="shared" si="27"/>
        <v>444.5</v>
      </c>
      <c r="L76" s="534">
        <f t="shared" si="35"/>
        <v>437.5</v>
      </c>
      <c r="M76" s="535">
        <f t="shared" si="35"/>
        <v>7</v>
      </c>
      <c r="N76" s="533">
        <f t="shared" si="28"/>
        <v>444.5</v>
      </c>
      <c r="O76" s="534">
        <f t="shared" si="36"/>
        <v>480.5</v>
      </c>
      <c r="P76" s="535">
        <f t="shared" si="36"/>
        <v>7.7</v>
      </c>
      <c r="Q76" s="533">
        <f t="shared" si="29"/>
        <v>488.2</v>
      </c>
      <c r="R76" s="534">
        <f t="shared" si="37"/>
        <v>573.30000000000007</v>
      </c>
      <c r="S76" s="535">
        <f t="shared" si="37"/>
        <v>9.2000000000000011</v>
      </c>
      <c r="T76" s="533">
        <f t="shared" si="30"/>
        <v>582.50000000000011</v>
      </c>
      <c r="U76" s="534">
        <f t="shared" si="38"/>
        <v>437</v>
      </c>
      <c r="V76" s="535">
        <f t="shared" si="38"/>
        <v>524</v>
      </c>
      <c r="W76" s="546">
        <f t="shared" si="39"/>
        <v>0.5</v>
      </c>
      <c r="X76" s="547">
        <f t="shared" si="39"/>
        <v>0.6</v>
      </c>
      <c r="Y76" s="555">
        <f t="shared" si="39"/>
        <v>22</v>
      </c>
      <c r="Z76" s="534">
        <f t="shared" si="39"/>
        <v>4376</v>
      </c>
      <c r="AA76" s="536">
        <f t="shared" si="39"/>
        <v>2189</v>
      </c>
      <c r="AB76" s="535">
        <f t="shared" si="39"/>
        <v>1094</v>
      </c>
      <c r="AC76" s="743">
        <v>16</v>
      </c>
      <c r="AD76" s="743">
        <v>25</v>
      </c>
      <c r="AE76" s="743">
        <v>0.5</v>
      </c>
      <c r="AF76" s="675">
        <f t="shared" si="8"/>
        <v>0.2</v>
      </c>
      <c r="AG76" s="733">
        <f>FTBA!AE74</f>
        <v>51903</v>
      </c>
      <c r="AJ76" s="834"/>
    </row>
    <row r="77" spans="1:36" x14ac:dyDescent="0.25">
      <c r="A77" s="165">
        <v>42998</v>
      </c>
      <c r="B77" s="166">
        <v>43100</v>
      </c>
      <c r="C77" s="33">
        <f t="shared" si="32"/>
        <v>239.5</v>
      </c>
      <c r="D77" s="862">
        <f t="shared" si="32"/>
        <v>3.9000000000000004</v>
      </c>
      <c r="E77" s="107">
        <f t="shared" si="25"/>
        <v>243.4</v>
      </c>
      <c r="F77" s="33">
        <f t="shared" si="33"/>
        <v>288.10000000000002</v>
      </c>
      <c r="G77" s="862">
        <f t="shared" si="33"/>
        <v>4.6000000000000005</v>
      </c>
      <c r="H77" s="107">
        <f t="shared" si="26"/>
        <v>292.70000000000005</v>
      </c>
      <c r="I77" s="33">
        <f t="shared" si="34"/>
        <v>437.5</v>
      </c>
      <c r="J77" s="862">
        <f t="shared" si="34"/>
        <v>7</v>
      </c>
      <c r="K77" s="33">
        <f t="shared" si="27"/>
        <v>444.5</v>
      </c>
      <c r="L77" s="33">
        <f t="shared" si="35"/>
        <v>437.5</v>
      </c>
      <c r="M77" s="862">
        <f t="shared" si="35"/>
        <v>7</v>
      </c>
      <c r="N77" s="107">
        <f t="shared" si="28"/>
        <v>444.5</v>
      </c>
      <c r="O77" s="33">
        <f t="shared" si="36"/>
        <v>480.5</v>
      </c>
      <c r="P77" s="862">
        <f t="shared" si="36"/>
        <v>7.7</v>
      </c>
      <c r="Q77" s="107">
        <f t="shared" si="29"/>
        <v>488.2</v>
      </c>
      <c r="R77" s="33">
        <f t="shared" si="37"/>
        <v>573.30000000000007</v>
      </c>
      <c r="S77" s="862">
        <f t="shared" si="37"/>
        <v>9.2000000000000011</v>
      </c>
      <c r="T77" s="107">
        <f t="shared" si="30"/>
        <v>582.50000000000011</v>
      </c>
      <c r="U77" s="33">
        <f t="shared" si="38"/>
        <v>437</v>
      </c>
      <c r="V77" s="75">
        <f t="shared" si="38"/>
        <v>524</v>
      </c>
      <c r="W77" s="106">
        <f t="shared" si="39"/>
        <v>0.5</v>
      </c>
      <c r="X77" s="104">
        <f t="shared" si="39"/>
        <v>0.6</v>
      </c>
      <c r="Y77" s="30">
        <f t="shared" si="39"/>
        <v>22</v>
      </c>
      <c r="Z77" s="33">
        <f t="shared" si="39"/>
        <v>4376</v>
      </c>
      <c r="AA77" s="34">
        <f t="shared" si="39"/>
        <v>2189</v>
      </c>
      <c r="AB77" s="75">
        <f t="shared" si="39"/>
        <v>1094</v>
      </c>
      <c r="AC77" s="745">
        <v>16</v>
      </c>
      <c r="AD77" s="745">
        <v>25</v>
      </c>
      <c r="AE77" s="745">
        <v>0.5</v>
      </c>
      <c r="AF77" s="680">
        <f t="shared" si="8"/>
        <v>0.2</v>
      </c>
      <c r="AG77" s="735">
        <f>FTBA!AE75</f>
        <v>51903</v>
      </c>
      <c r="AJ77" s="834"/>
    </row>
    <row r="78" spans="1:36" x14ac:dyDescent="0.25">
      <c r="A78" s="165">
        <v>43101</v>
      </c>
      <c r="B78" s="166">
        <v>43178</v>
      </c>
      <c r="C78" s="33">
        <f>IndexAmt(C77,"peCpiFp",$A76,0.1,12)</f>
        <v>244.10000000000002</v>
      </c>
      <c r="D78" s="75">
        <f>D77</f>
        <v>3.9000000000000004</v>
      </c>
      <c r="E78" s="107">
        <f t="shared" si="25"/>
        <v>248.00000000000003</v>
      </c>
      <c r="F78" s="33">
        <f>IndexAmt(F77,"peCpiFp",$A76,0.1,12)</f>
        <v>293.60000000000002</v>
      </c>
      <c r="G78" s="75">
        <f>G77</f>
        <v>4.6000000000000005</v>
      </c>
      <c r="H78" s="107">
        <f t="shared" si="26"/>
        <v>298.20000000000005</v>
      </c>
      <c r="I78" s="33">
        <f>IndexAmt(I77,"peCpiFp",$A76,0.1,12)</f>
        <v>445.8</v>
      </c>
      <c r="J78" s="75">
        <f>J77</f>
        <v>7</v>
      </c>
      <c r="K78" s="33">
        <f t="shared" si="27"/>
        <v>452.8</v>
      </c>
      <c r="L78" s="33">
        <f>IndexAmt(L77,"peCpiFp",$A76,0.1,12)</f>
        <v>445.8</v>
      </c>
      <c r="M78" s="75">
        <f>M77</f>
        <v>7</v>
      </c>
      <c r="N78" s="107">
        <f t="shared" si="28"/>
        <v>452.8</v>
      </c>
      <c r="O78" s="33">
        <f>IndexAmt(O77,"peCpiFp",$A76,0.1,12)</f>
        <v>489.6</v>
      </c>
      <c r="P78" s="75">
        <f>P77</f>
        <v>7.7</v>
      </c>
      <c r="Q78" s="107">
        <f t="shared" si="29"/>
        <v>497.3</v>
      </c>
      <c r="R78" s="33">
        <f>IndexAmt(R77,"peCpiFp",$A76,0.1,12)</f>
        <v>584.20000000000005</v>
      </c>
      <c r="S78" s="75">
        <f>S77</f>
        <v>9.2000000000000011</v>
      </c>
      <c r="T78" s="107">
        <f t="shared" si="30"/>
        <v>593.40000000000009</v>
      </c>
      <c r="U78" s="33">
        <f>U77</f>
        <v>437</v>
      </c>
      <c r="V78" s="75">
        <f>V77</f>
        <v>524</v>
      </c>
      <c r="W78" s="106">
        <f>W77</f>
        <v>0.5</v>
      </c>
      <c r="X78" s="104">
        <f>X77</f>
        <v>0.6</v>
      </c>
      <c r="Y78" s="30">
        <f>Y77</f>
        <v>22</v>
      </c>
      <c r="Z78" s="33">
        <f>IndexAmt(Z77,"peCpiFp",$A76,1,12)</f>
        <v>4459</v>
      </c>
      <c r="AA78" s="34">
        <f>IndexAmt(AA77,"peCpiFp",$A76,1,12)</f>
        <v>2231</v>
      </c>
      <c r="AB78" s="75">
        <f>IndexAmt(AB77,"peCpiFp",$A76,1,12)</f>
        <v>1115</v>
      </c>
      <c r="AC78" s="746">
        <v>16</v>
      </c>
      <c r="AD78" s="746">
        <v>25</v>
      </c>
      <c r="AE78" s="746">
        <v>0.5</v>
      </c>
      <c r="AF78" s="680">
        <f t="shared" si="8"/>
        <v>0.2</v>
      </c>
      <c r="AG78" s="736">
        <f>FTBA!AE76</f>
        <v>52706</v>
      </c>
      <c r="AJ78" s="834"/>
    </row>
    <row r="79" spans="1:36" ht="15.75" thickBot="1" x14ac:dyDescent="0.3">
      <c r="A79" s="167">
        <v>43179</v>
      </c>
      <c r="B79" s="168">
        <v>43281</v>
      </c>
      <c r="C79" s="77">
        <f>C78</f>
        <v>244.10000000000002</v>
      </c>
      <c r="D79" s="79">
        <f>D78</f>
        <v>3.9000000000000004</v>
      </c>
      <c r="E79" s="111">
        <f t="shared" si="25"/>
        <v>248.00000000000003</v>
      </c>
      <c r="F79" s="77">
        <f t="shared" ref="F79:G81" si="40">F78</f>
        <v>293.60000000000002</v>
      </c>
      <c r="G79" s="79">
        <f t="shared" si="40"/>
        <v>4.6000000000000005</v>
      </c>
      <c r="H79" s="111">
        <f t="shared" si="26"/>
        <v>298.20000000000005</v>
      </c>
      <c r="I79" s="77">
        <f t="shared" ref="I79:J81" si="41">I78</f>
        <v>445.8</v>
      </c>
      <c r="J79" s="79">
        <f t="shared" si="41"/>
        <v>7</v>
      </c>
      <c r="K79" s="77">
        <f t="shared" si="27"/>
        <v>452.8</v>
      </c>
      <c r="L79" s="77">
        <f t="shared" ref="L79:M81" si="42">L78</f>
        <v>445.8</v>
      </c>
      <c r="M79" s="79">
        <f t="shared" si="42"/>
        <v>7</v>
      </c>
      <c r="N79" s="111">
        <f t="shared" si="28"/>
        <v>452.8</v>
      </c>
      <c r="O79" s="77">
        <f t="shared" ref="O79:P81" si="43">O78</f>
        <v>489.6</v>
      </c>
      <c r="P79" s="79">
        <f t="shared" si="43"/>
        <v>7.7</v>
      </c>
      <c r="Q79" s="111">
        <f t="shared" si="29"/>
        <v>497.3</v>
      </c>
      <c r="R79" s="77">
        <f t="shared" ref="R79:S81" si="44">R78</f>
        <v>584.20000000000005</v>
      </c>
      <c r="S79" s="79">
        <f t="shared" si="44"/>
        <v>9.2000000000000011</v>
      </c>
      <c r="T79" s="111">
        <f t="shared" si="30"/>
        <v>593.40000000000009</v>
      </c>
      <c r="U79" s="77">
        <f t="shared" ref="U79:AB91" si="45">U78</f>
        <v>437</v>
      </c>
      <c r="V79" s="79">
        <f t="shared" si="45"/>
        <v>524</v>
      </c>
      <c r="W79" s="110">
        <f t="shared" si="45"/>
        <v>0.5</v>
      </c>
      <c r="X79" s="108">
        <f t="shared" si="45"/>
        <v>0.6</v>
      </c>
      <c r="Y79" s="91">
        <f t="shared" si="45"/>
        <v>22</v>
      </c>
      <c r="Z79" s="77">
        <f t="shared" si="45"/>
        <v>4459</v>
      </c>
      <c r="AA79" s="78">
        <f t="shared" si="45"/>
        <v>2231</v>
      </c>
      <c r="AB79" s="79">
        <f t="shared" si="45"/>
        <v>1115</v>
      </c>
      <c r="AC79" s="744">
        <v>16</v>
      </c>
      <c r="AD79" s="744">
        <v>25</v>
      </c>
      <c r="AE79" s="744">
        <v>0.5</v>
      </c>
      <c r="AF79" s="679">
        <f t="shared" si="8"/>
        <v>0.2</v>
      </c>
      <c r="AG79" s="734">
        <f>FTBA!AE77</f>
        <v>52706</v>
      </c>
      <c r="AJ79" s="834"/>
    </row>
    <row r="80" spans="1:36" x14ac:dyDescent="0.25">
      <c r="A80" s="169">
        <v>43282</v>
      </c>
      <c r="B80" s="170">
        <v>43362</v>
      </c>
      <c r="C80" s="860">
        <f>C79</f>
        <v>244.10000000000002</v>
      </c>
      <c r="D80" s="172">
        <f>D79</f>
        <v>3.9000000000000004</v>
      </c>
      <c r="E80" s="189">
        <f t="shared" si="25"/>
        <v>248.00000000000003</v>
      </c>
      <c r="F80" s="188">
        <f t="shared" si="40"/>
        <v>293.60000000000002</v>
      </c>
      <c r="G80" s="172">
        <f t="shared" si="40"/>
        <v>4.6000000000000005</v>
      </c>
      <c r="H80" s="189">
        <f t="shared" si="26"/>
        <v>298.20000000000005</v>
      </c>
      <c r="I80" s="188">
        <f t="shared" si="41"/>
        <v>445.8</v>
      </c>
      <c r="J80" s="172">
        <f t="shared" si="41"/>
        <v>7</v>
      </c>
      <c r="K80" s="188">
        <f t="shared" si="27"/>
        <v>452.8</v>
      </c>
      <c r="L80" s="188">
        <f t="shared" si="42"/>
        <v>445.8</v>
      </c>
      <c r="M80" s="172">
        <f t="shared" si="42"/>
        <v>7</v>
      </c>
      <c r="N80" s="189">
        <f t="shared" si="28"/>
        <v>452.8</v>
      </c>
      <c r="O80" s="188">
        <f t="shared" si="43"/>
        <v>489.6</v>
      </c>
      <c r="P80" s="172">
        <f t="shared" si="43"/>
        <v>7.7</v>
      </c>
      <c r="Q80" s="189">
        <f t="shared" si="29"/>
        <v>497.3</v>
      </c>
      <c r="R80" s="188">
        <f t="shared" si="44"/>
        <v>584.20000000000005</v>
      </c>
      <c r="S80" s="172">
        <f t="shared" si="44"/>
        <v>9.2000000000000011</v>
      </c>
      <c r="T80" s="189">
        <f t="shared" si="30"/>
        <v>593.40000000000009</v>
      </c>
      <c r="U80" s="188">
        <f t="shared" si="45"/>
        <v>437</v>
      </c>
      <c r="V80" s="172">
        <f t="shared" si="45"/>
        <v>524</v>
      </c>
      <c r="W80" s="198">
        <f t="shared" si="45"/>
        <v>0.5</v>
      </c>
      <c r="X80" s="190">
        <f t="shared" si="45"/>
        <v>0.6</v>
      </c>
      <c r="Y80" s="196">
        <f t="shared" si="45"/>
        <v>22</v>
      </c>
      <c r="Z80" s="188">
        <f t="shared" si="45"/>
        <v>4459</v>
      </c>
      <c r="AA80" s="171">
        <f t="shared" si="45"/>
        <v>2231</v>
      </c>
      <c r="AB80" s="172">
        <f t="shared" si="45"/>
        <v>1115</v>
      </c>
      <c r="AC80" s="745">
        <v>16</v>
      </c>
      <c r="AD80" s="745">
        <v>25</v>
      </c>
      <c r="AE80" s="745">
        <v>0.5</v>
      </c>
      <c r="AF80" s="680">
        <f t="shared" si="8"/>
        <v>0.2</v>
      </c>
      <c r="AG80" s="735">
        <f>FTBA!AE78</f>
        <v>52706</v>
      </c>
      <c r="AJ80" s="834"/>
    </row>
    <row r="81" spans="1:36" x14ac:dyDescent="0.25">
      <c r="A81" s="165">
        <v>43363</v>
      </c>
      <c r="B81" s="166">
        <v>43465</v>
      </c>
      <c r="C81" s="33">
        <f>C80</f>
        <v>244.10000000000002</v>
      </c>
      <c r="D81" s="75">
        <f>D80</f>
        <v>3.9000000000000004</v>
      </c>
      <c r="E81" s="107">
        <f t="shared" si="25"/>
        <v>248.00000000000003</v>
      </c>
      <c r="F81" s="33">
        <f t="shared" si="40"/>
        <v>293.60000000000002</v>
      </c>
      <c r="G81" s="75">
        <f t="shared" si="40"/>
        <v>4.6000000000000005</v>
      </c>
      <c r="H81" s="107">
        <f t="shared" si="26"/>
        <v>298.20000000000005</v>
      </c>
      <c r="I81" s="33">
        <f t="shared" si="41"/>
        <v>445.8</v>
      </c>
      <c r="J81" s="75">
        <f t="shared" si="41"/>
        <v>7</v>
      </c>
      <c r="K81" s="33">
        <f t="shared" si="27"/>
        <v>452.8</v>
      </c>
      <c r="L81" s="33">
        <f t="shared" si="42"/>
        <v>445.8</v>
      </c>
      <c r="M81" s="75">
        <f t="shared" si="42"/>
        <v>7</v>
      </c>
      <c r="N81" s="107">
        <f t="shared" si="28"/>
        <v>452.8</v>
      </c>
      <c r="O81" s="33">
        <f t="shared" si="43"/>
        <v>489.6</v>
      </c>
      <c r="P81" s="75">
        <f t="shared" si="43"/>
        <v>7.7</v>
      </c>
      <c r="Q81" s="107">
        <f t="shared" si="29"/>
        <v>497.3</v>
      </c>
      <c r="R81" s="33">
        <f t="shared" si="44"/>
        <v>584.20000000000005</v>
      </c>
      <c r="S81" s="75">
        <f t="shared" si="44"/>
        <v>9.2000000000000011</v>
      </c>
      <c r="T81" s="107">
        <f t="shared" si="30"/>
        <v>593.40000000000009</v>
      </c>
      <c r="U81" s="33">
        <f>U80</f>
        <v>437</v>
      </c>
      <c r="V81" s="75">
        <f t="shared" si="45"/>
        <v>524</v>
      </c>
      <c r="W81" s="106">
        <f t="shared" si="45"/>
        <v>0.5</v>
      </c>
      <c r="X81" s="104">
        <f t="shared" si="45"/>
        <v>0.6</v>
      </c>
      <c r="Y81" s="30">
        <f t="shared" si="45"/>
        <v>22</v>
      </c>
      <c r="Z81" s="33">
        <f t="shared" si="45"/>
        <v>4459</v>
      </c>
      <c r="AA81" s="34">
        <f t="shared" si="45"/>
        <v>2231</v>
      </c>
      <c r="AB81" s="75">
        <f t="shared" si="45"/>
        <v>1115</v>
      </c>
      <c r="AC81" s="745">
        <v>16</v>
      </c>
      <c r="AD81" s="745">
        <v>25</v>
      </c>
      <c r="AE81" s="745">
        <v>0.5</v>
      </c>
      <c r="AF81" s="680">
        <f t="shared" si="8"/>
        <v>0.2</v>
      </c>
      <c r="AG81" s="735">
        <f>FTBA!AE79</f>
        <v>52706</v>
      </c>
      <c r="AJ81" s="834"/>
    </row>
    <row r="82" spans="1:36" x14ac:dyDescent="0.25">
      <c r="A82" s="165">
        <v>43466</v>
      </c>
      <c r="B82" s="166">
        <v>43543</v>
      </c>
      <c r="C82" s="33">
        <f>IndexAmt(C81,"peCpiFp",$A80,0.1,12)</f>
        <v>249</v>
      </c>
      <c r="D82" s="75">
        <f t="shared" ref="D82:D91" si="46">D81</f>
        <v>3.9000000000000004</v>
      </c>
      <c r="E82" s="107">
        <f t="shared" si="25"/>
        <v>252.9</v>
      </c>
      <c r="F82" s="33">
        <f>IndexAmt(F81,"peCpiFp",$A80,0.1,12)</f>
        <v>299.5</v>
      </c>
      <c r="G82" s="75">
        <f>G81</f>
        <v>4.6000000000000005</v>
      </c>
      <c r="H82" s="107">
        <f t="shared" si="26"/>
        <v>304.10000000000002</v>
      </c>
      <c r="I82" s="33">
        <f>IndexAmt(I81,"peCpiFp",$A80,0.1,12)</f>
        <v>454.70000000000005</v>
      </c>
      <c r="J82" s="75">
        <f>J81</f>
        <v>7</v>
      </c>
      <c r="K82" s="33">
        <f t="shared" si="27"/>
        <v>461.70000000000005</v>
      </c>
      <c r="L82" s="33">
        <f>IndexAmt(L81,"peCpiFp",$A80,0.1,12)</f>
        <v>454.70000000000005</v>
      </c>
      <c r="M82" s="75">
        <f>M81</f>
        <v>7</v>
      </c>
      <c r="N82" s="107">
        <f t="shared" si="28"/>
        <v>461.70000000000005</v>
      </c>
      <c r="O82" s="33">
        <f>IndexAmt(O81,"peCpiFp",$A80,0.1,12)</f>
        <v>499.40000000000003</v>
      </c>
      <c r="P82" s="75">
        <f>P81</f>
        <v>7.7</v>
      </c>
      <c r="Q82" s="107">
        <f t="shared" si="29"/>
        <v>507.1</v>
      </c>
      <c r="R82" s="33">
        <f>IndexAmt(R81,"peCpiFp",$A80,0.1,12)</f>
        <v>595.9</v>
      </c>
      <c r="S82" s="75">
        <f>S81</f>
        <v>9.2000000000000011</v>
      </c>
      <c r="T82" s="107">
        <f t="shared" si="30"/>
        <v>605.1</v>
      </c>
      <c r="U82" s="33">
        <f>U81</f>
        <v>437</v>
      </c>
      <c r="V82" s="75">
        <f>V81</f>
        <v>524</v>
      </c>
      <c r="W82" s="106">
        <f t="shared" si="45"/>
        <v>0.5</v>
      </c>
      <c r="X82" s="104">
        <f t="shared" si="45"/>
        <v>0.6</v>
      </c>
      <c r="Y82" s="30">
        <f t="shared" si="45"/>
        <v>22</v>
      </c>
      <c r="Z82" s="33">
        <f>IndexAmt(Z81,"peCpiFp",$A80,1,12)</f>
        <v>4548</v>
      </c>
      <c r="AA82" s="34">
        <f>IndexAmt(AA81,"peCpiFp",$A80,1,12)</f>
        <v>2276</v>
      </c>
      <c r="AB82" s="75">
        <f>IndexAmt(AB81,"peCpiFp",$A80,1,12)</f>
        <v>1137</v>
      </c>
      <c r="AC82" s="746">
        <v>16</v>
      </c>
      <c r="AD82" s="746">
        <v>25</v>
      </c>
      <c r="AE82" s="746">
        <v>0.5</v>
      </c>
      <c r="AF82" s="680">
        <f t="shared" si="8"/>
        <v>0.2</v>
      </c>
      <c r="AG82" s="736">
        <f>FTBA!AE80</f>
        <v>53582</v>
      </c>
      <c r="AJ82" s="834"/>
    </row>
    <row r="83" spans="1:36" ht="15.75" thickBot="1" x14ac:dyDescent="0.3">
      <c r="A83" s="167">
        <v>43544</v>
      </c>
      <c r="B83" s="168">
        <v>43646</v>
      </c>
      <c r="C83" s="77">
        <f>C82</f>
        <v>249</v>
      </c>
      <c r="D83" s="79">
        <f t="shared" si="46"/>
        <v>3.9000000000000004</v>
      </c>
      <c r="E83" s="111">
        <f t="shared" si="25"/>
        <v>252.9</v>
      </c>
      <c r="F83" s="77">
        <f t="shared" ref="F83:G85" si="47">F82</f>
        <v>299.5</v>
      </c>
      <c r="G83" s="79">
        <f t="shared" si="47"/>
        <v>4.6000000000000005</v>
      </c>
      <c r="H83" s="111">
        <f t="shared" si="26"/>
        <v>304.10000000000002</v>
      </c>
      <c r="I83" s="77">
        <f t="shared" ref="I83:J85" si="48">I82</f>
        <v>454.70000000000005</v>
      </c>
      <c r="J83" s="79">
        <f t="shared" si="48"/>
        <v>7</v>
      </c>
      <c r="K83" s="77">
        <f t="shared" si="27"/>
        <v>461.70000000000005</v>
      </c>
      <c r="L83" s="77">
        <f t="shared" ref="L83:M85" si="49">L82</f>
        <v>454.70000000000005</v>
      </c>
      <c r="M83" s="79">
        <f t="shared" si="49"/>
        <v>7</v>
      </c>
      <c r="N83" s="111">
        <f t="shared" si="28"/>
        <v>461.70000000000005</v>
      </c>
      <c r="O83" s="77">
        <f t="shared" ref="O83:P85" si="50">O82</f>
        <v>499.40000000000003</v>
      </c>
      <c r="P83" s="79">
        <f t="shared" si="50"/>
        <v>7.7</v>
      </c>
      <c r="Q83" s="111">
        <f t="shared" si="29"/>
        <v>507.1</v>
      </c>
      <c r="R83" s="77">
        <f t="shared" ref="R83:S85" si="51">R82</f>
        <v>595.9</v>
      </c>
      <c r="S83" s="79">
        <f t="shared" si="51"/>
        <v>9.2000000000000011</v>
      </c>
      <c r="T83" s="111">
        <f t="shared" si="30"/>
        <v>605.1</v>
      </c>
      <c r="U83" s="77">
        <f t="shared" ref="U83:V85" si="52">U82</f>
        <v>437</v>
      </c>
      <c r="V83" s="79">
        <f t="shared" si="52"/>
        <v>524</v>
      </c>
      <c r="W83" s="110">
        <f t="shared" si="45"/>
        <v>0.5</v>
      </c>
      <c r="X83" s="108">
        <f t="shared" si="45"/>
        <v>0.6</v>
      </c>
      <c r="Y83" s="91">
        <f t="shared" si="45"/>
        <v>22</v>
      </c>
      <c r="Z83" s="77">
        <f t="shared" si="45"/>
        <v>4548</v>
      </c>
      <c r="AA83" s="78">
        <f t="shared" si="45"/>
        <v>2276</v>
      </c>
      <c r="AB83" s="79">
        <f t="shared" si="45"/>
        <v>1137</v>
      </c>
      <c r="AC83" s="744">
        <v>16</v>
      </c>
      <c r="AD83" s="744">
        <v>25</v>
      </c>
      <c r="AE83" s="744">
        <v>0.5</v>
      </c>
      <c r="AF83" s="679">
        <f t="shared" si="8"/>
        <v>0.2</v>
      </c>
      <c r="AG83" s="734">
        <f>FTBA!AE81</f>
        <v>53582</v>
      </c>
      <c r="AJ83" s="834"/>
    </row>
    <row r="84" spans="1:36" x14ac:dyDescent="0.25">
      <c r="A84" s="169">
        <v>43647</v>
      </c>
      <c r="B84" s="170">
        <v>43727</v>
      </c>
      <c r="C84" s="860">
        <f>C83</f>
        <v>249</v>
      </c>
      <c r="D84" s="172">
        <f t="shared" si="46"/>
        <v>3.9000000000000004</v>
      </c>
      <c r="E84" s="189">
        <f t="shared" si="25"/>
        <v>252.9</v>
      </c>
      <c r="F84" s="188">
        <f t="shared" si="47"/>
        <v>299.5</v>
      </c>
      <c r="G84" s="172">
        <f t="shared" si="47"/>
        <v>4.6000000000000005</v>
      </c>
      <c r="H84" s="189">
        <f t="shared" si="26"/>
        <v>304.10000000000002</v>
      </c>
      <c r="I84" s="188">
        <f t="shared" si="48"/>
        <v>454.70000000000005</v>
      </c>
      <c r="J84" s="172">
        <f t="shared" si="48"/>
        <v>7</v>
      </c>
      <c r="K84" s="188">
        <f t="shared" si="27"/>
        <v>461.70000000000005</v>
      </c>
      <c r="L84" s="188">
        <f t="shared" si="49"/>
        <v>454.70000000000005</v>
      </c>
      <c r="M84" s="172">
        <f t="shared" si="49"/>
        <v>7</v>
      </c>
      <c r="N84" s="189">
        <f t="shared" si="28"/>
        <v>461.70000000000005</v>
      </c>
      <c r="O84" s="188">
        <f t="shared" si="50"/>
        <v>499.40000000000003</v>
      </c>
      <c r="P84" s="172">
        <f t="shared" si="50"/>
        <v>7.7</v>
      </c>
      <c r="Q84" s="189">
        <f t="shared" si="29"/>
        <v>507.1</v>
      </c>
      <c r="R84" s="188">
        <f t="shared" si="51"/>
        <v>595.9</v>
      </c>
      <c r="S84" s="172">
        <f t="shared" si="51"/>
        <v>9.2000000000000011</v>
      </c>
      <c r="T84" s="189">
        <f t="shared" si="30"/>
        <v>605.1</v>
      </c>
      <c r="U84" s="188">
        <f t="shared" si="52"/>
        <v>437</v>
      </c>
      <c r="V84" s="172">
        <f t="shared" si="52"/>
        <v>524</v>
      </c>
      <c r="W84" s="198">
        <f t="shared" si="45"/>
        <v>0.5</v>
      </c>
      <c r="X84" s="190">
        <f t="shared" si="45"/>
        <v>0.6</v>
      </c>
      <c r="Y84" s="196">
        <f t="shared" si="45"/>
        <v>22</v>
      </c>
      <c r="Z84" s="188">
        <f t="shared" si="45"/>
        <v>4548</v>
      </c>
      <c r="AA84" s="171">
        <f t="shared" si="45"/>
        <v>2276</v>
      </c>
      <c r="AB84" s="172">
        <f t="shared" si="45"/>
        <v>1137</v>
      </c>
      <c r="AC84" s="745">
        <v>16</v>
      </c>
      <c r="AD84" s="745">
        <v>25</v>
      </c>
      <c r="AE84" s="745">
        <v>0.5</v>
      </c>
      <c r="AF84" s="680">
        <f t="shared" si="8"/>
        <v>0.2</v>
      </c>
      <c r="AG84" s="735">
        <f>FTBA!AE82</f>
        <v>53582</v>
      </c>
      <c r="AJ84" s="834"/>
    </row>
    <row r="85" spans="1:36" x14ac:dyDescent="0.25">
      <c r="A85" s="165">
        <v>43728</v>
      </c>
      <c r="B85" s="166">
        <v>43830</v>
      </c>
      <c r="C85" s="33">
        <f>C84</f>
        <v>249</v>
      </c>
      <c r="D85" s="75">
        <f t="shared" si="46"/>
        <v>3.9000000000000004</v>
      </c>
      <c r="E85" s="107">
        <f t="shared" si="25"/>
        <v>252.9</v>
      </c>
      <c r="F85" s="33">
        <f t="shared" si="47"/>
        <v>299.5</v>
      </c>
      <c r="G85" s="75">
        <f t="shared" si="47"/>
        <v>4.6000000000000005</v>
      </c>
      <c r="H85" s="107">
        <f t="shared" si="26"/>
        <v>304.10000000000002</v>
      </c>
      <c r="I85" s="33">
        <f t="shared" si="48"/>
        <v>454.70000000000005</v>
      </c>
      <c r="J85" s="75">
        <f t="shared" si="48"/>
        <v>7</v>
      </c>
      <c r="K85" s="33">
        <f t="shared" si="27"/>
        <v>461.70000000000005</v>
      </c>
      <c r="L85" s="33">
        <f t="shared" si="49"/>
        <v>454.70000000000005</v>
      </c>
      <c r="M85" s="75">
        <f t="shared" si="49"/>
        <v>7</v>
      </c>
      <c r="N85" s="107">
        <f t="shared" si="28"/>
        <v>461.70000000000005</v>
      </c>
      <c r="O85" s="33">
        <f t="shared" si="50"/>
        <v>499.40000000000003</v>
      </c>
      <c r="P85" s="75">
        <f t="shared" si="50"/>
        <v>7.7</v>
      </c>
      <c r="Q85" s="107">
        <f t="shared" si="29"/>
        <v>507.1</v>
      </c>
      <c r="R85" s="33">
        <f t="shared" si="51"/>
        <v>595.9</v>
      </c>
      <c r="S85" s="75">
        <f t="shared" si="51"/>
        <v>9.2000000000000011</v>
      </c>
      <c r="T85" s="107">
        <f t="shared" si="30"/>
        <v>605.1</v>
      </c>
      <c r="U85" s="33">
        <f t="shared" si="52"/>
        <v>437</v>
      </c>
      <c r="V85" s="75">
        <f t="shared" si="52"/>
        <v>524</v>
      </c>
      <c r="W85" s="106">
        <f t="shared" si="45"/>
        <v>0.5</v>
      </c>
      <c r="X85" s="104">
        <f t="shared" si="45"/>
        <v>0.6</v>
      </c>
      <c r="Y85" s="30">
        <f t="shared" si="45"/>
        <v>22</v>
      </c>
      <c r="Z85" s="33">
        <f t="shared" si="45"/>
        <v>4548</v>
      </c>
      <c r="AA85" s="34">
        <f t="shared" si="45"/>
        <v>2276</v>
      </c>
      <c r="AB85" s="75">
        <f t="shared" si="45"/>
        <v>1137</v>
      </c>
      <c r="AC85" s="745">
        <v>16</v>
      </c>
      <c r="AD85" s="745">
        <v>25</v>
      </c>
      <c r="AE85" s="745">
        <v>0.5</v>
      </c>
      <c r="AF85" s="680">
        <f t="shared" si="8"/>
        <v>0.2</v>
      </c>
      <c r="AG85" s="735">
        <f>FTBA!AE83</f>
        <v>53582</v>
      </c>
      <c r="AJ85" s="834"/>
    </row>
    <row r="86" spans="1:36" x14ac:dyDescent="0.25">
      <c r="A86" s="165">
        <v>43831</v>
      </c>
      <c r="B86" s="166">
        <v>43909</v>
      </c>
      <c r="C86" s="33">
        <f>IndexAmt(C85,"peCpiFp",$A84,0.1,12)</f>
        <v>254.5</v>
      </c>
      <c r="D86" s="75">
        <f t="shared" si="46"/>
        <v>3.9000000000000004</v>
      </c>
      <c r="E86" s="107">
        <f t="shared" si="25"/>
        <v>258.39999999999998</v>
      </c>
      <c r="F86" s="33">
        <f>IndexAmt(F85,"peCpiFp",$A84,0.1,12)</f>
        <v>306.10000000000002</v>
      </c>
      <c r="G86" s="75">
        <f>G85</f>
        <v>4.6000000000000005</v>
      </c>
      <c r="H86" s="107">
        <f t="shared" si="26"/>
        <v>310.70000000000005</v>
      </c>
      <c r="I86" s="33">
        <f>IndexAmt(I85,"peCpiFp",$A84,0.1,12)</f>
        <v>464.70000000000005</v>
      </c>
      <c r="J86" s="75">
        <f>J85</f>
        <v>7</v>
      </c>
      <c r="K86" s="33">
        <f t="shared" si="27"/>
        <v>471.70000000000005</v>
      </c>
      <c r="L86" s="33">
        <f>IndexAmt(L85,"peCpiFp",$A84,0.1,12)</f>
        <v>464.70000000000005</v>
      </c>
      <c r="M86" s="75">
        <f>M85</f>
        <v>7</v>
      </c>
      <c r="N86" s="107">
        <f t="shared" si="28"/>
        <v>471.70000000000005</v>
      </c>
      <c r="O86" s="33">
        <f>IndexAmt(O85,"peCpiFp",$A84,0.1,12)</f>
        <v>510.40000000000003</v>
      </c>
      <c r="P86" s="75">
        <f>P85</f>
        <v>7.7</v>
      </c>
      <c r="Q86" s="107">
        <f t="shared" si="29"/>
        <v>518.1</v>
      </c>
      <c r="R86" s="33">
        <f>IndexAmt(R85,"peCpiFp",$A84,0.1,12)</f>
        <v>609</v>
      </c>
      <c r="S86" s="75">
        <f>S85</f>
        <v>9.2000000000000011</v>
      </c>
      <c r="T86" s="107">
        <f t="shared" si="30"/>
        <v>618.20000000000005</v>
      </c>
      <c r="U86" s="33">
        <f>U85</f>
        <v>437</v>
      </c>
      <c r="V86" s="75">
        <f>V85</f>
        <v>524</v>
      </c>
      <c r="W86" s="106">
        <f t="shared" si="45"/>
        <v>0.5</v>
      </c>
      <c r="X86" s="104">
        <f t="shared" si="45"/>
        <v>0.6</v>
      </c>
      <c r="Y86" s="30">
        <f t="shared" si="45"/>
        <v>22</v>
      </c>
      <c r="Z86" s="33">
        <f>IndexAmt(Z85,"peCpiFp",$A84,1,12)</f>
        <v>4648</v>
      </c>
      <c r="AA86" s="34">
        <f>IndexAmt(AA85,"peCpiFp",$A84,1,12)</f>
        <v>2326</v>
      </c>
      <c r="AB86" s="75">
        <f>IndexAmt(AB85,"peCpiFp",$A84,1,12)</f>
        <v>1162</v>
      </c>
      <c r="AC86" s="746">
        <v>16</v>
      </c>
      <c r="AD86" s="746">
        <v>25</v>
      </c>
      <c r="AE86" s="746">
        <v>0.5</v>
      </c>
      <c r="AF86" s="680">
        <f t="shared" si="8"/>
        <v>0.2</v>
      </c>
      <c r="AG86" s="736">
        <f>FTBA!AE84</f>
        <v>54677</v>
      </c>
      <c r="AJ86" s="834"/>
    </row>
    <row r="87" spans="1:36" ht="15.75" thickBot="1" x14ac:dyDescent="0.3">
      <c r="A87" s="167">
        <v>43910</v>
      </c>
      <c r="B87" s="168">
        <v>44012</v>
      </c>
      <c r="C87" s="77">
        <f>C86</f>
        <v>254.5</v>
      </c>
      <c r="D87" s="79">
        <f t="shared" si="46"/>
        <v>3.9000000000000004</v>
      </c>
      <c r="E87" s="111">
        <f t="shared" si="25"/>
        <v>258.39999999999998</v>
      </c>
      <c r="F87" s="77">
        <f t="shared" ref="F87:G91" si="53">F86</f>
        <v>306.10000000000002</v>
      </c>
      <c r="G87" s="79">
        <f t="shared" si="53"/>
        <v>4.6000000000000005</v>
      </c>
      <c r="H87" s="111">
        <f t="shared" si="26"/>
        <v>310.70000000000005</v>
      </c>
      <c r="I87" s="77">
        <f t="shared" ref="I87:J89" si="54">I86</f>
        <v>464.70000000000005</v>
      </c>
      <c r="J87" s="79">
        <f t="shared" si="54"/>
        <v>7</v>
      </c>
      <c r="K87" s="77">
        <f t="shared" si="27"/>
        <v>471.70000000000005</v>
      </c>
      <c r="L87" s="77">
        <f t="shared" ref="L87:M89" si="55">L86</f>
        <v>464.70000000000005</v>
      </c>
      <c r="M87" s="79">
        <f t="shared" si="55"/>
        <v>7</v>
      </c>
      <c r="N87" s="111">
        <f t="shared" si="28"/>
        <v>471.70000000000005</v>
      </c>
      <c r="O87" s="77">
        <f t="shared" ref="O87:P89" si="56">O86</f>
        <v>510.40000000000003</v>
      </c>
      <c r="P87" s="79">
        <f t="shared" si="56"/>
        <v>7.7</v>
      </c>
      <c r="Q87" s="111">
        <f t="shared" si="29"/>
        <v>518.1</v>
      </c>
      <c r="R87" s="77">
        <f t="shared" ref="R87:S89" si="57">R86</f>
        <v>609</v>
      </c>
      <c r="S87" s="79">
        <f t="shared" si="57"/>
        <v>9.2000000000000011</v>
      </c>
      <c r="T87" s="111">
        <f t="shared" si="30"/>
        <v>618.20000000000005</v>
      </c>
      <c r="U87" s="77">
        <f t="shared" ref="U87:V89" si="58">U86</f>
        <v>437</v>
      </c>
      <c r="V87" s="79">
        <f t="shared" si="58"/>
        <v>524</v>
      </c>
      <c r="W87" s="110">
        <f t="shared" si="45"/>
        <v>0.5</v>
      </c>
      <c r="X87" s="108">
        <f t="shared" si="45"/>
        <v>0.6</v>
      </c>
      <c r="Y87" s="91">
        <f t="shared" si="45"/>
        <v>22</v>
      </c>
      <c r="Z87" s="77">
        <f t="shared" si="45"/>
        <v>4648</v>
      </c>
      <c r="AA87" s="78">
        <f t="shared" si="45"/>
        <v>2326</v>
      </c>
      <c r="AB87" s="79">
        <f t="shared" si="45"/>
        <v>1162</v>
      </c>
      <c r="AC87" s="744">
        <v>16</v>
      </c>
      <c r="AD87" s="744">
        <v>25</v>
      </c>
      <c r="AE87" s="744">
        <v>0.5</v>
      </c>
      <c r="AF87" s="679">
        <f t="shared" si="8"/>
        <v>0.2</v>
      </c>
      <c r="AG87" s="734">
        <f>FTBA!AE85</f>
        <v>54677</v>
      </c>
      <c r="AJ87" s="834"/>
    </row>
    <row r="88" spans="1:36" x14ac:dyDescent="0.25">
      <c r="A88" s="169">
        <v>44013</v>
      </c>
      <c r="B88" s="170">
        <v>44093</v>
      </c>
      <c r="C88" s="860">
        <f>C87</f>
        <v>254.5</v>
      </c>
      <c r="D88" s="172">
        <f t="shared" si="46"/>
        <v>3.9000000000000004</v>
      </c>
      <c r="E88" s="189">
        <f t="shared" si="25"/>
        <v>258.39999999999998</v>
      </c>
      <c r="F88" s="188">
        <f t="shared" si="53"/>
        <v>306.10000000000002</v>
      </c>
      <c r="G88" s="172">
        <f t="shared" si="53"/>
        <v>4.6000000000000005</v>
      </c>
      <c r="H88" s="189">
        <f t="shared" si="26"/>
        <v>310.70000000000005</v>
      </c>
      <c r="I88" s="188">
        <f t="shared" si="54"/>
        <v>464.70000000000005</v>
      </c>
      <c r="J88" s="172">
        <f t="shared" si="54"/>
        <v>7</v>
      </c>
      <c r="K88" s="188">
        <f t="shared" si="27"/>
        <v>471.70000000000005</v>
      </c>
      <c r="L88" s="188">
        <f t="shared" si="55"/>
        <v>464.70000000000005</v>
      </c>
      <c r="M88" s="172">
        <f t="shared" si="55"/>
        <v>7</v>
      </c>
      <c r="N88" s="189">
        <f t="shared" si="28"/>
        <v>471.70000000000005</v>
      </c>
      <c r="O88" s="188">
        <f t="shared" si="56"/>
        <v>510.40000000000003</v>
      </c>
      <c r="P88" s="172">
        <f t="shared" si="56"/>
        <v>7.7</v>
      </c>
      <c r="Q88" s="189">
        <f t="shared" si="29"/>
        <v>518.1</v>
      </c>
      <c r="R88" s="188">
        <f t="shared" si="57"/>
        <v>609</v>
      </c>
      <c r="S88" s="172">
        <f t="shared" si="57"/>
        <v>9.2000000000000011</v>
      </c>
      <c r="T88" s="189">
        <f t="shared" si="30"/>
        <v>618.20000000000005</v>
      </c>
      <c r="U88" s="188">
        <f t="shared" si="58"/>
        <v>437</v>
      </c>
      <c r="V88" s="172">
        <f t="shared" si="58"/>
        <v>524</v>
      </c>
      <c r="W88" s="198">
        <f t="shared" si="45"/>
        <v>0.5</v>
      </c>
      <c r="X88" s="190">
        <f t="shared" si="45"/>
        <v>0.6</v>
      </c>
      <c r="Y88" s="196">
        <f t="shared" si="45"/>
        <v>22</v>
      </c>
      <c r="Z88" s="188">
        <f t="shared" si="45"/>
        <v>4648</v>
      </c>
      <c r="AA88" s="171">
        <f t="shared" si="45"/>
        <v>2326</v>
      </c>
      <c r="AB88" s="172">
        <f t="shared" si="45"/>
        <v>1162</v>
      </c>
      <c r="AC88" s="745">
        <v>16</v>
      </c>
      <c r="AD88" s="745">
        <v>25</v>
      </c>
      <c r="AE88" s="745">
        <v>0.5</v>
      </c>
      <c r="AF88" s="680">
        <f t="shared" si="8"/>
        <v>0.2</v>
      </c>
      <c r="AG88" s="735">
        <f>FTBA!AE86</f>
        <v>54677</v>
      </c>
      <c r="AJ88" s="834"/>
    </row>
    <row r="89" spans="1:36" x14ac:dyDescent="0.25">
      <c r="A89" s="165">
        <v>44094</v>
      </c>
      <c r="B89" s="166">
        <v>44196</v>
      </c>
      <c r="C89" s="33">
        <f>C88</f>
        <v>254.5</v>
      </c>
      <c r="D89" s="75">
        <f t="shared" si="46"/>
        <v>3.9000000000000004</v>
      </c>
      <c r="E89" s="107">
        <f t="shared" si="25"/>
        <v>258.39999999999998</v>
      </c>
      <c r="F89" s="33">
        <f t="shared" si="53"/>
        <v>306.10000000000002</v>
      </c>
      <c r="G89" s="75">
        <f t="shared" si="53"/>
        <v>4.6000000000000005</v>
      </c>
      <c r="H89" s="107">
        <f t="shared" si="26"/>
        <v>310.70000000000005</v>
      </c>
      <c r="I89" s="33">
        <f t="shared" si="54"/>
        <v>464.70000000000005</v>
      </c>
      <c r="J89" s="75">
        <f t="shared" si="54"/>
        <v>7</v>
      </c>
      <c r="K89" s="33">
        <f t="shared" si="27"/>
        <v>471.70000000000005</v>
      </c>
      <c r="L89" s="33">
        <f t="shared" si="55"/>
        <v>464.70000000000005</v>
      </c>
      <c r="M89" s="75">
        <f t="shared" si="55"/>
        <v>7</v>
      </c>
      <c r="N89" s="107">
        <f t="shared" si="28"/>
        <v>471.70000000000005</v>
      </c>
      <c r="O89" s="33">
        <f t="shared" si="56"/>
        <v>510.40000000000003</v>
      </c>
      <c r="P89" s="75">
        <f t="shared" si="56"/>
        <v>7.7</v>
      </c>
      <c r="Q89" s="107">
        <f t="shared" si="29"/>
        <v>518.1</v>
      </c>
      <c r="R89" s="33">
        <f t="shared" si="57"/>
        <v>609</v>
      </c>
      <c r="S89" s="75">
        <f t="shared" si="57"/>
        <v>9.2000000000000011</v>
      </c>
      <c r="T89" s="107">
        <f t="shared" si="30"/>
        <v>618.20000000000005</v>
      </c>
      <c r="U89" s="33">
        <f t="shared" si="58"/>
        <v>437</v>
      </c>
      <c r="V89" s="75">
        <f t="shared" si="58"/>
        <v>524</v>
      </c>
      <c r="W89" s="106">
        <f t="shared" si="45"/>
        <v>0.5</v>
      </c>
      <c r="X89" s="104">
        <f t="shared" si="45"/>
        <v>0.6</v>
      </c>
      <c r="Y89" s="30">
        <f t="shared" si="45"/>
        <v>22</v>
      </c>
      <c r="Z89" s="33">
        <f t="shared" si="45"/>
        <v>4648</v>
      </c>
      <c r="AA89" s="34">
        <f t="shared" si="45"/>
        <v>2326</v>
      </c>
      <c r="AB89" s="75">
        <f t="shared" si="45"/>
        <v>1162</v>
      </c>
      <c r="AC89" s="745">
        <v>16</v>
      </c>
      <c r="AD89" s="745">
        <v>25</v>
      </c>
      <c r="AE89" s="745">
        <v>0.5</v>
      </c>
      <c r="AF89" s="680">
        <f t="shared" si="8"/>
        <v>0.2</v>
      </c>
      <c r="AG89" s="735">
        <f>FTBA!AE87</f>
        <v>54677</v>
      </c>
      <c r="AJ89" s="834"/>
    </row>
    <row r="90" spans="1:36" x14ac:dyDescent="0.25">
      <c r="A90" s="165">
        <v>44197</v>
      </c>
      <c r="B90" s="166">
        <v>44274</v>
      </c>
      <c r="C90" s="33">
        <f>IndexAmt(C89,"peCpiFp",$A88,0.1,12)</f>
        <v>260.90000000000003</v>
      </c>
      <c r="D90" s="75">
        <f t="shared" si="46"/>
        <v>3.9000000000000004</v>
      </c>
      <c r="E90" s="107">
        <f t="shared" si="25"/>
        <v>264.8</v>
      </c>
      <c r="F90" s="33">
        <f>IndexAmt(F89,"peCpiFp",$A88,0.1,12)</f>
        <v>313.8</v>
      </c>
      <c r="G90" s="75">
        <f>G89</f>
        <v>4.6000000000000005</v>
      </c>
      <c r="H90" s="107">
        <f t="shared" si="26"/>
        <v>318.40000000000003</v>
      </c>
      <c r="I90" s="33">
        <f>IndexAmt(I89,"peCpiFp",$A88,0.1,12)</f>
        <v>476.3</v>
      </c>
      <c r="J90" s="75">
        <f>J89</f>
        <v>7</v>
      </c>
      <c r="K90" s="33">
        <f t="shared" si="27"/>
        <v>483.3</v>
      </c>
      <c r="L90" s="33">
        <f>IndexAmt(L89,"peCpiFp",$A88,0.1,12)</f>
        <v>476.3</v>
      </c>
      <c r="M90" s="75">
        <f>M89</f>
        <v>7</v>
      </c>
      <c r="N90" s="107">
        <f t="shared" si="28"/>
        <v>483.3</v>
      </c>
      <c r="O90" s="33">
        <f>IndexAmt(O89,"peCpiFp",$A88,0.1,12)</f>
        <v>523.20000000000005</v>
      </c>
      <c r="P90" s="75">
        <f>P89</f>
        <v>7.7</v>
      </c>
      <c r="Q90" s="107">
        <f t="shared" si="29"/>
        <v>530.90000000000009</v>
      </c>
      <c r="R90" s="33">
        <f>IndexAmt(R89,"peCpiFp",$A88,0.1,12)</f>
        <v>624.20000000000005</v>
      </c>
      <c r="S90" s="75">
        <f>S89</f>
        <v>9.2000000000000011</v>
      </c>
      <c r="T90" s="107">
        <f t="shared" si="30"/>
        <v>633.40000000000009</v>
      </c>
      <c r="U90" s="33">
        <f>IndexAmt(U89,"peCpiFp",$A88,1,12)</f>
        <v>448</v>
      </c>
      <c r="V90" s="75">
        <f>IndexAmt(V89-U89,"peCpiFp",$A88,1,12)+U90</f>
        <v>537</v>
      </c>
      <c r="W90" s="106">
        <f t="shared" si="45"/>
        <v>0.5</v>
      </c>
      <c r="X90" s="104">
        <f t="shared" si="45"/>
        <v>0.6</v>
      </c>
      <c r="Y90" s="30">
        <f t="shared" si="45"/>
        <v>22</v>
      </c>
      <c r="Z90" s="33">
        <f>IndexAmt(Z89,"peCpiFp",$A88,1,12)</f>
        <v>4764</v>
      </c>
      <c r="AA90" s="34">
        <f>IndexAmt(AA89,"peCpiFp",$A88,1,12)</f>
        <v>2384</v>
      </c>
      <c r="AB90" s="75">
        <f>IndexAmt(AB89,"peCpiFp",$A88,1,12)</f>
        <v>1191</v>
      </c>
      <c r="AC90" s="746">
        <v>16</v>
      </c>
      <c r="AD90" s="746">
        <v>25</v>
      </c>
      <c r="AE90" s="746">
        <v>0.5</v>
      </c>
      <c r="AF90" s="680">
        <f t="shared" si="8"/>
        <v>0.2</v>
      </c>
      <c r="AG90" s="736">
        <f>FTBA!AE88</f>
        <v>55991</v>
      </c>
      <c r="AJ90" s="834"/>
    </row>
    <row r="91" spans="1:36" ht="15.75" thickBot="1" x14ac:dyDescent="0.3">
      <c r="A91" s="167">
        <v>44275</v>
      </c>
      <c r="B91" s="168">
        <v>44377</v>
      </c>
      <c r="C91" s="77">
        <f>C90</f>
        <v>260.90000000000003</v>
      </c>
      <c r="D91" s="79">
        <f t="shared" si="46"/>
        <v>3.9000000000000004</v>
      </c>
      <c r="E91" s="111">
        <f t="shared" si="25"/>
        <v>264.8</v>
      </c>
      <c r="F91" s="77">
        <f t="shared" si="53"/>
        <v>313.8</v>
      </c>
      <c r="G91" s="79">
        <f t="shared" si="53"/>
        <v>4.6000000000000005</v>
      </c>
      <c r="H91" s="111">
        <f t="shared" si="26"/>
        <v>318.40000000000003</v>
      </c>
      <c r="I91" s="77">
        <f>I90</f>
        <v>476.3</v>
      </c>
      <c r="J91" s="79">
        <f>J90</f>
        <v>7</v>
      </c>
      <c r="K91" s="77">
        <f t="shared" si="27"/>
        <v>483.3</v>
      </c>
      <c r="L91" s="77">
        <f>L90</f>
        <v>476.3</v>
      </c>
      <c r="M91" s="79">
        <f>M90</f>
        <v>7</v>
      </c>
      <c r="N91" s="111">
        <f t="shared" si="28"/>
        <v>483.3</v>
      </c>
      <c r="O91" s="77">
        <f>O90</f>
        <v>523.20000000000005</v>
      </c>
      <c r="P91" s="79">
        <f>P90</f>
        <v>7.7</v>
      </c>
      <c r="Q91" s="111">
        <f t="shared" si="29"/>
        <v>530.90000000000009</v>
      </c>
      <c r="R91" s="77">
        <f>R90</f>
        <v>624.20000000000005</v>
      </c>
      <c r="S91" s="79">
        <f>S90</f>
        <v>9.2000000000000011</v>
      </c>
      <c r="T91" s="111">
        <f t="shared" si="30"/>
        <v>633.40000000000009</v>
      </c>
      <c r="U91" s="77">
        <f>U90</f>
        <v>448</v>
      </c>
      <c r="V91" s="79">
        <f>V90</f>
        <v>537</v>
      </c>
      <c r="W91" s="110">
        <f t="shared" si="45"/>
        <v>0.5</v>
      </c>
      <c r="X91" s="108">
        <f t="shared" si="45"/>
        <v>0.6</v>
      </c>
      <c r="Y91" s="91">
        <f t="shared" si="45"/>
        <v>22</v>
      </c>
      <c r="Z91" s="77">
        <f t="shared" si="45"/>
        <v>4764</v>
      </c>
      <c r="AA91" s="78">
        <f t="shared" si="45"/>
        <v>2384</v>
      </c>
      <c r="AB91" s="79">
        <f t="shared" si="45"/>
        <v>1191</v>
      </c>
      <c r="AC91" s="744">
        <v>16</v>
      </c>
      <c r="AD91" s="744">
        <v>25</v>
      </c>
      <c r="AE91" s="744">
        <v>0.5</v>
      </c>
      <c r="AF91" s="679">
        <f t="shared" si="8"/>
        <v>0.2</v>
      </c>
      <c r="AG91" s="734">
        <f>FTBA!AE89</f>
        <v>55991</v>
      </c>
      <c r="AJ91" s="834"/>
    </row>
  </sheetData>
  <customSheetViews>
    <customSheetView guid="{E49C2F27-B0B9-497E-BEC0-5B59561292FE}" scale="90">
      <pane xSplit="2" ySplit="7" topLeftCell="U59" activePane="bottomRight" state="frozen"/>
      <selection pane="bottomRight" activeCell="AG71" sqref="AG71"/>
      <pageMargins left="0.7" right="0.7" top="0.75" bottom="0.75" header="0.3" footer="0.3"/>
      <pageSetup paperSize="9" orientation="portrait" r:id="rId1"/>
    </customSheetView>
    <customSheetView guid="{A5953138-1481-4137-BEAD-32FA4FDF03E6}" scale="90">
      <pane xSplit="2" ySplit="7" topLeftCell="C59" activePane="bottomRight" state="frozen"/>
      <selection pane="bottomRight" activeCell="I83" sqref="I83"/>
      <pageMargins left="0.7" right="0.7" top="0.75" bottom="0.75" header="0.3" footer="0.3"/>
      <pageSetup paperSize="9" orientation="portrait" r:id="rId2"/>
    </customSheetView>
    <customSheetView guid="{2A1F94CA-1A34-4418-88FD-EABF7586C2B2}" scale="90">
      <pane xSplit="2" ySplit="7" topLeftCell="C59" activePane="bottomRight" state="frozen"/>
      <selection pane="bottomRight" activeCell="I80" sqref="I80"/>
      <pageMargins left="0.7" right="0.7" top="0.75" bottom="0.75" header="0.3" footer="0.3"/>
      <pageSetup paperSize="9" orientation="portrait" r:id="rId3"/>
    </customSheetView>
  </customSheetViews>
  <mergeCells count="38">
    <mergeCell ref="Z5:Z6"/>
    <mergeCell ref="AA5:AA6"/>
    <mergeCell ref="T5:T6"/>
    <mergeCell ref="L3:N4"/>
    <mergeCell ref="R3:T4"/>
    <mergeCell ref="R5:S5"/>
    <mergeCell ref="AB5:AB6"/>
    <mergeCell ref="Z2:AB4"/>
    <mergeCell ref="A4:A6"/>
    <mergeCell ref="B4:B6"/>
    <mergeCell ref="I5:J5"/>
    <mergeCell ref="K5:K6"/>
    <mergeCell ref="C4:D4"/>
    <mergeCell ref="E4:E6"/>
    <mergeCell ref="F4:G4"/>
    <mergeCell ref="H4:H6"/>
    <mergeCell ref="C5:D5"/>
    <mergeCell ref="F5:G5"/>
    <mergeCell ref="I3:K4"/>
    <mergeCell ref="A1:B3"/>
    <mergeCell ref="U1:X1"/>
    <mergeCell ref="C1:T2"/>
    <mergeCell ref="AG1:AG6"/>
    <mergeCell ref="C3:H3"/>
    <mergeCell ref="AC1:AC6"/>
    <mergeCell ref="AD1:AD6"/>
    <mergeCell ref="AE1:AE6"/>
    <mergeCell ref="AF1:AF6"/>
    <mergeCell ref="U2:X3"/>
    <mergeCell ref="U4:V5"/>
    <mergeCell ref="W4:X5"/>
    <mergeCell ref="O5:P5"/>
    <mergeCell ref="Q5:Q6"/>
    <mergeCell ref="L5:M5"/>
    <mergeCell ref="N5:N6"/>
    <mergeCell ref="O3:Q4"/>
    <mergeCell ref="Y1:AB1"/>
    <mergeCell ref="Y3:Y6"/>
  </mergeCells>
  <pageMargins left="0.7" right="0.7" top="0.75" bottom="0.75" header="0.3" footer="0.3"/>
  <pageSetup paperSize="9" orientation="portrait" r:id="rId4"/>
  <legacyDrawing r:id="rId5"/>
</worksheet>
</file>

<file path=xl/worksheets/sheet2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sheetPr codeName="Sheet28">
    <tabColor rgb="FF00B0F0"/>
  </sheetPr>
  <dimension ref="A1:AG28"/>
  <sheetViews>
    <sheetView zoomScale="85" workbookViewId="0">
      <selection activeCell="A24" sqref="A24:XFD24"/>
    </sheetView>
  </sheetViews>
  <sheetFormatPr defaultRowHeight="15" x14ac:dyDescent="0.25"/>
  <cols>
    <col min="1" max="2" width="17.7109375" style="193" customWidth="1"/>
    <col min="3" max="3" width="20.85546875" style="19" bestFit="1" customWidth="1"/>
    <col min="4" max="4" width="19.5703125" style="19" bestFit="1" customWidth="1"/>
    <col min="5" max="6" width="20.85546875" style="19" bestFit="1" customWidth="1"/>
    <col min="7" max="7" width="19.5703125" style="19" bestFit="1" customWidth="1"/>
    <col min="8" max="9" width="20.85546875" style="19" bestFit="1" customWidth="1"/>
    <col min="10" max="10" width="19.5703125" style="19" bestFit="1" customWidth="1"/>
    <col min="11" max="11" width="20.85546875" style="19" bestFit="1" customWidth="1"/>
    <col min="12" max="12" width="16.85546875" style="71" bestFit="1" customWidth="1"/>
    <col min="13" max="13" width="15.5703125" style="19" bestFit="1" customWidth="1"/>
    <col min="14" max="14" width="16.85546875" style="19" bestFit="1" customWidth="1"/>
    <col min="15" max="15" width="22.28515625" style="19" bestFit="1" customWidth="1"/>
    <col min="16" max="16" width="20.85546875" style="19" bestFit="1" customWidth="1"/>
    <col min="17" max="18" width="22.28515625" style="19" bestFit="1" customWidth="1"/>
    <col min="19" max="19" width="20.85546875" style="19" bestFit="1" customWidth="1"/>
    <col min="20" max="20" width="22.28515625" style="19" bestFit="1" customWidth="1"/>
    <col min="21" max="22" width="23.5703125" style="19" bestFit="1" customWidth="1"/>
    <col min="23" max="24" width="23.5703125" style="63" bestFit="1" customWidth="1"/>
    <col min="25" max="27" width="23.5703125" style="19" bestFit="1" customWidth="1"/>
    <col min="28" max="28" width="15.7109375" style="19" customWidth="1"/>
    <col min="29" max="29" width="20.28515625" style="27" customWidth="1"/>
    <col min="30" max="30" width="19.7109375" style="19" customWidth="1"/>
    <col min="31" max="31" width="28" style="63" customWidth="1"/>
    <col min="32" max="32" width="24.42578125" style="19" customWidth="1"/>
    <col min="33" max="33" width="25.7109375" style="19" customWidth="1"/>
    <col min="34" max="16384" width="9.140625" style="28"/>
  </cols>
  <sheetData>
    <row r="1" spans="1:33" s="502" customFormat="1" ht="15" customHeight="1" thickBot="1" x14ac:dyDescent="0.3">
      <c r="A1" s="1164" t="s">
        <v>13</v>
      </c>
      <c r="B1" s="1165"/>
      <c r="C1" s="1318" t="s">
        <v>108</v>
      </c>
      <c r="D1" s="1319"/>
      <c r="E1" s="1319"/>
      <c r="F1" s="1319"/>
      <c r="G1" s="1319"/>
      <c r="H1" s="1319"/>
      <c r="I1" s="1319"/>
      <c r="J1" s="1319"/>
      <c r="K1" s="1319"/>
      <c r="L1" s="1319"/>
      <c r="M1" s="1319"/>
      <c r="N1" s="1319"/>
      <c r="O1" s="1319"/>
      <c r="P1" s="1319"/>
      <c r="Q1" s="1319"/>
      <c r="R1" s="1319"/>
      <c r="S1" s="1319"/>
      <c r="T1" s="1320"/>
      <c r="U1" s="1160" t="s">
        <v>225</v>
      </c>
      <c r="V1" s="1161"/>
      <c r="W1" s="1161"/>
      <c r="X1" s="1161"/>
      <c r="Y1" s="1160" t="s">
        <v>40</v>
      </c>
      <c r="Z1" s="1161"/>
      <c r="AA1" s="1161"/>
      <c r="AB1" s="1161"/>
      <c r="AC1" s="1251" t="s">
        <v>661</v>
      </c>
      <c r="AD1" s="1251" t="s">
        <v>662</v>
      </c>
      <c r="AE1" s="1251" t="s">
        <v>557</v>
      </c>
      <c r="AF1" s="1251" t="s">
        <v>560</v>
      </c>
      <c r="AG1" s="1251" t="s">
        <v>561</v>
      </c>
    </row>
    <row r="2" spans="1:33" s="502" customFormat="1" ht="15.75" customHeight="1" thickBot="1" x14ac:dyDescent="0.3">
      <c r="A2" s="1215"/>
      <c r="B2" s="1236"/>
      <c r="C2" s="1321"/>
      <c r="D2" s="1322"/>
      <c r="E2" s="1322"/>
      <c r="F2" s="1322"/>
      <c r="G2" s="1322"/>
      <c r="H2" s="1322"/>
      <c r="I2" s="1322"/>
      <c r="J2" s="1322"/>
      <c r="K2" s="1322"/>
      <c r="L2" s="1322"/>
      <c r="M2" s="1322"/>
      <c r="N2" s="1322"/>
      <c r="O2" s="1322"/>
      <c r="P2" s="1322"/>
      <c r="Q2" s="1322"/>
      <c r="R2" s="1322"/>
      <c r="S2" s="1322"/>
      <c r="T2" s="1323"/>
      <c r="U2" s="1164" t="s">
        <v>226</v>
      </c>
      <c r="V2" s="1214"/>
      <c r="W2" s="1214"/>
      <c r="X2" s="1165"/>
      <c r="Y2" s="682" t="s">
        <v>42</v>
      </c>
      <c r="Z2" s="1164" t="s">
        <v>232</v>
      </c>
      <c r="AA2" s="1214"/>
      <c r="AB2" s="1214"/>
      <c r="AC2" s="1252"/>
      <c r="AD2" s="1252"/>
      <c r="AE2" s="1252"/>
      <c r="AF2" s="1252"/>
      <c r="AG2" s="1252"/>
    </row>
    <row r="3" spans="1:33" s="502" customFormat="1" ht="15.75" customHeight="1" thickBot="1" x14ac:dyDescent="0.3">
      <c r="A3" s="1215"/>
      <c r="B3" s="1236"/>
      <c r="C3" s="1299" t="s">
        <v>221</v>
      </c>
      <c r="D3" s="1300"/>
      <c r="E3" s="1300"/>
      <c r="F3" s="1300"/>
      <c r="G3" s="1300"/>
      <c r="H3" s="1300"/>
      <c r="I3" s="1306" t="s">
        <v>224</v>
      </c>
      <c r="J3" s="1307"/>
      <c r="K3" s="1308"/>
      <c r="L3" s="1306" t="s">
        <v>222</v>
      </c>
      <c r="M3" s="1307"/>
      <c r="N3" s="1308"/>
      <c r="O3" s="1306" t="s">
        <v>223</v>
      </c>
      <c r="P3" s="1307"/>
      <c r="Q3" s="1308"/>
      <c r="R3" s="1306" t="s">
        <v>54</v>
      </c>
      <c r="S3" s="1307"/>
      <c r="T3" s="1308"/>
      <c r="U3" s="1166"/>
      <c r="V3" s="1217"/>
      <c r="W3" s="1217"/>
      <c r="X3" s="1167"/>
      <c r="Y3" s="1157" t="s">
        <v>43</v>
      </c>
      <c r="Z3" s="1215"/>
      <c r="AA3" s="1216"/>
      <c r="AB3" s="1216"/>
      <c r="AC3" s="1252"/>
      <c r="AD3" s="1252"/>
      <c r="AE3" s="1252"/>
      <c r="AF3" s="1252"/>
      <c r="AG3" s="1252"/>
    </row>
    <row r="4" spans="1:33" s="502" customFormat="1" ht="15.75" customHeight="1" thickBot="1" x14ac:dyDescent="0.3">
      <c r="A4" s="1312" t="s">
        <v>16</v>
      </c>
      <c r="B4" s="1314" t="s">
        <v>17</v>
      </c>
      <c r="C4" s="1208" t="s">
        <v>109</v>
      </c>
      <c r="D4" s="1316"/>
      <c r="E4" s="1224" t="s">
        <v>33</v>
      </c>
      <c r="F4" s="1208" t="s">
        <v>110</v>
      </c>
      <c r="G4" s="1317"/>
      <c r="H4" s="1224" t="s">
        <v>33</v>
      </c>
      <c r="I4" s="1310"/>
      <c r="J4" s="1310"/>
      <c r="K4" s="1311"/>
      <c r="L4" s="1309"/>
      <c r="M4" s="1310"/>
      <c r="N4" s="1311"/>
      <c r="O4" s="1309"/>
      <c r="P4" s="1310"/>
      <c r="Q4" s="1311"/>
      <c r="R4" s="1309"/>
      <c r="S4" s="1310"/>
      <c r="T4" s="1311"/>
      <c r="U4" s="1301" t="s">
        <v>227</v>
      </c>
      <c r="V4" s="1302"/>
      <c r="W4" s="1260" t="s">
        <v>158</v>
      </c>
      <c r="X4" s="1262"/>
      <c r="Y4" s="1158"/>
      <c r="Z4" s="1166"/>
      <c r="AA4" s="1217"/>
      <c r="AB4" s="1217"/>
      <c r="AC4" s="1252"/>
      <c r="AD4" s="1252"/>
      <c r="AE4" s="1252"/>
      <c r="AF4" s="1252"/>
      <c r="AG4" s="1252"/>
    </row>
    <row r="5" spans="1:33" s="502" customFormat="1" ht="15.75" thickBot="1" x14ac:dyDescent="0.3">
      <c r="A5" s="1312"/>
      <c r="B5" s="1314"/>
      <c r="C5" s="1229" t="s">
        <v>188</v>
      </c>
      <c r="D5" s="1249"/>
      <c r="E5" s="1225" t="s">
        <v>33</v>
      </c>
      <c r="F5" s="1229" t="s">
        <v>188</v>
      </c>
      <c r="G5" s="1317"/>
      <c r="H5" s="1225" t="s">
        <v>33</v>
      </c>
      <c r="I5" s="1229" t="s">
        <v>188</v>
      </c>
      <c r="J5" s="1247"/>
      <c r="K5" s="1224" t="s">
        <v>33</v>
      </c>
      <c r="L5" s="1229" t="s">
        <v>188</v>
      </c>
      <c r="M5" s="1247"/>
      <c r="N5" s="1305" t="s">
        <v>33</v>
      </c>
      <c r="O5" s="1229" t="s">
        <v>188</v>
      </c>
      <c r="P5" s="1249"/>
      <c r="Q5" s="1305" t="s">
        <v>33</v>
      </c>
      <c r="R5" s="1229" t="s">
        <v>188</v>
      </c>
      <c r="S5" s="1249"/>
      <c r="T5" s="1305" t="s">
        <v>33</v>
      </c>
      <c r="U5" s="1303"/>
      <c r="V5" s="1304"/>
      <c r="W5" s="1263"/>
      <c r="X5" s="1265"/>
      <c r="Y5" s="1158"/>
      <c r="Z5" s="1224" t="s">
        <v>229</v>
      </c>
      <c r="AA5" s="1224" t="s">
        <v>230</v>
      </c>
      <c r="AB5" s="1218" t="s">
        <v>231</v>
      </c>
      <c r="AC5" s="1252"/>
      <c r="AD5" s="1252"/>
      <c r="AE5" s="1252"/>
      <c r="AF5" s="1252"/>
      <c r="AG5" s="1252"/>
    </row>
    <row r="6" spans="1:33" s="502" customFormat="1" ht="15.75" thickBot="1" x14ac:dyDescent="0.3">
      <c r="A6" s="1313"/>
      <c r="B6" s="1315"/>
      <c r="C6" s="182" t="s">
        <v>212</v>
      </c>
      <c r="D6" s="183" t="s">
        <v>606</v>
      </c>
      <c r="E6" s="1226"/>
      <c r="F6" s="182" t="s">
        <v>212</v>
      </c>
      <c r="G6" s="183" t="s">
        <v>606</v>
      </c>
      <c r="H6" s="1226"/>
      <c r="I6" s="182" t="s">
        <v>212</v>
      </c>
      <c r="J6" s="183" t="s">
        <v>606</v>
      </c>
      <c r="K6" s="1226"/>
      <c r="L6" s="182" t="s">
        <v>212</v>
      </c>
      <c r="M6" s="183" t="s">
        <v>606</v>
      </c>
      <c r="N6" s="1234"/>
      <c r="O6" s="182" t="s">
        <v>212</v>
      </c>
      <c r="P6" s="183" t="s">
        <v>606</v>
      </c>
      <c r="Q6" s="1234"/>
      <c r="R6" s="182" t="s">
        <v>212</v>
      </c>
      <c r="S6" s="183" t="s">
        <v>606</v>
      </c>
      <c r="T6" s="1234"/>
      <c r="U6" s="182" t="s">
        <v>156</v>
      </c>
      <c r="V6" s="183" t="s">
        <v>157</v>
      </c>
      <c r="W6" s="206" t="s">
        <v>156</v>
      </c>
      <c r="X6" s="207" t="s">
        <v>157</v>
      </c>
      <c r="Y6" s="1159"/>
      <c r="Z6" s="1226"/>
      <c r="AA6" s="1226"/>
      <c r="AB6" s="1220"/>
      <c r="AC6" s="1253"/>
      <c r="AD6" s="1253"/>
      <c r="AE6" s="1253"/>
      <c r="AF6" s="1253"/>
      <c r="AG6" s="1253"/>
    </row>
    <row r="7" spans="1:33" s="502" customFormat="1" ht="15.75" thickBot="1" x14ac:dyDescent="0.3">
      <c r="A7" s="713" t="s">
        <v>550</v>
      </c>
      <c r="B7" s="714" t="s">
        <v>551</v>
      </c>
      <c r="C7" s="55" t="s">
        <v>570</v>
      </c>
      <c r="D7" s="56" t="s">
        <v>623</v>
      </c>
      <c r="E7" s="184" t="s">
        <v>777</v>
      </c>
      <c r="F7" s="55" t="s">
        <v>571</v>
      </c>
      <c r="G7" s="56" t="s">
        <v>624</v>
      </c>
      <c r="H7" s="184" t="s">
        <v>778</v>
      </c>
      <c r="I7" s="55" t="s">
        <v>572</v>
      </c>
      <c r="J7" s="56" t="s">
        <v>625</v>
      </c>
      <c r="K7" s="184" t="s">
        <v>779</v>
      </c>
      <c r="L7" s="55" t="s">
        <v>573</v>
      </c>
      <c r="M7" s="56" t="s">
        <v>626</v>
      </c>
      <c r="N7" s="184" t="s">
        <v>780</v>
      </c>
      <c r="O7" s="55" t="s">
        <v>574</v>
      </c>
      <c r="P7" s="56" t="s">
        <v>627</v>
      </c>
      <c r="Q7" s="184" t="s">
        <v>781</v>
      </c>
      <c r="R7" s="55" t="s">
        <v>575</v>
      </c>
      <c r="S7" s="56" t="s">
        <v>628</v>
      </c>
      <c r="T7" s="184" t="s">
        <v>782</v>
      </c>
      <c r="U7" s="55" t="s">
        <v>576</v>
      </c>
      <c r="V7" s="56" t="s">
        <v>577</v>
      </c>
      <c r="W7" s="208" t="s">
        <v>578</v>
      </c>
      <c r="X7" s="186" t="s">
        <v>579</v>
      </c>
      <c r="Y7" s="83" t="s">
        <v>411</v>
      </c>
      <c r="Z7" s="55" t="s">
        <v>783</v>
      </c>
      <c r="AA7" s="185" t="s">
        <v>784</v>
      </c>
      <c r="AB7" s="185" t="s">
        <v>785</v>
      </c>
      <c r="AC7" s="747" t="s">
        <v>412</v>
      </c>
      <c r="AD7" s="747" t="s">
        <v>599</v>
      </c>
      <c r="AE7" s="835" t="s">
        <v>413</v>
      </c>
      <c r="AF7" s="747" t="s">
        <v>414</v>
      </c>
      <c r="AG7" s="184" t="s">
        <v>415</v>
      </c>
    </row>
    <row r="8" spans="1:33" x14ac:dyDescent="0.25">
      <c r="A8" s="161">
        <v>36708</v>
      </c>
      <c r="B8" s="162">
        <v>37072</v>
      </c>
      <c r="C8" s="18">
        <v>156.35000000000002</v>
      </c>
      <c r="D8" s="60">
        <v>0</v>
      </c>
      <c r="E8" s="92">
        <v>156.35000000000002</v>
      </c>
      <c r="F8" s="18">
        <v>187.95</v>
      </c>
      <c r="G8" s="60">
        <v>0</v>
      </c>
      <c r="H8" s="92">
        <v>187.95</v>
      </c>
      <c r="I8" s="18">
        <v>285.60000000000002</v>
      </c>
      <c r="J8" s="60">
        <v>0</v>
      </c>
      <c r="K8" s="92">
        <v>285.60000000000002</v>
      </c>
      <c r="L8" s="18">
        <v>285.60000000000002</v>
      </c>
      <c r="M8" s="60">
        <v>0</v>
      </c>
      <c r="N8" s="92">
        <v>285.60000000000002</v>
      </c>
      <c r="O8" s="18">
        <v>313.64999999999998</v>
      </c>
      <c r="P8" s="60">
        <v>0</v>
      </c>
      <c r="Q8" s="92">
        <v>313.64999999999998</v>
      </c>
      <c r="R8" s="18">
        <v>374.20000000000005</v>
      </c>
      <c r="S8" s="60">
        <v>0</v>
      </c>
      <c r="T8" s="92">
        <v>374.20000000000005</v>
      </c>
      <c r="U8" s="18">
        <v>236</v>
      </c>
      <c r="V8" s="60">
        <v>316</v>
      </c>
      <c r="W8" s="58">
        <v>0.5</v>
      </c>
      <c r="X8" s="57">
        <v>0.7</v>
      </c>
      <c r="Y8" s="18">
        <v>25</v>
      </c>
      <c r="Z8" s="18">
        <v>0</v>
      </c>
      <c r="AA8" s="60">
        <v>0</v>
      </c>
      <c r="AB8" s="18">
        <v>0</v>
      </c>
      <c r="AC8" s="10">
        <v>16</v>
      </c>
      <c r="AD8" s="10">
        <v>25</v>
      </c>
      <c r="AE8" s="100">
        <v>0.5</v>
      </c>
      <c r="AF8" s="92">
        <v>0.25</v>
      </c>
      <c r="AG8" s="60">
        <v>24769</v>
      </c>
    </row>
    <row r="9" spans="1:33" x14ac:dyDescent="0.25">
      <c r="A9" s="163">
        <v>37073</v>
      </c>
      <c r="B9" s="164">
        <v>37437</v>
      </c>
      <c r="C9" s="17">
        <v>161.94999999999999</v>
      </c>
      <c r="D9" s="35">
        <v>0</v>
      </c>
      <c r="E9" s="93">
        <v>161.94999999999999</v>
      </c>
      <c r="F9" s="17">
        <v>194.75</v>
      </c>
      <c r="G9" s="35">
        <v>0</v>
      </c>
      <c r="H9" s="93">
        <v>194.75</v>
      </c>
      <c r="I9" s="17">
        <v>295.89999999999998</v>
      </c>
      <c r="J9" s="35">
        <v>0</v>
      </c>
      <c r="K9" s="93">
        <v>295.89999999999998</v>
      </c>
      <c r="L9" s="17">
        <v>295.89999999999998</v>
      </c>
      <c r="M9" s="35">
        <v>0</v>
      </c>
      <c r="N9" s="93">
        <v>295.89999999999998</v>
      </c>
      <c r="O9" s="17">
        <v>324.95000000000005</v>
      </c>
      <c r="P9" s="35">
        <v>0</v>
      </c>
      <c r="Q9" s="93">
        <v>324.95000000000005</v>
      </c>
      <c r="R9" s="17">
        <v>387.70000000000005</v>
      </c>
      <c r="S9" s="35">
        <v>0</v>
      </c>
      <c r="T9" s="93">
        <v>387.70000000000005</v>
      </c>
      <c r="U9" s="17">
        <v>236</v>
      </c>
      <c r="V9" s="35">
        <v>316</v>
      </c>
      <c r="W9" s="62">
        <v>0.5</v>
      </c>
      <c r="X9" s="61">
        <v>0.7</v>
      </c>
      <c r="Y9" s="17">
        <v>25</v>
      </c>
      <c r="Z9" s="17">
        <v>0</v>
      </c>
      <c r="AA9" s="35">
        <v>0</v>
      </c>
      <c r="AB9" s="17">
        <v>0</v>
      </c>
      <c r="AC9" s="11">
        <v>16</v>
      </c>
      <c r="AD9" s="11">
        <v>25</v>
      </c>
      <c r="AE9" s="102">
        <v>0.5</v>
      </c>
      <c r="AF9" s="93">
        <v>0.25</v>
      </c>
      <c r="AG9" s="35">
        <v>25900</v>
      </c>
    </row>
    <row r="10" spans="1:33" x14ac:dyDescent="0.25">
      <c r="A10" s="163">
        <v>37438</v>
      </c>
      <c r="B10" s="164">
        <v>37802</v>
      </c>
      <c r="C10" s="17">
        <v>167.39999999999998</v>
      </c>
      <c r="D10" s="35">
        <v>0</v>
      </c>
      <c r="E10" s="93">
        <v>167.39999999999998</v>
      </c>
      <c r="F10" s="17">
        <v>201.39999999999998</v>
      </c>
      <c r="G10" s="35">
        <v>0</v>
      </c>
      <c r="H10" s="93">
        <v>201.39999999999998</v>
      </c>
      <c r="I10" s="17">
        <v>305.89999999999998</v>
      </c>
      <c r="J10" s="35">
        <v>0</v>
      </c>
      <c r="K10" s="93">
        <v>305.89999999999998</v>
      </c>
      <c r="L10" s="17">
        <v>305.89999999999998</v>
      </c>
      <c r="M10" s="35">
        <v>0</v>
      </c>
      <c r="N10" s="93">
        <v>305.89999999999998</v>
      </c>
      <c r="O10" s="17">
        <v>335.95000000000005</v>
      </c>
      <c r="P10" s="35">
        <v>0</v>
      </c>
      <c r="Q10" s="93">
        <v>335.95000000000005</v>
      </c>
      <c r="R10" s="17">
        <v>400.85</v>
      </c>
      <c r="S10" s="35">
        <v>0</v>
      </c>
      <c r="T10" s="93">
        <v>400.85</v>
      </c>
      <c r="U10" s="17">
        <v>236</v>
      </c>
      <c r="V10" s="35">
        <v>316</v>
      </c>
      <c r="W10" s="62">
        <v>0.5</v>
      </c>
      <c r="X10" s="61">
        <v>0.7</v>
      </c>
      <c r="Y10" s="17">
        <v>25</v>
      </c>
      <c r="Z10" s="17">
        <v>0</v>
      </c>
      <c r="AA10" s="35">
        <v>0</v>
      </c>
      <c r="AB10" s="17">
        <v>0</v>
      </c>
      <c r="AC10" s="11">
        <v>16</v>
      </c>
      <c r="AD10" s="11">
        <v>25</v>
      </c>
      <c r="AE10" s="102">
        <v>0.5</v>
      </c>
      <c r="AF10" s="93">
        <v>0.25</v>
      </c>
      <c r="AG10" s="35">
        <v>27025</v>
      </c>
    </row>
    <row r="11" spans="1:33" x14ac:dyDescent="0.25">
      <c r="A11" s="163">
        <v>37803</v>
      </c>
      <c r="B11" s="164">
        <v>38168</v>
      </c>
      <c r="C11" s="17">
        <v>172</v>
      </c>
      <c r="D11" s="35">
        <v>0</v>
      </c>
      <c r="E11" s="93">
        <v>172</v>
      </c>
      <c r="F11" s="17">
        <v>206.95</v>
      </c>
      <c r="G11" s="35">
        <v>0</v>
      </c>
      <c r="H11" s="93">
        <v>206.95</v>
      </c>
      <c r="I11" s="17">
        <v>314.3</v>
      </c>
      <c r="J11" s="35">
        <v>0</v>
      </c>
      <c r="K11" s="93">
        <v>314.3</v>
      </c>
      <c r="L11" s="17">
        <v>314.3</v>
      </c>
      <c r="M11" s="35">
        <v>0</v>
      </c>
      <c r="N11" s="93">
        <v>314.3</v>
      </c>
      <c r="O11" s="17">
        <v>345.20000000000005</v>
      </c>
      <c r="P11" s="35">
        <v>0</v>
      </c>
      <c r="Q11" s="93">
        <v>345.20000000000005</v>
      </c>
      <c r="R11" s="17">
        <v>411.9</v>
      </c>
      <c r="S11" s="35">
        <v>0</v>
      </c>
      <c r="T11" s="93">
        <v>411.9</v>
      </c>
      <c r="U11" s="17">
        <v>236</v>
      </c>
      <c r="V11" s="35">
        <v>316</v>
      </c>
      <c r="W11" s="62">
        <v>0.5</v>
      </c>
      <c r="X11" s="61">
        <v>0.7</v>
      </c>
      <c r="Y11" s="17">
        <v>25</v>
      </c>
      <c r="Z11" s="17">
        <v>0</v>
      </c>
      <c r="AA11" s="35">
        <v>0</v>
      </c>
      <c r="AB11" s="17">
        <v>0</v>
      </c>
      <c r="AC11" s="11">
        <v>16</v>
      </c>
      <c r="AD11" s="11">
        <v>25</v>
      </c>
      <c r="AE11" s="102">
        <v>0.5</v>
      </c>
      <c r="AF11" s="93">
        <v>0.25</v>
      </c>
      <c r="AG11" s="35">
        <v>27775</v>
      </c>
    </row>
    <row r="12" spans="1:33" x14ac:dyDescent="0.25">
      <c r="A12" s="163">
        <v>38169</v>
      </c>
      <c r="B12" s="164">
        <v>38533</v>
      </c>
      <c r="C12" s="17">
        <v>176.41851851851851</v>
      </c>
      <c r="D12" s="35">
        <v>0</v>
      </c>
      <c r="E12" s="93">
        <v>176.41851851851851</v>
      </c>
      <c r="F12" s="17">
        <v>212.2037037037037</v>
      </c>
      <c r="G12" s="35">
        <v>0</v>
      </c>
      <c r="H12" s="93">
        <v>212.2037037037037</v>
      </c>
      <c r="I12" s="17">
        <v>322.35185185185185</v>
      </c>
      <c r="J12" s="35">
        <v>0</v>
      </c>
      <c r="K12" s="93">
        <v>322.35185185185185</v>
      </c>
      <c r="L12" s="17">
        <v>322.35185185185185</v>
      </c>
      <c r="M12" s="35">
        <v>0</v>
      </c>
      <c r="N12" s="93">
        <v>322.35185185185185</v>
      </c>
      <c r="O12" s="17">
        <v>353.98888888888888</v>
      </c>
      <c r="P12" s="35">
        <v>0</v>
      </c>
      <c r="Q12" s="93">
        <v>353.98888888888888</v>
      </c>
      <c r="R12" s="17">
        <v>422.40740740740739</v>
      </c>
      <c r="S12" s="35">
        <v>0</v>
      </c>
      <c r="T12" s="93">
        <v>422.40740740740739</v>
      </c>
      <c r="U12" s="17">
        <v>236</v>
      </c>
      <c r="V12" s="35">
        <v>316</v>
      </c>
      <c r="W12" s="62">
        <v>0.5</v>
      </c>
      <c r="X12" s="61">
        <v>0.7</v>
      </c>
      <c r="Y12" s="17">
        <v>25</v>
      </c>
      <c r="Z12" s="17">
        <v>0</v>
      </c>
      <c r="AA12" s="35">
        <v>0</v>
      </c>
      <c r="AB12" s="17">
        <v>0</v>
      </c>
      <c r="AC12" s="11">
        <v>16</v>
      </c>
      <c r="AD12" s="11">
        <v>25</v>
      </c>
      <c r="AE12" s="102">
        <v>0.5</v>
      </c>
      <c r="AF12" s="93">
        <v>0.25</v>
      </c>
      <c r="AG12" s="35">
        <v>28487.037037037036</v>
      </c>
    </row>
    <row r="13" spans="1:33" x14ac:dyDescent="0.25">
      <c r="A13" s="163">
        <v>38534</v>
      </c>
      <c r="B13" s="164">
        <v>38898</v>
      </c>
      <c r="C13" s="17">
        <v>180.95</v>
      </c>
      <c r="D13" s="35">
        <v>0</v>
      </c>
      <c r="E13" s="93">
        <v>180.95</v>
      </c>
      <c r="F13" s="17">
        <v>217.60000000000002</v>
      </c>
      <c r="G13" s="35">
        <v>0</v>
      </c>
      <c r="H13" s="93">
        <v>217.60000000000002</v>
      </c>
      <c r="I13" s="17">
        <v>330.6</v>
      </c>
      <c r="J13" s="35">
        <v>0</v>
      </c>
      <c r="K13" s="93">
        <v>330.6</v>
      </c>
      <c r="L13" s="17">
        <v>330.6</v>
      </c>
      <c r="M13" s="35">
        <v>0</v>
      </c>
      <c r="N13" s="93">
        <v>330.6</v>
      </c>
      <c r="O13" s="17">
        <v>363</v>
      </c>
      <c r="P13" s="35">
        <v>0</v>
      </c>
      <c r="Q13" s="93">
        <v>363</v>
      </c>
      <c r="R13" s="17">
        <v>433.15</v>
      </c>
      <c r="S13" s="35">
        <v>0</v>
      </c>
      <c r="T13" s="93">
        <v>433.15</v>
      </c>
      <c r="U13" s="17">
        <v>236</v>
      </c>
      <c r="V13" s="35">
        <v>316</v>
      </c>
      <c r="W13" s="62">
        <v>0.5</v>
      </c>
      <c r="X13" s="61">
        <v>0.7</v>
      </c>
      <c r="Y13" s="17">
        <v>25</v>
      </c>
      <c r="Z13" s="17">
        <v>0</v>
      </c>
      <c r="AA13" s="35">
        <v>0</v>
      </c>
      <c r="AB13" s="17">
        <v>0</v>
      </c>
      <c r="AC13" s="11">
        <v>16</v>
      </c>
      <c r="AD13" s="11">
        <v>25</v>
      </c>
      <c r="AE13" s="102">
        <v>0.5</v>
      </c>
      <c r="AF13" s="93">
        <v>0.25</v>
      </c>
      <c r="AG13" s="35">
        <v>29200</v>
      </c>
    </row>
    <row r="14" spans="1:33" x14ac:dyDescent="0.25">
      <c r="A14" s="163">
        <v>38899</v>
      </c>
      <c r="B14" s="164">
        <v>39263</v>
      </c>
      <c r="C14" s="17">
        <v>186.85</v>
      </c>
      <c r="D14" s="35">
        <v>0</v>
      </c>
      <c r="E14" s="93">
        <v>186.85</v>
      </c>
      <c r="F14" s="17">
        <v>224.7</v>
      </c>
      <c r="G14" s="35">
        <v>0</v>
      </c>
      <c r="H14" s="93">
        <v>224.7</v>
      </c>
      <c r="I14" s="17">
        <v>341.4</v>
      </c>
      <c r="J14" s="35">
        <v>0</v>
      </c>
      <c r="K14" s="93">
        <v>341.4</v>
      </c>
      <c r="L14" s="17">
        <v>341.4</v>
      </c>
      <c r="M14" s="35">
        <v>0</v>
      </c>
      <c r="N14" s="93">
        <v>341.4</v>
      </c>
      <c r="O14" s="17">
        <v>374.85</v>
      </c>
      <c r="P14" s="35">
        <v>0</v>
      </c>
      <c r="Q14" s="93">
        <v>374.85</v>
      </c>
      <c r="R14" s="17">
        <v>447.25</v>
      </c>
      <c r="S14" s="35">
        <v>0</v>
      </c>
      <c r="T14" s="93">
        <v>447.25</v>
      </c>
      <c r="U14" s="17">
        <v>236</v>
      </c>
      <c r="V14" s="35">
        <v>316</v>
      </c>
      <c r="W14" s="62">
        <v>0.5</v>
      </c>
      <c r="X14" s="61">
        <v>0.6</v>
      </c>
      <c r="Y14" s="17">
        <v>25</v>
      </c>
      <c r="Z14" s="17">
        <v>0</v>
      </c>
      <c r="AA14" s="35">
        <v>0</v>
      </c>
      <c r="AB14" s="17">
        <v>0</v>
      </c>
      <c r="AC14" s="11">
        <v>16</v>
      </c>
      <c r="AD14" s="11">
        <v>25</v>
      </c>
      <c r="AE14" s="102">
        <v>0.5</v>
      </c>
      <c r="AF14" s="93">
        <v>0.25</v>
      </c>
      <c r="AG14" s="35">
        <v>30150</v>
      </c>
    </row>
    <row r="15" spans="1:33" x14ac:dyDescent="0.25">
      <c r="A15" s="163">
        <v>39264</v>
      </c>
      <c r="B15" s="164">
        <v>39629</v>
      </c>
      <c r="C15" s="17">
        <v>192.5</v>
      </c>
      <c r="D15" s="35">
        <v>0</v>
      </c>
      <c r="E15" s="93">
        <v>192.5</v>
      </c>
      <c r="F15" s="17">
        <v>231.5</v>
      </c>
      <c r="G15" s="35">
        <v>0</v>
      </c>
      <c r="H15" s="93">
        <v>231.5</v>
      </c>
      <c r="I15" s="17">
        <v>351.75</v>
      </c>
      <c r="J15" s="35">
        <v>0</v>
      </c>
      <c r="K15" s="93">
        <v>351.75</v>
      </c>
      <c r="L15" s="17">
        <v>351.75</v>
      </c>
      <c r="M15" s="35">
        <v>0</v>
      </c>
      <c r="N15" s="93">
        <v>351.75</v>
      </c>
      <c r="O15" s="17">
        <v>386.2</v>
      </c>
      <c r="P15" s="35">
        <v>0</v>
      </c>
      <c r="Q15" s="93">
        <v>386.2</v>
      </c>
      <c r="R15" s="17">
        <v>460.8</v>
      </c>
      <c r="S15" s="35">
        <v>0</v>
      </c>
      <c r="T15" s="93">
        <v>460.8</v>
      </c>
      <c r="U15" s="17">
        <v>236</v>
      </c>
      <c r="V15" s="35">
        <v>316</v>
      </c>
      <c r="W15" s="62">
        <v>0.5</v>
      </c>
      <c r="X15" s="61">
        <v>0.6</v>
      </c>
      <c r="Y15" s="17">
        <v>25</v>
      </c>
      <c r="Z15" s="17">
        <v>0</v>
      </c>
      <c r="AA15" s="35">
        <v>0</v>
      </c>
      <c r="AB15" s="17">
        <v>0</v>
      </c>
      <c r="AC15" s="11">
        <v>16</v>
      </c>
      <c r="AD15" s="11">
        <v>25</v>
      </c>
      <c r="AE15" s="102">
        <v>0.5</v>
      </c>
      <c r="AF15" s="93">
        <v>0.25</v>
      </c>
      <c r="AG15" s="35">
        <v>31075</v>
      </c>
    </row>
    <row r="16" spans="1:33" x14ac:dyDescent="0.25">
      <c r="A16" s="163">
        <v>39630</v>
      </c>
      <c r="B16" s="164">
        <v>39994</v>
      </c>
      <c r="C16" s="17">
        <v>198.9</v>
      </c>
      <c r="D16" s="35">
        <v>0</v>
      </c>
      <c r="E16" s="93">
        <v>198.9</v>
      </c>
      <c r="F16" s="17">
        <v>239.15</v>
      </c>
      <c r="G16" s="35">
        <v>0</v>
      </c>
      <c r="H16" s="93">
        <v>239.15</v>
      </c>
      <c r="I16" s="17">
        <v>363.4</v>
      </c>
      <c r="J16" s="35">
        <v>0</v>
      </c>
      <c r="K16" s="93">
        <v>363.4</v>
      </c>
      <c r="L16" s="17">
        <v>363.4</v>
      </c>
      <c r="M16" s="35">
        <v>0</v>
      </c>
      <c r="N16" s="93">
        <v>363.4</v>
      </c>
      <c r="O16" s="17">
        <v>399</v>
      </c>
      <c r="P16" s="35">
        <v>0</v>
      </c>
      <c r="Q16" s="93">
        <v>399</v>
      </c>
      <c r="R16" s="17">
        <v>476.1</v>
      </c>
      <c r="S16" s="35">
        <v>0</v>
      </c>
      <c r="T16" s="93">
        <v>476.1</v>
      </c>
      <c r="U16" s="17">
        <v>236</v>
      </c>
      <c r="V16" s="35">
        <v>316</v>
      </c>
      <c r="W16" s="62">
        <v>0.5</v>
      </c>
      <c r="X16" s="61">
        <v>0.6</v>
      </c>
      <c r="Y16" s="17">
        <v>25</v>
      </c>
      <c r="Z16" s="17">
        <v>0</v>
      </c>
      <c r="AA16" s="35">
        <v>0</v>
      </c>
      <c r="AB16" s="17">
        <v>0</v>
      </c>
      <c r="AC16" s="11">
        <v>16</v>
      </c>
      <c r="AD16" s="11">
        <v>25</v>
      </c>
      <c r="AE16" s="102">
        <v>0.5</v>
      </c>
      <c r="AF16" s="93">
        <v>0.25</v>
      </c>
      <c r="AG16" s="35">
        <v>32100</v>
      </c>
    </row>
    <row r="17" spans="1:33" x14ac:dyDescent="0.25">
      <c r="A17" s="163">
        <v>39995</v>
      </c>
      <c r="B17" s="164">
        <v>40359</v>
      </c>
      <c r="C17" s="17">
        <v>204.8</v>
      </c>
      <c r="D17" s="35">
        <v>0</v>
      </c>
      <c r="E17" s="93">
        <v>204.8</v>
      </c>
      <c r="F17" s="17">
        <v>246.25</v>
      </c>
      <c r="G17" s="35">
        <v>0</v>
      </c>
      <c r="H17" s="93">
        <v>246.25</v>
      </c>
      <c r="I17" s="17">
        <v>374.2</v>
      </c>
      <c r="J17" s="35">
        <v>0</v>
      </c>
      <c r="K17" s="93">
        <v>374.2</v>
      </c>
      <c r="L17" s="17">
        <v>374.2</v>
      </c>
      <c r="M17" s="35">
        <v>0</v>
      </c>
      <c r="N17" s="93">
        <v>374.2</v>
      </c>
      <c r="O17" s="17">
        <v>410.85</v>
      </c>
      <c r="P17" s="35">
        <v>0</v>
      </c>
      <c r="Q17" s="93">
        <v>410.85</v>
      </c>
      <c r="R17" s="17">
        <v>490.25</v>
      </c>
      <c r="S17" s="35">
        <v>0</v>
      </c>
      <c r="T17" s="93">
        <v>490.25</v>
      </c>
      <c r="U17" s="17">
        <v>236</v>
      </c>
      <c r="V17" s="35">
        <v>316</v>
      </c>
      <c r="W17" s="62">
        <v>0.5</v>
      </c>
      <c r="X17" s="61">
        <v>0.6</v>
      </c>
      <c r="Y17" s="17">
        <v>24.5</v>
      </c>
      <c r="Z17" s="17">
        <v>2000</v>
      </c>
      <c r="AA17" s="35">
        <v>500</v>
      </c>
      <c r="AB17" s="17">
        <v>500</v>
      </c>
      <c r="AC17" s="11">
        <v>16</v>
      </c>
      <c r="AD17" s="11">
        <v>25</v>
      </c>
      <c r="AE17" s="102">
        <v>0.5</v>
      </c>
      <c r="AF17" s="93">
        <v>0.22500000000000001</v>
      </c>
      <c r="AG17" s="35">
        <v>38482.5</v>
      </c>
    </row>
    <row r="18" spans="1:33" x14ac:dyDescent="0.25">
      <c r="A18" s="163">
        <v>40360</v>
      </c>
      <c r="B18" s="164">
        <v>40724</v>
      </c>
      <c r="C18" s="17">
        <v>209.5</v>
      </c>
      <c r="D18" s="35">
        <v>0</v>
      </c>
      <c r="E18" s="93">
        <v>209.5</v>
      </c>
      <c r="F18" s="17">
        <v>251.95</v>
      </c>
      <c r="G18" s="35">
        <v>0</v>
      </c>
      <c r="H18" s="93">
        <v>251.95</v>
      </c>
      <c r="I18" s="17">
        <v>382.85</v>
      </c>
      <c r="J18" s="35">
        <v>0</v>
      </c>
      <c r="K18" s="93">
        <v>382.85</v>
      </c>
      <c r="L18" s="17">
        <v>382.85</v>
      </c>
      <c r="M18" s="35">
        <v>0</v>
      </c>
      <c r="N18" s="93">
        <v>382.85</v>
      </c>
      <c r="O18" s="17">
        <v>420.29999999999995</v>
      </c>
      <c r="P18" s="35">
        <v>0</v>
      </c>
      <c r="Q18" s="93">
        <v>420.29999999999995</v>
      </c>
      <c r="R18" s="17">
        <v>501.54999999999995</v>
      </c>
      <c r="S18" s="35">
        <v>0</v>
      </c>
      <c r="T18" s="93">
        <v>501.54999999999995</v>
      </c>
      <c r="U18" s="17">
        <v>236</v>
      </c>
      <c r="V18" s="35">
        <v>316</v>
      </c>
      <c r="W18" s="62">
        <v>0.5</v>
      </c>
      <c r="X18" s="61">
        <v>0.6</v>
      </c>
      <c r="Y18" s="17">
        <v>23.5</v>
      </c>
      <c r="Z18" s="17">
        <v>4062</v>
      </c>
      <c r="AA18" s="35">
        <v>1015.5</v>
      </c>
      <c r="AB18" s="17">
        <v>1015.5</v>
      </c>
      <c r="AC18" s="11">
        <v>16</v>
      </c>
      <c r="AD18" s="11">
        <v>25</v>
      </c>
      <c r="AE18" s="102">
        <v>0.5</v>
      </c>
      <c r="AF18" s="93">
        <v>0.2</v>
      </c>
      <c r="AG18" s="35">
        <v>44639.5</v>
      </c>
    </row>
    <row r="19" spans="1:33" x14ac:dyDescent="0.25">
      <c r="A19" s="163">
        <v>40725</v>
      </c>
      <c r="B19" s="164">
        <v>41090</v>
      </c>
      <c r="C19" s="17">
        <v>216.55</v>
      </c>
      <c r="D19" s="35">
        <v>0</v>
      </c>
      <c r="E19" s="93">
        <v>216.55</v>
      </c>
      <c r="F19" s="17">
        <v>260.39999999999998</v>
      </c>
      <c r="G19" s="35">
        <v>0</v>
      </c>
      <c r="H19" s="93">
        <v>260.39999999999998</v>
      </c>
      <c r="I19" s="17">
        <v>395.7</v>
      </c>
      <c r="J19" s="35">
        <v>0</v>
      </c>
      <c r="K19" s="93">
        <v>395.7</v>
      </c>
      <c r="L19" s="17">
        <v>395.7</v>
      </c>
      <c r="M19" s="35">
        <v>0</v>
      </c>
      <c r="N19" s="93">
        <v>395.7</v>
      </c>
      <c r="O19" s="17">
        <v>434.4</v>
      </c>
      <c r="P19" s="35">
        <v>0</v>
      </c>
      <c r="Q19" s="93">
        <v>434.4</v>
      </c>
      <c r="R19" s="17">
        <v>518.35</v>
      </c>
      <c r="S19" s="35">
        <v>0</v>
      </c>
      <c r="T19" s="93">
        <v>518.35</v>
      </c>
      <c r="U19" s="17">
        <v>236</v>
      </c>
      <c r="V19" s="35">
        <v>316</v>
      </c>
      <c r="W19" s="62">
        <v>0.5</v>
      </c>
      <c r="X19" s="61">
        <v>0.6</v>
      </c>
      <c r="Y19" s="17">
        <v>22.5</v>
      </c>
      <c r="Z19" s="17">
        <v>4062</v>
      </c>
      <c r="AA19" s="35">
        <v>1515.5</v>
      </c>
      <c r="AB19" s="17">
        <v>1015.5</v>
      </c>
      <c r="AC19" s="11">
        <v>16</v>
      </c>
      <c r="AD19" s="11">
        <v>25</v>
      </c>
      <c r="AE19" s="102">
        <v>0.5</v>
      </c>
      <c r="AF19" s="93">
        <v>0.2</v>
      </c>
      <c r="AG19" s="35">
        <v>45734.5</v>
      </c>
    </row>
    <row r="20" spans="1:33" s="5" customFormat="1" x14ac:dyDescent="0.25">
      <c r="A20" s="496">
        <v>41091</v>
      </c>
      <c r="B20" s="497">
        <v>41455</v>
      </c>
      <c r="C20" s="375">
        <v>221.7</v>
      </c>
      <c r="D20" s="374">
        <v>0</v>
      </c>
      <c r="E20" s="373">
        <v>221.7</v>
      </c>
      <c r="F20" s="375">
        <v>266.60000000000002</v>
      </c>
      <c r="G20" s="374">
        <v>0</v>
      </c>
      <c r="H20" s="373">
        <v>266.60000000000002</v>
      </c>
      <c r="I20" s="375">
        <v>405.1</v>
      </c>
      <c r="J20" s="374">
        <v>0</v>
      </c>
      <c r="K20" s="373">
        <v>405.1</v>
      </c>
      <c r="L20" s="375">
        <v>405.1</v>
      </c>
      <c r="M20" s="374">
        <v>0</v>
      </c>
      <c r="N20" s="373">
        <v>405.1</v>
      </c>
      <c r="O20" s="375">
        <v>444.75</v>
      </c>
      <c r="P20" s="374">
        <v>0</v>
      </c>
      <c r="Q20" s="373">
        <v>444.75</v>
      </c>
      <c r="R20" s="375">
        <v>530.65</v>
      </c>
      <c r="S20" s="374">
        <v>0</v>
      </c>
      <c r="T20" s="373">
        <v>530.65</v>
      </c>
      <c r="U20" s="375">
        <v>402.5</v>
      </c>
      <c r="V20" s="374">
        <v>483</v>
      </c>
      <c r="W20" s="403">
        <v>0.5</v>
      </c>
      <c r="X20" s="377">
        <v>0.6</v>
      </c>
      <c r="Y20" s="375">
        <v>22</v>
      </c>
      <c r="Z20" s="375">
        <v>4024</v>
      </c>
      <c r="AA20" s="374">
        <v>2012</v>
      </c>
      <c r="AB20" s="375">
        <v>1006</v>
      </c>
      <c r="AC20" s="406">
        <v>16</v>
      </c>
      <c r="AD20" s="11">
        <v>25</v>
      </c>
      <c r="AE20" s="376">
        <v>0.5</v>
      </c>
      <c r="AF20" s="373">
        <v>0.2</v>
      </c>
      <c r="AG20" s="374">
        <v>47085</v>
      </c>
    </row>
    <row r="21" spans="1:33" s="5" customFormat="1" x14ac:dyDescent="0.25">
      <c r="A21" s="496">
        <v>41456</v>
      </c>
      <c r="B21" s="497">
        <v>41820</v>
      </c>
      <c r="C21" s="375">
        <v>224.9</v>
      </c>
      <c r="D21" s="374">
        <v>1.95</v>
      </c>
      <c r="E21" s="373">
        <v>226.85</v>
      </c>
      <c r="F21" s="375">
        <v>270.5</v>
      </c>
      <c r="G21" s="374">
        <v>2.2999999999999998</v>
      </c>
      <c r="H21" s="373">
        <v>272.79999999999995</v>
      </c>
      <c r="I21" s="375">
        <v>410.95</v>
      </c>
      <c r="J21" s="374">
        <v>3.5</v>
      </c>
      <c r="K21" s="373">
        <v>414.45</v>
      </c>
      <c r="L21" s="375">
        <v>410.95</v>
      </c>
      <c r="M21" s="374">
        <v>3.5</v>
      </c>
      <c r="N21" s="373">
        <v>414.45</v>
      </c>
      <c r="O21" s="375">
        <v>451.2</v>
      </c>
      <c r="P21" s="374">
        <v>3.85</v>
      </c>
      <c r="Q21" s="373">
        <v>455.04999999999995</v>
      </c>
      <c r="R21" s="375">
        <v>538.34999999999991</v>
      </c>
      <c r="S21" s="374">
        <v>4.5999999999999996</v>
      </c>
      <c r="T21" s="373">
        <v>542.95000000000005</v>
      </c>
      <c r="U21" s="375">
        <v>410</v>
      </c>
      <c r="V21" s="374">
        <v>492</v>
      </c>
      <c r="W21" s="403">
        <v>0.5</v>
      </c>
      <c r="X21" s="377">
        <v>0.6</v>
      </c>
      <c r="Y21" s="375">
        <v>22</v>
      </c>
      <c r="Z21" s="375">
        <v>4096.5</v>
      </c>
      <c r="AA21" s="374">
        <v>2048.5</v>
      </c>
      <c r="AB21" s="375">
        <v>1024</v>
      </c>
      <c r="AC21" s="406">
        <v>16</v>
      </c>
      <c r="AD21" s="406">
        <v>25</v>
      </c>
      <c r="AE21" s="376">
        <v>0.5</v>
      </c>
      <c r="AF21" s="373">
        <v>0.2</v>
      </c>
      <c r="AG21" s="374">
        <v>48326</v>
      </c>
    </row>
    <row r="22" spans="1:33" x14ac:dyDescent="0.25">
      <c r="A22" s="496">
        <v>41821</v>
      </c>
      <c r="B22" s="497">
        <v>42185</v>
      </c>
      <c r="C22" s="375">
        <v>230.2</v>
      </c>
      <c r="D22" s="374">
        <v>3.9</v>
      </c>
      <c r="E22" s="373">
        <v>234.1</v>
      </c>
      <c r="F22" s="375">
        <v>276.89999999999998</v>
      </c>
      <c r="G22" s="374">
        <v>4.5999999999999996</v>
      </c>
      <c r="H22" s="373">
        <v>281.5</v>
      </c>
      <c r="I22" s="375">
        <v>420.6</v>
      </c>
      <c r="J22" s="374">
        <v>7</v>
      </c>
      <c r="K22" s="373">
        <v>427.6</v>
      </c>
      <c r="L22" s="375">
        <v>420.6</v>
      </c>
      <c r="M22" s="374">
        <v>7</v>
      </c>
      <c r="N22" s="373">
        <v>427.6</v>
      </c>
      <c r="O22" s="375">
        <v>461.85</v>
      </c>
      <c r="P22" s="374">
        <v>7.7</v>
      </c>
      <c r="Q22" s="373">
        <v>469.54999999999995</v>
      </c>
      <c r="R22" s="375">
        <v>551.04999999999995</v>
      </c>
      <c r="S22" s="374">
        <v>9.1999999999999993</v>
      </c>
      <c r="T22" s="373">
        <v>560.25</v>
      </c>
      <c r="U22" s="375">
        <v>421</v>
      </c>
      <c r="V22" s="374">
        <v>505</v>
      </c>
      <c r="W22" s="403">
        <v>0.5</v>
      </c>
      <c r="X22" s="377">
        <v>0.6</v>
      </c>
      <c r="Y22" s="375">
        <v>22</v>
      </c>
      <c r="Z22" s="375">
        <v>4207</v>
      </c>
      <c r="AA22" s="374">
        <v>2104</v>
      </c>
      <c r="AB22" s="375">
        <v>1051.5</v>
      </c>
      <c r="AC22" s="406">
        <v>16</v>
      </c>
      <c r="AD22" s="406">
        <v>25</v>
      </c>
      <c r="AE22" s="376">
        <v>0.5</v>
      </c>
      <c r="AF22" s="373">
        <v>0.2</v>
      </c>
      <c r="AG22" s="374">
        <v>49494</v>
      </c>
    </row>
    <row r="23" spans="1:33" s="5" customFormat="1" x14ac:dyDescent="0.25">
      <c r="A23" s="496">
        <v>42186</v>
      </c>
      <c r="B23" s="497">
        <v>42551</v>
      </c>
      <c r="C23" s="375">
        <v>235.28518518518518</v>
      </c>
      <c r="D23" s="374">
        <v>3.9</v>
      </c>
      <c r="E23" s="373">
        <v>239.18518518518519</v>
      </c>
      <c r="F23" s="375">
        <v>283.02222222222224</v>
      </c>
      <c r="G23" s="374">
        <v>4.5999999999999996</v>
      </c>
      <c r="H23" s="373">
        <v>287.62222222222226</v>
      </c>
      <c r="I23" s="375">
        <v>429.8814814814815</v>
      </c>
      <c r="J23" s="374">
        <v>7</v>
      </c>
      <c r="K23" s="373">
        <v>436.8814814814815</v>
      </c>
      <c r="L23" s="375">
        <v>429.8814814814815</v>
      </c>
      <c r="M23" s="374">
        <v>7</v>
      </c>
      <c r="N23" s="373">
        <v>436.8814814814815</v>
      </c>
      <c r="O23" s="375">
        <v>472.07037037037037</v>
      </c>
      <c r="P23" s="374">
        <v>7.7</v>
      </c>
      <c r="Q23" s="373">
        <v>479.77037037037036</v>
      </c>
      <c r="R23" s="375">
        <v>563.24444444444453</v>
      </c>
      <c r="S23" s="374">
        <v>9.1999999999999993</v>
      </c>
      <c r="T23" s="373">
        <v>572.44444444444446</v>
      </c>
      <c r="U23" s="375">
        <v>429.88888888888891</v>
      </c>
      <c r="V23" s="374">
        <v>515.37037037037032</v>
      </c>
      <c r="W23" s="403">
        <v>0.5</v>
      </c>
      <c r="X23" s="377">
        <v>0.6</v>
      </c>
      <c r="Y23" s="375">
        <v>22</v>
      </c>
      <c r="Z23" s="375">
        <v>4299.8148148148148</v>
      </c>
      <c r="AA23" s="374">
        <v>2150.4074074074074</v>
      </c>
      <c r="AB23" s="375">
        <v>1074.7037037037037</v>
      </c>
      <c r="AC23" s="1014">
        <v>16</v>
      </c>
      <c r="AD23" s="1014">
        <v>25</v>
      </c>
      <c r="AE23" s="376">
        <v>0.5</v>
      </c>
      <c r="AF23" s="373">
        <v>0.2</v>
      </c>
      <c r="AG23" s="374">
        <v>50572.777777777781</v>
      </c>
    </row>
    <row r="24" spans="1:33" s="5" customFormat="1" x14ac:dyDescent="0.25">
      <c r="A24" s="496">
        <v>42552</v>
      </c>
      <c r="B24" s="497">
        <v>42916</v>
      </c>
      <c r="C24" s="375">
        <f t="shared" ref="C24:L27" si="0">AnnualAverage($A24,C$7,YouthStudentsParms,YouthStudentsDates,YouthStudentsNames)</f>
        <v>238.3</v>
      </c>
      <c r="D24" s="374">
        <f t="shared" si="0"/>
        <v>3.9</v>
      </c>
      <c r="E24" s="373">
        <f t="shared" si="0"/>
        <v>242.2</v>
      </c>
      <c r="F24" s="375">
        <f t="shared" si="0"/>
        <v>286.64999999999998</v>
      </c>
      <c r="G24" s="374">
        <f t="shared" si="0"/>
        <v>4.5999999999999996</v>
      </c>
      <c r="H24" s="373">
        <f t="shared" si="0"/>
        <v>291.25</v>
      </c>
      <c r="I24" s="375">
        <f t="shared" si="0"/>
        <v>435.35</v>
      </c>
      <c r="J24" s="374">
        <f t="shared" si="0"/>
        <v>7</v>
      </c>
      <c r="K24" s="373">
        <f t="shared" si="0"/>
        <v>442.35</v>
      </c>
      <c r="L24" s="375">
        <f t="shared" si="0"/>
        <v>435.35</v>
      </c>
      <c r="M24" s="374">
        <f t="shared" ref="M24:V27" si="1">AnnualAverage($A24,M$7,YouthStudentsParms,YouthStudentsDates,YouthStudentsNames)</f>
        <v>7</v>
      </c>
      <c r="N24" s="373">
        <f t="shared" si="1"/>
        <v>442.35</v>
      </c>
      <c r="O24" s="375">
        <f t="shared" si="1"/>
        <v>478.1</v>
      </c>
      <c r="P24" s="374">
        <f t="shared" si="1"/>
        <v>7.7</v>
      </c>
      <c r="Q24" s="373">
        <f t="shared" si="1"/>
        <v>485.79999999999995</v>
      </c>
      <c r="R24" s="375">
        <f t="shared" si="1"/>
        <v>570.45000000000005</v>
      </c>
      <c r="S24" s="374">
        <f t="shared" si="1"/>
        <v>9.1999999999999993</v>
      </c>
      <c r="T24" s="373">
        <f t="shared" si="1"/>
        <v>579.65</v>
      </c>
      <c r="U24" s="375">
        <f t="shared" si="1"/>
        <v>435</v>
      </c>
      <c r="V24" s="374">
        <f t="shared" si="1"/>
        <v>521.5</v>
      </c>
      <c r="W24" s="403">
        <f t="shared" ref="W24:AG27" si="2">AnnualAverage($A24,W$7,YouthStudentsParms,YouthStudentsDates,YouthStudentsNames)</f>
        <v>0.5</v>
      </c>
      <c r="X24" s="377">
        <f t="shared" si="2"/>
        <v>0.6</v>
      </c>
      <c r="Y24" s="375">
        <f t="shared" si="2"/>
        <v>22</v>
      </c>
      <c r="Z24" s="375">
        <f t="shared" si="2"/>
        <v>4354.5</v>
      </c>
      <c r="AA24" s="374">
        <f t="shared" si="2"/>
        <v>2178</v>
      </c>
      <c r="AB24" s="375">
        <f t="shared" si="2"/>
        <v>1088.5</v>
      </c>
      <c r="AC24" s="406">
        <f t="shared" si="2"/>
        <v>16</v>
      </c>
      <c r="AD24" s="406">
        <f t="shared" si="2"/>
        <v>25</v>
      </c>
      <c r="AE24" s="376">
        <f t="shared" si="2"/>
        <v>0.5</v>
      </c>
      <c r="AF24" s="373">
        <f t="shared" si="2"/>
        <v>0.2</v>
      </c>
      <c r="AG24" s="374">
        <f>AnnualAverage($A24,AG$7,YouthStudentsParms,YouthStudentsDates,YouthStudentsNames)</f>
        <v>51465</v>
      </c>
    </row>
    <row r="25" spans="1:33" x14ac:dyDescent="0.25">
      <c r="A25" s="165">
        <v>42917</v>
      </c>
      <c r="B25" s="166">
        <v>43281</v>
      </c>
      <c r="C25" s="33">
        <f t="shared" si="0"/>
        <v>241.8</v>
      </c>
      <c r="D25" s="75">
        <f t="shared" si="0"/>
        <v>3.9</v>
      </c>
      <c r="E25" s="107">
        <f t="shared" si="0"/>
        <v>245.7</v>
      </c>
      <c r="F25" s="33">
        <f t="shared" si="0"/>
        <v>290.85000000000002</v>
      </c>
      <c r="G25" s="75">
        <f t="shared" si="0"/>
        <v>4.5999999999999996</v>
      </c>
      <c r="H25" s="107">
        <f t="shared" si="0"/>
        <v>295.45</v>
      </c>
      <c r="I25" s="33">
        <f t="shared" si="0"/>
        <v>441.65</v>
      </c>
      <c r="J25" s="75">
        <f t="shared" si="0"/>
        <v>7</v>
      </c>
      <c r="K25" s="107">
        <f t="shared" si="0"/>
        <v>448.65</v>
      </c>
      <c r="L25" s="33">
        <f t="shared" si="0"/>
        <v>441.65</v>
      </c>
      <c r="M25" s="75">
        <f t="shared" si="1"/>
        <v>7</v>
      </c>
      <c r="N25" s="107">
        <f t="shared" si="1"/>
        <v>448.65</v>
      </c>
      <c r="O25" s="33">
        <f t="shared" si="1"/>
        <v>485.05</v>
      </c>
      <c r="P25" s="75">
        <f t="shared" si="1"/>
        <v>7.7</v>
      </c>
      <c r="Q25" s="107">
        <f t="shared" si="1"/>
        <v>492.75</v>
      </c>
      <c r="R25" s="33">
        <f t="shared" si="1"/>
        <v>578.75</v>
      </c>
      <c r="S25" s="75">
        <f t="shared" si="1"/>
        <v>9.1999999999999993</v>
      </c>
      <c r="T25" s="107">
        <f t="shared" si="1"/>
        <v>587.95000000000005</v>
      </c>
      <c r="U25" s="33">
        <f t="shared" si="1"/>
        <v>437</v>
      </c>
      <c r="V25" s="75">
        <f t="shared" si="1"/>
        <v>524</v>
      </c>
      <c r="W25" s="106">
        <f t="shared" si="2"/>
        <v>0.5</v>
      </c>
      <c r="X25" s="104">
        <f t="shared" si="2"/>
        <v>0.6</v>
      </c>
      <c r="Y25" s="33">
        <f t="shared" si="2"/>
        <v>22</v>
      </c>
      <c r="Z25" s="33">
        <f t="shared" si="2"/>
        <v>4417.5</v>
      </c>
      <c r="AA25" s="75">
        <f t="shared" si="2"/>
        <v>2210</v>
      </c>
      <c r="AB25" s="33">
        <f t="shared" si="2"/>
        <v>1104.5</v>
      </c>
      <c r="AC25" s="31">
        <f t="shared" si="2"/>
        <v>16</v>
      </c>
      <c r="AD25" s="31">
        <f t="shared" si="2"/>
        <v>25</v>
      </c>
      <c r="AE25" s="105">
        <f t="shared" si="2"/>
        <v>0.5</v>
      </c>
      <c r="AF25" s="107">
        <f t="shared" si="2"/>
        <v>0.2</v>
      </c>
      <c r="AG25" s="75">
        <f t="shared" si="2"/>
        <v>52304.5</v>
      </c>
    </row>
    <row r="26" spans="1:33" x14ac:dyDescent="0.25">
      <c r="A26" s="165">
        <v>43282</v>
      </c>
      <c r="B26" s="166">
        <v>43646</v>
      </c>
      <c r="C26" s="33">
        <f t="shared" si="0"/>
        <v>246.55</v>
      </c>
      <c r="D26" s="75">
        <f t="shared" si="0"/>
        <v>3.9</v>
      </c>
      <c r="E26" s="107">
        <f t="shared" si="0"/>
        <v>250.45</v>
      </c>
      <c r="F26" s="33">
        <f t="shared" si="0"/>
        <v>296.55</v>
      </c>
      <c r="G26" s="75">
        <f t="shared" si="0"/>
        <v>4.5999999999999996</v>
      </c>
      <c r="H26" s="107">
        <f t="shared" si="0"/>
        <v>301.14999999999998</v>
      </c>
      <c r="I26" s="33">
        <f t="shared" si="0"/>
        <v>450.25</v>
      </c>
      <c r="J26" s="75">
        <f t="shared" si="0"/>
        <v>7</v>
      </c>
      <c r="K26" s="107">
        <f t="shared" si="0"/>
        <v>457.25</v>
      </c>
      <c r="L26" s="33">
        <f t="shared" si="0"/>
        <v>450.25</v>
      </c>
      <c r="M26" s="75">
        <f t="shared" si="1"/>
        <v>7</v>
      </c>
      <c r="N26" s="107">
        <f t="shared" si="1"/>
        <v>457.25</v>
      </c>
      <c r="O26" s="33">
        <f t="shared" si="1"/>
        <v>494.5</v>
      </c>
      <c r="P26" s="75">
        <f t="shared" si="1"/>
        <v>7.7</v>
      </c>
      <c r="Q26" s="107">
        <f t="shared" si="1"/>
        <v>502.20000000000005</v>
      </c>
      <c r="R26" s="33">
        <f t="shared" si="1"/>
        <v>590.04999999999995</v>
      </c>
      <c r="S26" s="75">
        <f t="shared" si="1"/>
        <v>9.1999999999999993</v>
      </c>
      <c r="T26" s="107">
        <f t="shared" si="1"/>
        <v>599.25</v>
      </c>
      <c r="U26" s="33">
        <f t="shared" si="1"/>
        <v>437</v>
      </c>
      <c r="V26" s="75">
        <f t="shared" si="1"/>
        <v>524</v>
      </c>
      <c r="W26" s="106">
        <f t="shared" si="2"/>
        <v>0.5</v>
      </c>
      <c r="X26" s="104">
        <f t="shared" si="2"/>
        <v>0.6</v>
      </c>
      <c r="Y26" s="33">
        <f t="shared" si="2"/>
        <v>22</v>
      </c>
      <c r="Z26" s="33">
        <f t="shared" si="2"/>
        <v>4503.5</v>
      </c>
      <c r="AA26" s="75">
        <f t="shared" si="2"/>
        <v>2253.5</v>
      </c>
      <c r="AB26" s="33">
        <f t="shared" si="2"/>
        <v>1126</v>
      </c>
      <c r="AC26" s="31">
        <f t="shared" si="2"/>
        <v>16</v>
      </c>
      <c r="AD26" s="31">
        <f t="shared" si="2"/>
        <v>25</v>
      </c>
      <c r="AE26" s="105">
        <f t="shared" si="2"/>
        <v>0.5</v>
      </c>
      <c r="AF26" s="107">
        <f t="shared" si="2"/>
        <v>0.2</v>
      </c>
      <c r="AG26" s="75">
        <f t="shared" si="2"/>
        <v>53144</v>
      </c>
    </row>
    <row r="27" spans="1:33" x14ac:dyDescent="0.25">
      <c r="A27" s="165">
        <v>43647</v>
      </c>
      <c r="B27" s="166">
        <v>44012</v>
      </c>
      <c r="C27" s="33">
        <f t="shared" si="0"/>
        <v>251.75</v>
      </c>
      <c r="D27" s="75">
        <f t="shared" si="0"/>
        <v>3.9</v>
      </c>
      <c r="E27" s="107">
        <f t="shared" si="0"/>
        <v>255.64999999999998</v>
      </c>
      <c r="F27" s="33">
        <f t="shared" si="0"/>
        <v>302.8</v>
      </c>
      <c r="G27" s="75">
        <f t="shared" si="0"/>
        <v>4.5999999999999996</v>
      </c>
      <c r="H27" s="107">
        <f t="shared" si="0"/>
        <v>307.39999999999998</v>
      </c>
      <c r="I27" s="33">
        <f t="shared" si="0"/>
        <v>459.7</v>
      </c>
      <c r="J27" s="75">
        <f t="shared" si="0"/>
        <v>7</v>
      </c>
      <c r="K27" s="107">
        <f t="shared" si="0"/>
        <v>466.7</v>
      </c>
      <c r="L27" s="33">
        <f t="shared" si="0"/>
        <v>459.7</v>
      </c>
      <c r="M27" s="75">
        <f t="shared" si="1"/>
        <v>7</v>
      </c>
      <c r="N27" s="107">
        <f t="shared" si="1"/>
        <v>466.7</v>
      </c>
      <c r="O27" s="33">
        <f t="shared" si="1"/>
        <v>504.9</v>
      </c>
      <c r="P27" s="75">
        <f t="shared" si="1"/>
        <v>7.7</v>
      </c>
      <c r="Q27" s="107">
        <f t="shared" si="1"/>
        <v>512.6</v>
      </c>
      <c r="R27" s="33">
        <f t="shared" si="1"/>
        <v>602.45000000000005</v>
      </c>
      <c r="S27" s="75">
        <f t="shared" si="1"/>
        <v>9.1999999999999993</v>
      </c>
      <c r="T27" s="107">
        <f t="shared" si="1"/>
        <v>611.65000000000009</v>
      </c>
      <c r="U27" s="33">
        <f t="shared" si="1"/>
        <v>437</v>
      </c>
      <c r="V27" s="75">
        <f t="shared" si="1"/>
        <v>524</v>
      </c>
      <c r="W27" s="106">
        <f t="shared" si="2"/>
        <v>0.5</v>
      </c>
      <c r="X27" s="104">
        <f t="shared" si="2"/>
        <v>0.6</v>
      </c>
      <c r="Y27" s="33">
        <f t="shared" si="2"/>
        <v>22</v>
      </c>
      <c r="Z27" s="33">
        <f t="shared" si="2"/>
        <v>4598</v>
      </c>
      <c r="AA27" s="75">
        <f t="shared" si="2"/>
        <v>2301</v>
      </c>
      <c r="AB27" s="33">
        <f t="shared" si="2"/>
        <v>1149.5</v>
      </c>
      <c r="AC27" s="31">
        <f t="shared" si="2"/>
        <v>16</v>
      </c>
      <c r="AD27" s="31">
        <f t="shared" si="2"/>
        <v>25</v>
      </c>
      <c r="AE27" s="105">
        <f t="shared" si="2"/>
        <v>0.5</v>
      </c>
      <c r="AF27" s="107">
        <f t="shared" si="2"/>
        <v>0.2</v>
      </c>
      <c r="AG27" s="75">
        <f t="shared" si="2"/>
        <v>54129.5</v>
      </c>
    </row>
    <row r="28" spans="1:33" x14ac:dyDescent="0.25">
      <c r="A28" s="165">
        <v>44013</v>
      </c>
      <c r="B28" s="166">
        <v>44377</v>
      </c>
      <c r="C28" s="33">
        <f t="shared" ref="C28:L28" si="3">AnnualAverage($A28,C$7,YouthStudentsParms,YouthStudentsDates,YouthStudentsNames)</f>
        <v>257.7</v>
      </c>
      <c r="D28" s="75">
        <f t="shared" si="3"/>
        <v>3.9</v>
      </c>
      <c r="E28" s="107">
        <f t="shared" si="3"/>
        <v>261.60000000000002</v>
      </c>
      <c r="F28" s="33">
        <f t="shared" si="3"/>
        <v>309.95000000000005</v>
      </c>
      <c r="G28" s="75">
        <f t="shared" si="3"/>
        <v>4.5999999999999996</v>
      </c>
      <c r="H28" s="107">
        <f t="shared" si="3"/>
        <v>314.54999999999995</v>
      </c>
      <c r="I28" s="33">
        <f t="shared" si="3"/>
        <v>470.5</v>
      </c>
      <c r="J28" s="75">
        <f t="shared" si="3"/>
        <v>7</v>
      </c>
      <c r="K28" s="107">
        <f t="shared" si="3"/>
        <v>477.5</v>
      </c>
      <c r="L28" s="33">
        <f t="shared" si="3"/>
        <v>470.5</v>
      </c>
      <c r="M28" s="75">
        <f t="shared" ref="M28:V28" si="4">AnnualAverage($A28,M$7,YouthStudentsParms,YouthStudentsDates,YouthStudentsNames)</f>
        <v>7</v>
      </c>
      <c r="N28" s="107">
        <f t="shared" si="4"/>
        <v>477.5</v>
      </c>
      <c r="O28" s="33">
        <f t="shared" si="4"/>
        <v>516.79999999999995</v>
      </c>
      <c r="P28" s="75">
        <f t="shared" si="4"/>
        <v>7.7</v>
      </c>
      <c r="Q28" s="107">
        <f t="shared" si="4"/>
        <v>524.5</v>
      </c>
      <c r="R28" s="33">
        <f t="shared" si="4"/>
        <v>616.6</v>
      </c>
      <c r="S28" s="75">
        <f t="shared" si="4"/>
        <v>9.1999999999999993</v>
      </c>
      <c r="T28" s="107">
        <f t="shared" si="4"/>
        <v>625.79999999999995</v>
      </c>
      <c r="U28" s="33">
        <f t="shared" si="4"/>
        <v>442.5</v>
      </c>
      <c r="V28" s="75">
        <f t="shared" si="4"/>
        <v>530.5</v>
      </c>
      <c r="W28" s="106">
        <f t="shared" ref="W28:AG28" si="5">AnnualAverage($A28,W$7,YouthStudentsParms,YouthStudentsDates,YouthStudentsNames)</f>
        <v>0.5</v>
      </c>
      <c r="X28" s="104">
        <f t="shared" si="5"/>
        <v>0.6</v>
      </c>
      <c r="Y28" s="33">
        <f t="shared" si="5"/>
        <v>22</v>
      </c>
      <c r="Z28" s="33">
        <f t="shared" si="5"/>
        <v>4706</v>
      </c>
      <c r="AA28" s="75">
        <f t="shared" si="5"/>
        <v>2355</v>
      </c>
      <c r="AB28" s="33">
        <f t="shared" si="5"/>
        <v>1176.5</v>
      </c>
      <c r="AC28" s="31">
        <f t="shared" si="5"/>
        <v>16</v>
      </c>
      <c r="AD28" s="31">
        <f t="shared" si="5"/>
        <v>25</v>
      </c>
      <c r="AE28" s="105">
        <f t="shared" si="5"/>
        <v>0.5</v>
      </c>
      <c r="AF28" s="107">
        <f t="shared" si="5"/>
        <v>0.2</v>
      </c>
      <c r="AG28" s="75">
        <f t="shared" si="5"/>
        <v>55334</v>
      </c>
    </row>
  </sheetData>
  <customSheetViews>
    <customSheetView guid="{E49C2F27-B0B9-497E-BEC0-5B59561292FE}" scale="85" topLeftCell="U1">
      <selection activeCell="AG23" sqref="AG23"/>
      <pageMargins left="0.7" right="0.7" top="0.75" bottom="0.75" header="0.3" footer="0.3"/>
    </customSheetView>
    <customSheetView guid="{A5953138-1481-4137-BEAD-32FA4FDF03E6}" scale="85" topLeftCell="U1">
      <selection activeCell="AG23" sqref="AG23"/>
      <pageMargins left="0.7" right="0.7" top="0.75" bottom="0.75" header="0.3" footer="0.3"/>
    </customSheetView>
    <customSheetView guid="{2A1F94CA-1A34-4418-88FD-EABF7586C2B2}" scale="85" topLeftCell="U1">
      <selection activeCell="AG23" sqref="AG23"/>
      <pageMargins left="0.7" right="0.7" top="0.75" bottom="0.75" header="0.3" footer="0.3"/>
    </customSheetView>
  </customSheetViews>
  <mergeCells count="38">
    <mergeCell ref="C5:D5"/>
    <mergeCell ref="F5:G5"/>
    <mergeCell ref="I5:J5"/>
    <mergeCell ref="U4:V5"/>
    <mergeCell ref="H4:H6"/>
    <mergeCell ref="K5:K6"/>
    <mergeCell ref="L5:M5"/>
    <mergeCell ref="N5:N6"/>
    <mergeCell ref="O5:P5"/>
    <mergeCell ref="A4:A6"/>
    <mergeCell ref="B4:B6"/>
    <mergeCell ref="U2:X3"/>
    <mergeCell ref="R5:S5"/>
    <mergeCell ref="T5:T6"/>
    <mergeCell ref="A1:B3"/>
    <mergeCell ref="C1:T2"/>
    <mergeCell ref="C3:H3"/>
    <mergeCell ref="I3:K4"/>
    <mergeCell ref="L3:N4"/>
    <mergeCell ref="O3:Q4"/>
    <mergeCell ref="R3:T4"/>
    <mergeCell ref="C4:D4"/>
    <mergeCell ref="E4:E6"/>
    <mergeCell ref="F4:G4"/>
    <mergeCell ref="Q5:Q6"/>
    <mergeCell ref="U1:X1"/>
    <mergeCell ref="Y1:AB1"/>
    <mergeCell ref="Z2:AB4"/>
    <mergeCell ref="Y3:Y6"/>
    <mergeCell ref="Z5:Z6"/>
    <mergeCell ref="AA5:AA6"/>
    <mergeCell ref="AB5:AB6"/>
    <mergeCell ref="W4:X5"/>
    <mergeCell ref="AC1:AC6"/>
    <mergeCell ref="AD1:AD6"/>
    <mergeCell ref="AE1:AE6"/>
    <mergeCell ref="AF1:AF6"/>
    <mergeCell ref="AG1:AG6"/>
  </mergeCells>
  <pageMargins left="0.7" right="0.7" top="0.75" bottom="0.75" header="0.3" footer="0.3"/>
  <legacyDrawing r:id="rId1"/>
</worksheet>
</file>

<file path=xl/worksheets/sheet2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sheetPr codeName="Sheet15">
    <tabColor rgb="FF00B0F0"/>
  </sheetPr>
  <dimension ref="A1:Z91"/>
  <sheetViews>
    <sheetView zoomScale="90" workbookViewId="0">
      <pane xSplit="2" ySplit="7" topLeftCell="I55" activePane="bottomRight" state="frozen"/>
      <selection pane="topRight" activeCell="C1" sqref="C1"/>
      <selection pane="bottomLeft" activeCell="A8" sqref="A8"/>
      <selection pane="bottomRight" activeCell="Y59" sqref="Y59"/>
    </sheetView>
  </sheetViews>
  <sheetFormatPr defaultRowHeight="15" x14ac:dyDescent="0.25"/>
  <cols>
    <col min="1" max="2" width="11.5703125" style="209" bestFit="1" customWidth="1"/>
    <col min="3" max="3" width="20.85546875" style="12" bestFit="1" customWidth="1"/>
    <col min="4" max="4" width="19.5703125" style="12" bestFit="1" customWidth="1"/>
    <col min="5" max="6" width="20.85546875" style="12" bestFit="1" customWidth="1"/>
    <col min="7" max="7" width="19.5703125" style="12" bestFit="1" customWidth="1"/>
    <col min="8" max="9" width="20.85546875" style="12" bestFit="1" customWidth="1"/>
    <col min="10" max="10" width="19.5703125" style="12" bestFit="1" customWidth="1"/>
    <col min="11" max="11" width="20.85546875" style="12" bestFit="1" customWidth="1"/>
    <col min="12" max="12" width="16.85546875" style="54" bestFit="1" customWidth="1"/>
    <col min="13" max="13" width="15.5703125" style="12" bestFit="1" customWidth="1"/>
    <col min="14" max="14" width="16.85546875" style="12" bestFit="1" customWidth="1"/>
    <col min="15" max="15" width="22.28515625" style="12" bestFit="1" customWidth="1"/>
    <col min="16" max="16" width="20.85546875" style="12" bestFit="1" customWidth="1"/>
    <col min="17" max="18" width="22.28515625" style="12" bestFit="1" customWidth="1"/>
    <col min="19" max="19" width="20.85546875" style="12" bestFit="1" customWidth="1"/>
    <col min="20" max="20" width="22.28515625" style="12" bestFit="1" customWidth="1"/>
    <col min="21" max="22" width="23.5703125" style="12" bestFit="1" customWidth="1"/>
    <col min="23" max="24" width="23.5703125" style="53" bestFit="1" customWidth="1"/>
    <col min="25" max="25" width="22.28515625" style="502" bestFit="1" customWidth="1"/>
    <col min="26" max="26" width="24.140625" style="697" bestFit="1" customWidth="1"/>
    <col min="27" max="16384" width="9.140625" style="502"/>
  </cols>
  <sheetData>
    <row r="1" spans="1:26" ht="15" customHeight="1" thickBot="1" x14ac:dyDescent="0.3">
      <c r="A1" s="1164" t="s">
        <v>13</v>
      </c>
      <c r="B1" s="1165"/>
      <c r="C1" s="1318" t="s">
        <v>108</v>
      </c>
      <c r="D1" s="1319"/>
      <c r="E1" s="1319"/>
      <c r="F1" s="1319"/>
      <c r="G1" s="1319"/>
      <c r="H1" s="1319"/>
      <c r="I1" s="1319"/>
      <c r="J1" s="1319"/>
      <c r="K1" s="1319"/>
      <c r="L1" s="1319"/>
      <c r="M1" s="1319"/>
      <c r="N1" s="1319"/>
      <c r="O1" s="1319"/>
      <c r="P1" s="1319"/>
      <c r="Q1" s="1319"/>
      <c r="R1" s="1319"/>
      <c r="S1" s="1319"/>
      <c r="T1" s="1320"/>
      <c r="U1" s="1161" t="s">
        <v>225</v>
      </c>
      <c r="V1" s="1161"/>
      <c r="W1" s="1161"/>
      <c r="X1" s="1162"/>
      <c r="Y1" s="748"/>
      <c r="Z1" s="748"/>
    </row>
    <row r="2" spans="1:26" ht="18" customHeight="1" thickBot="1" x14ac:dyDescent="0.3">
      <c r="A2" s="1215"/>
      <c r="B2" s="1236"/>
      <c r="C2" s="1321"/>
      <c r="D2" s="1322"/>
      <c r="E2" s="1322"/>
      <c r="F2" s="1322"/>
      <c r="G2" s="1322"/>
      <c r="H2" s="1322"/>
      <c r="I2" s="1322"/>
      <c r="J2" s="1322"/>
      <c r="K2" s="1322"/>
      <c r="L2" s="1322"/>
      <c r="M2" s="1322"/>
      <c r="N2" s="1322"/>
      <c r="O2" s="1322"/>
      <c r="P2" s="1322"/>
      <c r="Q2" s="1322"/>
      <c r="R2" s="1322"/>
      <c r="S2" s="1322"/>
      <c r="T2" s="1323"/>
      <c r="U2" s="1164" t="s">
        <v>228</v>
      </c>
      <c r="V2" s="1214"/>
      <c r="W2" s="1214"/>
      <c r="X2" s="1165"/>
      <c r="Y2" s="1324" t="s">
        <v>42</v>
      </c>
      <c r="Z2" s="1324" t="s">
        <v>597</v>
      </c>
    </row>
    <row r="3" spans="1:26" ht="15.75" customHeight="1" thickBot="1" x14ac:dyDescent="0.3">
      <c r="A3" s="1215"/>
      <c r="B3" s="1236"/>
      <c r="C3" s="1299" t="s">
        <v>221</v>
      </c>
      <c r="D3" s="1300"/>
      <c r="E3" s="1300"/>
      <c r="F3" s="1300"/>
      <c r="G3" s="1300"/>
      <c r="H3" s="1300"/>
      <c r="I3" s="1306" t="s">
        <v>224</v>
      </c>
      <c r="J3" s="1307"/>
      <c r="K3" s="1308"/>
      <c r="L3" s="1306" t="s">
        <v>222</v>
      </c>
      <c r="M3" s="1307"/>
      <c r="N3" s="1308"/>
      <c r="O3" s="1306" t="s">
        <v>223</v>
      </c>
      <c r="P3" s="1307"/>
      <c r="Q3" s="1308"/>
      <c r="R3" s="1306" t="s">
        <v>54</v>
      </c>
      <c r="S3" s="1307"/>
      <c r="T3" s="1308"/>
      <c r="U3" s="1166"/>
      <c r="V3" s="1217"/>
      <c r="W3" s="1217"/>
      <c r="X3" s="1167"/>
      <c r="Y3" s="1325"/>
      <c r="Z3" s="1325"/>
    </row>
    <row r="4" spans="1:26" ht="15.75" customHeight="1" thickBot="1" x14ac:dyDescent="0.3">
      <c r="A4" s="1312" t="s">
        <v>16</v>
      </c>
      <c r="B4" s="1314" t="s">
        <v>17</v>
      </c>
      <c r="C4" s="1208" t="s">
        <v>109</v>
      </c>
      <c r="D4" s="1316"/>
      <c r="E4" s="1224" t="s">
        <v>33</v>
      </c>
      <c r="F4" s="1208" t="s">
        <v>110</v>
      </c>
      <c r="G4" s="1317"/>
      <c r="H4" s="1224" t="s">
        <v>33</v>
      </c>
      <c r="I4" s="1310"/>
      <c r="J4" s="1310"/>
      <c r="K4" s="1311"/>
      <c r="L4" s="1309"/>
      <c r="M4" s="1310"/>
      <c r="N4" s="1311"/>
      <c r="O4" s="1309"/>
      <c r="P4" s="1310"/>
      <c r="Q4" s="1311"/>
      <c r="R4" s="1309"/>
      <c r="S4" s="1310"/>
      <c r="T4" s="1311"/>
      <c r="U4" s="1301" t="s">
        <v>227</v>
      </c>
      <c r="V4" s="1302"/>
      <c r="W4" s="1260" t="s">
        <v>158</v>
      </c>
      <c r="X4" s="1262"/>
      <c r="Y4" s="1157" t="s">
        <v>228</v>
      </c>
      <c r="Z4" s="1187" t="s">
        <v>598</v>
      </c>
    </row>
    <row r="5" spans="1:26" ht="15.75" customHeight="1" thickBot="1" x14ac:dyDescent="0.3">
      <c r="A5" s="1312"/>
      <c r="B5" s="1314"/>
      <c r="C5" s="1229" t="s">
        <v>188</v>
      </c>
      <c r="D5" s="1249"/>
      <c r="E5" s="1225" t="s">
        <v>33</v>
      </c>
      <c r="F5" s="1229" t="s">
        <v>188</v>
      </c>
      <c r="G5" s="1317"/>
      <c r="H5" s="1225" t="s">
        <v>33</v>
      </c>
      <c r="I5" s="1229" t="s">
        <v>188</v>
      </c>
      <c r="J5" s="1247"/>
      <c r="K5" s="1224" t="s">
        <v>33</v>
      </c>
      <c r="L5" s="1229" t="s">
        <v>188</v>
      </c>
      <c r="M5" s="1247"/>
      <c r="N5" s="1305" t="s">
        <v>33</v>
      </c>
      <c r="O5" s="1229" t="s">
        <v>188</v>
      </c>
      <c r="P5" s="1249"/>
      <c r="Q5" s="1305" t="s">
        <v>33</v>
      </c>
      <c r="R5" s="1229" t="s">
        <v>188</v>
      </c>
      <c r="S5" s="1249"/>
      <c r="T5" s="1305" t="s">
        <v>33</v>
      </c>
      <c r="U5" s="1303"/>
      <c r="V5" s="1304"/>
      <c r="W5" s="1263"/>
      <c r="X5" s="1265"/>
      <c r="Y5" s="1158"/>
      <c r="Z5" s="1176"/>
    </row>
    <row r="6" spans="1:26" ht="15.75" thickBot="1" x14ac:dyDescent="0.3">
      <c r="A6" s="1313"/>
      <c r="B6" s="1315"/>
      <c r="C6" s="182" t="s">
        <v>212</v>
      </c>
      <c r="D6" s="183" t="s">
        <v>606</v>
      </c>
      <c r="E6" s="1226"/>
      <c r="F6" s="182" t="s">
        <v>212</v>
      </c>
      <c r="G6" s="183" t="s">
        <v>606</v>
      </c>
      <c r="H6" s="1226"/>
      <c r="I6" s="182" t="s">
        <v>212</v>
      </c>
      <c r="J6" s="183" t="s">
        <v>606</v>
      </c>
      <c r="K6" s="1226"/>
      <c r="L6" s="182" t="s">
        <v>212</v>
      </c>
      <c r="M6" s="183" t="s">
        <v>606</v>
      </c>
      <c r="N6" s="1234"/>
      <c r="O6" s="182" t="s">
        <v>212</v>
      </c>
      <c r="P6" s="183" t="s">
        <v>606</v>
      </c>
      <c r="Q6" s="1234"/>
      <c r="R6" s="182" t="s">
        <v>212</v>
      </c>
      <c r="S6" s="183" t="s">
        <v>606</v>
      </c>
      <c r="T6" s="1234"/>
      <c r="U6" s="182" t="s">
        <v>156</v>
      </c>
      <c r="V6" s="183" t="s">
        <v>157</v>
      </c>
      <c r="W6" s="206" t="s">
        <v>156</v>
      </c>
      <c r="X6" s="207" t="s">
        <v>157</v>
      </c>
      <c r="Y6" s="1159"/>
      <c r="Z6" s="1177"/>
    </row>
    <row r="7" spans="1:26" ht="15.75" thickBot="1" x14ac:dyDescent="0.3">
      <c r="A7" s="713" t="s">
        <v>550</v>
      </c>
      <c r="B7" s="714" t="s">
        <v>551</v>
      </c>
      <c r="C7" s="55" t="s">
        <v>416</v>
      </c>
      <c r="D7" s="56" t="s">
        <v>629</v>
      </c>
      <c r="E7" s="184" t="s">
        <v>786</v>
      </c>
      <c r="F7" s="55" t="s">
        <v>417</v>
      </c>
      <c r="G7" s="56" t="s">
        <v>630</v>
      </c>
      <c r="H7" s="184" t="s">
        <v>787</v>
      </c>
      <c r="I7" s="55" t="s">
        <v>418</v>
      </c>
      <c r="J7" s="56" t="s">
        <v>631</v>
      </c>
      <c r="K7" s="184" t="s">
        <v>788</v>
      </c>
      <c r="L7" s="55" t="s">
        <v>580</v>
      </c>
      <c r="M7" s="56" t="s">
        <v>632</v>
      </c>
      <c r="N7" s="184" t="s">
        <v>789</v>
      </c>
      <c r="O7" s="55" t="s">
        <v>581</v>
      </c>
      <c r="P7" s="56" t="s">
        <v>633</v>
      </c>
      <c r="Q7" s="184" t="s">
        <v>790</v>
      </c>
      <c r="R7" s="55" t="s">
        <v>419</v>
      </c>
      <c r="S7" s="56" t="s">
        <v>634</v>
      </c>
      <c r="T7" s="184" t="s">
        <v>791</v>
      </c>
      <c r="U7" s="55" t="s">
        <v>420</v>
      </c>
      <c r="V7" s="56" t="s">
        <v>421</v>
      </c>
      <c r="W7" s="208" t="s">
        <v>422</v>
      </c>
      <c r="X7" s="186" t="s">
        <v>423</v>
      </c>
      <c r="Y7" s="84" t="s">
        <v>424</v>
      </c>
      <c r="Z7" s="84" t="s">
        <v>600</v>
      </c>
    </row>
    <row r="8" spans="1:26" x14ac:dyDescent="0.25">
      <c r="A8" s="161">
        <v>36708</v>
      </c>
      <c r="B8" s="162">
        <v>36788</v>
      </c>
      <c r="C8" s="18">
        <v>153.9</v>
      </c>
      <c r="D8" s="60"/>
      <c r="E8" s="92">
        <v>153.9</v>
      </c>
      <c r="F8" s="18">
        <v>185</v>
      </c>
      <c r="G8" s="60"/>
      <c r="H8" s="92">
        <v>185</v>
      </c>
      <c r="I8" s="18">
        <v>281.10000000000002</v>
      </c>
      <c r="J8" s="60"/>
      <c r="K8" s="18">
        <v>281.10000000000002</v>
      </c>
      <c r="L8" s="18">
        <v>281.10000000000002</v>
      </c>
      <c r="M8" s="60"/>
      <c r="N8" s="60">
        <v>281.10000000000002</v>
      </c>
      <c r="O8" s="18">
        <v>308.7</v>
      </c>
      <c r="P8" s="60"/>
      <c r="Q8" s="92">
        <v>308.7</v>
      </c>
      <c r="R8" s="18">
        <v>368.3</v>
      </c>
      <c r="S8" s="60"/>
      <c r="T8" s="92">
        <v>368.3</v>
      </c>
      <c r="U8" s="18">
        <v>62</v>
      </c>
      <c r="V8" s="60">
        <v>142</v>
      </c>
      <c r="W8" s="58">
        <v>0.5</v>
      </c>
      <c r="X8" s="57">
        <v>0.7</v>
      </c>
      <c r="Y8" s="4">
        <v>21</v>
      </c>
      <c r="Z8" s="4">
        <v>21</v>
      </c>
    </row>
    <row r="9" spans="1:26" x14ac:dyDescent="0.25">
      <c r="A9" s="163">
        <v>36789</v>
      </c>
      <c r="B9" s="164">
        <v>36891</v>
      </c>
      <c r="C9" s="17">
        <v>153.9</v>
      </c>
      <c r="D9" s="35"/>
      <c r="E9" s="93">
        <v>153.9</v>
      </c>
      <c r="F9" s="17">
        <v>185</v>
      </c>
      <c r="G9" s="35"/>
      <c r="H9" s="93">
        <v>185</v>
      </c>
      <c r="I9" s="17">
        <v>281.10000000000002</v>
      </c>
      <c r="J9" s="35"/>
      <c r="K9" s="17">
        <v>281.10000000000002</v>
      </c>
      <c r="L9" s="17">
        <v>281.10000000000002</v>
      </c>
      <c r="M9" s="35"/>
      <c r="N9" s="35">
        <v>281.10000000000002</v>
      </c>
      <c r="O9" s="17">
        <v>308.7</v>
      </c>
      <c r="P9" s="35"/>
      <c r="Q9" s="93">
        <v>308.7</v>
      </c>
      <c r="R9" s="17">
        <v>368.3</v>
      </c>
      <c r="S9" s="35"/>
      <c r="T9" s="93">
        <v>368.3</v>
      </c>
      <c r="U9" s="17">
        <v>62</v>
      </c>
      <c r="V9" s="35">
        <v>142</v>
      </c>
      <c r="W9" s="62">
        <v>0.5</v>
      </c>
      <c r="X9" s="61">
        <v>0.7</v>
      </c>
      <c r="Y9" s="1">
        <v>21</v>
      </c>
      <c r="Z9" s="1">
        <v>21</v>
      </c>
    </row>
    <row r="10" spans="1:26" x14ac:dyDescent="0.25">
      <c r="A10" s="163">
        <v>36892</v>
      </c>
      <c r="B10" s="164">
        <v>36969</v>
      </c>
      <c r="C10" s="17">
        <v>158.80000000000001</v>
      </c>
      <c r="D10" s="35"/>
      <c r="E10" s="93">
        <v>158.80000000000001</v>
      </c>
      <c r="F10" s="17">
        <v>190.9</v>
      </c>
      <c r="G10" s="35"/>
      <c r="H10" s="93">
        <v>190.9</v>
      </c>
      <c r="I10" s="17">
        <v>290.10000000000002</v>
      </c>
      <c r="J10" s="35"/>
      <c r="K10" s="17">
        <v>290.10000000000002</v>
      </c>
      <c r="L10" s="17">
        <v>290.10000000000002</v>
      </c>
      <c r="M10" s="35"/>
      <c r="N10" s="35">
        <v>290.10000000000002</v>
      </c>
      <c r="O10" s="17">
        <v>318.60000000000002</v>
      </c>
      <c r="P10" s="35"/>
      <c r="Q10" s="93">
        <v>318.60000000000002</v>
      </c>
      <c r="R10" s="17">
        <v>380.1</v>
      </c>
      <c r="S10" s="35"/>
      <c r="T10" s="93">
        <v>380.1</v>
      </c>
      <c r="U10" s="17">
        <v>62</v>
      </c>
      <c r="V10" s="35">
        <v>142</v>
      </c>
      <c r="W10" s="62">
        <v>0.5</v>
      </c>
      <c r="X10" s="61">
        <v>0.7</v>
      </c>
      <c r="Y10" s="1">
        <v>21</v>
      </c>
      <c r="Z10" s="1">
        <v>21</v>
      </c>
    </row>
    <row r="11" spans="1:26" ht="15.75" thickBot="1" x14ac:dyDescent="0.3">
      <c r="A11" s="180">
        <v>36970</v>
      </c>
      <c r="B11" s="181">
        <v>37072</v>
      </c>
      <c r="C11" s="65">
        <v>158.80000000000001</v>
      </c>
      <c r="D11" s="69"/>
      <c r="E11" s="94">
        <v>158.80000000000001</v>
      </c>
      <c r="F11" s="65">
        <v>190.9</v>
      </c>
      <c r="G11" s="69"/>
      <c r="H11" s="94">
        <v>190.9</v>
      </c>
      <c r="I11" s="65">
        <v>290.10000000000002</v>
      </c>
      <c r="J11" s="69"/>
      <c r="K11" s="65">
        <v>290.10000000000002</v>
      </c>
      <c r="L11" s="65">
        <v>290.10000000000002</v>
      </c>
      <c r="M11" s="69"/>
      <c r="N11" s="94">
        <v>290.10000000000002</v>
      </c>
      <c r="O11" s="65">
        <v>318.60000000000002</v>
      </c>
      <c r="P11" s="69"/>
      <c r="Q11" s="94">
        <v>318.60000000000002</v>
      </c>
      <c r="R11" s="65">
        <v>380.1</v>
      </c>
      <c r="S11" s="69"/>
      <c r="T11" s="94">
        <v>380.1</v>
      </c>
      <c r="U11" s="65">
        <v>62</v>
      </c>
      <c r="V11" s="69">
        <v>142</v>
      </c>
      <c r="W11" s="67">
        <v>0.5</v>
      </c>
      <c r="X11" s="66">
        <v>0.7</v>
      </c>
      <c r="Y11" s="70">
        <v>21</v>
      </c>
      <c r="Z11" s="70">
        <v>21</v>
      </c>
    </row>
    <row r="12" spans="1:26" x14ac:dyDescent="0.25">
      <c r="A12" s="161">
        <v>37073</v>
      </c>
      <c r="B12" s="162">
        <v>37153</v>
      </c>
      <c r="C12" s="18">
        <v>158.80000000000001</v>
      </c>
      <c r="D12" s="60"/>
      <c r="E12" s="92">
        <v>158.80000000000001</v>
      </c>
      <c r="F12" s="18">
        <v>190.9</v>
      </c>
      <c r="G12" s="60"/>
      <c r="H12" s="92">
        <v>190.9</v>
      </c>
      <c r="I12" s="18">
        <v>290.10000000000002</v>
      </c>
      <c r="J12" s="60"/>
      <c r="K12" s="18">
        <v>290.10000000000002</v>
      </c>
      <c r="L12" s="18">
        <v>290.10000000000002</v>
      </c>
      <c r="M12" s="60"/>
      <c r="N12" s="92">
        <v>290.10000000000002</v>
      </c>
      <c r="O12" s="18">
        <v>318.60000000000002</v>
      </c>
      <c r="P12" s="60"/>
      <c r="Q12" s="92">
        <v>318.60000000000002</v>
      </c>
      <c r="R12" s="18">
        <v>380.1</v>
      </c>
      <c r="S12" s="60"/>
      <c r="T12" s="92">
        <v>380.1</v>
      </c>
      <c r="U12" s="18">
        <v>62</v>
      </c>
      <c r="V12" s="60">
        <v>142</v>
      </c>
      <c r="W12" s="58">
        <v>0.5</v>
      </c>
      <c r="X12" s="57">
        <v>0.7</v>
      </c>
      <c r="Y12" s="4">
        <v>21</v>
      </c>
      <c r="Z12" s="4">
        <v>21</v>
      </c>
    </row>
    <row r="13" spans="1:26" x14ac:dyDescent="0.25">
      <c r="A13" s="163">
        <v>37154</v>
      </c>
      <c r="B13" s="164">
        <v>37256</v>
      </c>
      <c r="C13" s="17">
        <v>158.80000000000001</v>
      </c>
      <c r="D13" s="35"/>
      <c r="E13" s="93">
        <v>158.80000000000001</v>
      </c>
      <c r="F13" s="17">
        <v>190.9</v>
      </c>
      <c r="G13" s="35"/>
      <c r="H13" s="93">
        <v>190.9</v>
      </c>
      <c r="I13" s="17">
        <v>290.10000000000002</v>
      </c>
      <c r="J13" s="35"/>
      <c r="K13" s="17">
        <v>290.10000000000002</v>
      </c>
      <c r="L13" s="17">
        <v>290.10000000000002</v>
      </c>
      <c r="M13" s="35"/>
      <c r="N13" s="93">
        <v>290.10000000000002</v>
      </c>
      <c r="O13" s="17">
        <v>318.60000000000002</v>
      </c>
      <c r="P13" s="35"/>
      <c r="Q13" s="93">
        <v>318.60000000000002</v>
      </c>
      <c r="R13" s="17">
        <v>380.1</v>
      </c>
      <c r="S13" s="35"/>
      <c r="T13" s="93">
        <v>380.1</v>
      </c>
      <c r="U13" s="17">
        <v>62</v>
      </c>
      <c r="V13" s="35">
        <v>142</v>
      </c>
      <c r="W13" s="62">
        <v>0.5</v>
      </c>
      <c r="X13" s="61">
        <v>0.7</v>
      </c>
      <c r="Y13" s="1">
        <v>21</v>
      </c>
      <c r="Z13" s="1">
        <v>21</v>
      </c>
    </row>
    <row r="14" spans="1:26" x14ac:dyDescent="0.25">
      <c r="A14" s="163">
        <v>37257</v>
      </c>
      <c r="B14" s="164">
        <v>37334</v>
      </c>
      <c r="C14" s="17">
        <v>165.1</v>
      </c>
      <c r="D14" s="35"/>
      <c r="E14" s="93">
        <v>165.1</v>
      </c>
      <c r="F14" s="17">
        <v>198.6</v>
      </c>
      <c r="G14" s="35"/>
      <c r="H14" s="93">
        <v>198.6</v>
      </c>
      <c r="I14" s="17">
        <v>301.7</v>
      </c>
      <c r="J14" s="35"/>
      <c r="K14" s="17">
        <v>301.7</v>
      </c>
      <c r="L14" s="17">
        <v>301.7</v>
      </c>
      <c r="M14" s="35"/>
      <c r="N14" s="93">
        <v>301.7</v>
      </c>
      <c r="O14" s="17">
        <v>331.3</v>
      </c>
      <c r="P14" s="35"/>
      <c r="Q14" s="93">
        <v>331.3</v>
      </c>
      <c r="R14" s="17">
        <v>395.3</v>
      </c>
      <c r="S14" s="35"/>
      <c r="T14" s="93">
        <v>395.3</v>
      </c>
      <c r="U14" s="17">
        <v>62</v>
      </c>
      <c r="V14" s="35">
        <v>142</v>
      </c>
      <c r="W14" s="62">
        <v>0.5</v>
      </c>
      <c r="X14" s="61">
        <v>0.7</v>
      </c>
      <c r="Y14" s="1">
        <v>21</v>
      </c>
      <c r="Z14" s="1">
        <v>21</v>
      </c>
    </row>
    <row r="15" spans="1:26" ht="15.75" thickBot="1" x14ac:dyDescent="0.3">
      <c r="A15" s="180">
        <v>37335</v>
      </c>
      <c r="B15" s="181">
        <v>37437</v>
      </c>
      <c r="C15" s="65">
        <v>165.1</v>
      </c>
      <c r="D15" s="69"/>
      <c r="E15" s="94">
        <v>165.1</v>
      </c>
      <c r="F15" s="65">
        <v>198.6</v>
      </c>
      <c r="G15" s="69"/>
      <c r="H15" s="94">
        <v>198.6</v>
      </c>
      <c r="I15" s="65">
        <v>301.7</v>
      </c>
      <c r="J15" s="69"/>
      <c r="K15" s="65">
        <v>301.7</v>
      </c>
      <c r="L15" s="65">
        <v>301.7</v>
      </c>
      <c r="M15" s="69"/>
      <c r="N15" s="94">
        <v>301.7</v>
      </c>
      <c r="O15" s="65">
        <v>331.3</v>
      </c>
      <c r="P15" s="69"/>
      <c r="Q15" s="94">
        <v>331.3</v>
      </c>
      <c r="R15" s="65">
        <v>395.3</v>
      </c>
      <c r="S15" s="69"/>
      <c r="T15" s="94">
        <v>395.3</v>
      </c>
      <c r="U15" s="65">
        <v>62</v>
      </c>
      <c r="V15" s="69">
        <v>142</v>
      </c>
      <c r="W15" s="67">
        <v>0.5</v>
      </c>
      <c r="X15" s="66">
        <v>0.7</v>
      </c>
      <c r="Y15" s="70">
        <v>21</v>
      </c>
      <c r="Z15" s="70">
        <v>21</v>
      </c>
    </row>
    <row r="16" spans="1:26" x14ac:dyDescent="0.25">
      <c r="A16" s="161">
        <v>37438</v>
      </c>
      <c r="B16" s="162">
        <v>37518</v>
      </c>
      <c r="C16" s="18">
        <v>165.1</v>
      </c>
      <c r="D16" s="60"/>
      <c r="E16" s="92">
        <v>165.1</v>
      </c>
      <c r="F16" s="18">
        <v>198.6</v>
      </c>
      <c r="G16" s="60"/>
      <c r="H16" s="92">
        <v>198.6</v>
      </c>
      <c r="I16" s="18">
        <v>301.7</v>
      </c>
      <c r="J16" s="60"/>
      <c r="K16" s="18">
        <v>301.7</v>
      </c>
      <c r="L16" s="18">
        <v>301.7</v>
      </c>
      <c r="M16" s="60"/>
      <c r="N16" s="92">
        <v>301.7</v>
      </c>
      <c r="O16" s="18">
        <v>331.3</v>
      </c>
      <c r="P16" s="60"/>
      <c r="Q16" s="92">
        <v>331.3</v>
      </c>
      <c r="R16" s="18">
        <v>395.3</v>
      </c>
      <c r="S16" s="60"/>
      <c r="T16" s="92">
        <v>395.3</v>
      </c>
      <c r="U16" s="18">
        <v>62</v>
      </c>
      <c r="V16" s="60">
        <v>142</v>
      </c>
      <c r="W16" s="58">
        <v>0.5</v>
      </c>
      <c r="X16" s="57">
        <v>0.7</v>
      </c>
      <c r="Y16" s="4">
        <v>21</v>
      </c>
      <c r="Z16" s="4">
        <v>21</v>
      </c>
    </row>
    <row r="17" spans="1:26" x14ac:dyDescent="0.25">
      <c r="A17" s="163">
        <v>37519</v>
      </c>
      <c r="B17" s="164">
        <v>37621</v>
      </c>
      <c r="C17" s="17">
        <v>165.1</v>
      </c>
      <c r="D17" s="35"/>
      <c r="E17" s="93">
        <v>165.1</v>
      </c>
      <c r="F17" s="17">
        <v>198.6</v>
      </c>
      <c r="G17" s="35"/>
      <c r="H17" s="93">
        <v>198.6</v>
      </c>
      <c r="I17" s="17">
        <v>301.7</v>
      </c>
      <c r="J17" s="35"/>
      <c r="K17" s="17">
        <v>301.7</v>
      </c>
      <c r="L17" s="17">
        <v>301.7</v>
      </c>
      <c r="M17" s="35"/>
      <c r="N17" s="93">
        <v>301.7</v>
      </c>
      <c r="O17" s="17">
        <v>331.3</v>
      </c>
      <c r="P17" s="35"/>
      <c r="Q17" s="93">
        <v>331.3</v>
      </c>
      <c r="R17" s="17">
        <v>395.3</v>
      </c>
      <c r="S17" s="35"/>
      <c r="T17" s="93">
        <v>395.3</v>
      </c>
      <c r="U17" s="17">
        <v>62</v>
      </c>
      <c r="V17" s="35">
        <v>142</v>
      </c>
      <c r="W17" s="62">
        <v>0.5</v>
      </c>
      <c r="X17" s="61">
        <v>0.7</v>
      </c>
      <c r="Y17" s="1">
        <v>21</v>
      </c>
      <c r="Z17" s="1">
        <v>21</v>
      </c>
    </row>
    <row r="18" spans="1:26" x14ac:dyDescent="0.25">
      <c r="A18" s="163">
        <v>37622</v>
      </c>
      <c r="B18" s="164">
        <v>37699</v>
      </c>
      <c r="C18" s="17">
        <v>169.70000000000002</v>
      </c>
      <c r="D18" s="35"/>
      <c r="E18" s="93">
        <v>169.70000000000002</v>
      </c>
      <c r="F18" s="17">
        <v>204.20000000000002</v>
      </c>
      <c r="G18" s="35"/>
      <c r="H18" s="93">
        <v>204.20000000000002</v>
      </c>
      <c r="I18" s="17">
        <v>310.10000000000002</v>
      </c>
      <c r="J18" s="35"/>
      <c r="K18" s="17">
        <v>310.10000000000002</v>
      </c>
      <c r="L18" s="17">
        <v>310.10000000000002</v>
      </c>
      <c r="M18" s="35"/>
      <c r="N18" s="93">
        <v>310.10000000000002</v>
      </c>
      <c r="O18" s="17">
        <v>340.6</v>
      </c>
      <c r="P18" s="35"/>
      <c r="Q18" s="93">
        <v>340.6</v>
      </c>
      <c r="R18" s="17">
        <v>406.40000000000003</v>
      </c>
      <c r="S18" s="35"/>
      <c r="T18" s="93">
        <v>406.40000000000003</v>
      </c>
      <c r="U18" s="17">
        <v>62</v>
      </c>
      <c r="V18" s="35">
        <v>142</v>
      </c>
      <c r="W18" s="62">
        <v>0.5</v>
      </c>
      <c r="X18" s="61">
        <v>0.7</v>
      </c>
      <c r="Y18" s="1">
        <v>21</v>
      </c>
      <c r="Z18" s="1">
        <v>21</v>
      </c>
    </row>
    <row r="19" spans="1:26" ht="15.75" thickBot="1" x14ac:dyDescent="0.3">
      <c r="A19" s="180">
        <v>37700</v>
      </c>
      <c r="B19" s="181">
        <v>37802</v>
      </c>
      <c r="C19" s="65">
        <v>169.70000000000002</v>
      </c>
      <c r="D19" s="69"/>
      <c r="E19" s="94">
        <v>169.70000000000002</v>
      </c>
      <c r="F19" s="65">
        <v>204.20000000000002</v>
      </c>
      <c r="G19" s="69"/>
      <c r="H19" s="94">
        <v>204.20000000000002</v>
      </c>
      <c r="I19" s="65">
        <v>310.10000000000002</v>
      </c>
      <c r="J19" s="69"/>
      <c r="K19" s="65">
        <v>310.10000000000002</v>
      </c>
      <c r="L19" s="65">
        <v>310.10000000000002</v>
      </c>
      <c r="M19" s="69"/>
      <c r="N19" s="94">
        <v>310.10000000000002</v>
      </c>
      <c r="O19" s="65">
        <v>340.6</v>
      </c>
      <c r="P19" s="69"/>
      <c r="Q19" s="94">
        <v>340.6</v>
      </c>
      <c r="R19" s="65">
        <v>406.40000000000003</v>
      </c>
      <c r="S19" s="69"/>
      <c r="T19" s="94">
        <v>406.40000000000003</v>
      </c>
      <c r="U19" s="65">
        <v>62</v>
      </c>
      <c r="V19" s="69">
        <v>142</v>
      </c>
      <c r="W19" s="67">
        <v>0.5</v>
      </c>
      <c r="X19" s="66">
        <v>0.7</v>
      </c>
      <c r="Y19" s="70">
        <v>21</v>
      </c>
      <c r="Z19" s="70">
        <v>21</v>
      </c>
    </row>
    <row r="20" spans="1:26" x14ac:dyDescent="0.25">
      <c r="A20" s="161">
        <v>37803</v>
      </c>
      <c r="B20" s="162">
        <v>37883</v>
      </c>
      <c r="C20" s="18">
        <v>169.70000000000002</v>
      </c>
      <c r="D20" s="60"/>
      <c r="E20" s="92">
        <v>169.70000000000002</v>
      </c>
      <c r="F20" s="18">
        <v>204.20000000000002</v>
      </c>
      <c r="G20" s="60"/>
      <c r="H20" s="92">
        <v>204.20000000000002</v>
      </c>
      <c r="I20" s="18">
        <v>310.10000000000002</v>
      </c>
      <c r="J20" s="60"/>
      <c r="K20" s="18">
        <v>310.10000000000002</v>
      </c>
      <c r="L20" s="18">
        <v>310.10000000000002</v>
      </c>
      <c r="M20" s="60"/>
      <c r="N20" s="92">
        <v>310.10000000000002</v>
      </c>
      <c r="O20" s="18">
        <v>340.6</v>
      </c>
      <c r="P20" s="60"/>
      <c r="Q20" s="92">
        <v>340.6</v>
      </c>
      <c r="R20" s="18">
        <v>406.40000000000003</v>
      </c>
      <c r="S20" s="60"/>
      <c r="T20" s="92">
        <v>406.40000000000003</v>
      </c>
      <c r="U20" s="18">
        <v>62</v>
      </c>
      <c r="V20" s="60">
        <v>142</v>
      </c>
      <c r="W20" s="58">
        <v>0.5</v>
      </c>
      <c r="X20" s="57">
        <v>0.7</v>
      </c>
      <c r="Y20" s="4">
        <v>21</v>
      </c>
      <c r="Z20" s="4">
        <v>21</v>
      </c>
    </row>
    <row r="21" spans="1:26" x14ac:dyDescent="0.25">
      <c r="A21" s="163">
        <v>37884</v>
      </c>
      <c r="B21" s="164">
        <v>37986</v>
      </c>
      <c r="C21" s="17">
        <v>169.70000000000002</v>
      </c>
      <c r="D21" s="35"/>
      <c r="E21" s="93">
        <v>169.70000000000002</v>
      </c>
      <c r="F21" s="17">
        <v>204.20000000000002</v>
      </c>
      <c r="G21" s="35"/>
      <c r="H21" s="93">
        <v>204.20000000000002</v>
      </c>
      <c r="I21" s="17">
        <v>310.10000000000002</v>
      </c>
      <c r="J21" s="35"/>
      <c r="K21" s="17">
        <v>310.10000000000002</v>
      </c>
      <c r="L21" s="17">
        <v>310.10000000000002</v>
      </c>
      <c r="M21" s="35"/>
      <c r="N21" s="35">
        <v>310.10000000000002</v>
      </c>
      <c r="O21" s="17">
        <v>340.6</v>
      </c>
      <c r="P21" s="35"/>
      <c r="Q21" s="93">
        <v>340.6</v>
      </c>
      <c r="R21" s="17">
        <v>406.40000000000003</v>
      </c>
      <c r="S21" s="35"/>
      <c r="T21" s="93">
        <v>406.40000000000003</v>
      </c>
      <c r="U21" s="17">
        <v>62</v>
      </c>
      <c r="V21" s="35">
        <v>142</v>
      </c>
      <c r="W21" s="62">
        <v>0.5</v>
      </c>
      <c r="X21" s="61">
        <v>0.7</v>
      </c>
      <c r="Y21" s="1">
        <v>21</v>
      </c>
      <c r="Z21" s="1">
        <v>21</v>
      </c>
    </row>
    <row r="22" spans="1:26" x14ac:dyDescent="0.25">
      <c r="A22" s="163">
        <v>37987</v>
      </c>
      <c r="B22" s="164">
        <v>38065</v>
      </c>
      <c r="C22" s="17">
        <v>174.3</v>
      </c>
      <c r="D22" s="35"/>
      <c r="E22" s="93">
        <v>174.3</v>
      </c>
      <c r="F22" s="17">
        <v>209.70000000000002</v>
      </c>
      <c r="G22" s="35"/>
      <c r="H22" s="93">
        <v>209.70000000000002</v>
      </c>
      <c r="I22" s="17">
        <v>318.5</v>
      </c>
      <c r="J22" s="35"/>
      <c r="K22" s="17">
        <v>318.5</v>
      </c>
      <c r="L22" s="17">
        <v>318.5</v>
      </c>
      <c r="M22" s="35"/>
      <c r="N22" s="93">
        <v>318.5</v>
      </c>
      <c r="O22" s="17">
        <v>349.8</v>
      </c>
      <c r="P22" s="35"/>
      <c r="Q22" s="93">
        <v>349.8</v>
      </c>
      <c r="R22" s="17">
        <v>417.4</v>
      </c>
      <c r="S22" s="35"/>
      <c r="T22" s="93">
        <v>417.4</v>
      </c>
      <c r="U22" s="17">
        <v>62</v>
      </c>
      <c r="V22" s="35">
        <v>142</v>
      </c>
      <c r="W22" s="62">
        <v>0.5</v>
      </c>
      <c r="X22" s="61">
        <v>0.7</v>
      </c>
      <c r="Y22" s="1">
        <v>21</v>
      </c>
      <c r="Z22" s="1">
        <v>21</v>
      </c>
    </row>
    <row r="23" spans="1:26" ht="15.75" thickBot="1" x14ac:dyDescent="0.3">
      <c r="A23" s="180">
        <v>38066</v>
      </c>
      <c r="B23" s="181">
        <v>38168</v>
      </c>
      <c r="C23" s="65">
        <v>174.3</v>
      </c>
      <c r="D23" s="69"/>
      <c r="E23" s="94">
        <v>174.3</v>
      </c>
      <c r="F23" s="65">
        <v>209.70000000000002</v>
      </c>
      <c r="G23" s="69"/>
      <c r="H23" s="94">
        <v>209.70000000000002</v>
      </c>
      <c r="I23" s="65">
        <v>318.5</v>
      </c>
      <c r="J23" s="69"/>
      <c r="K23" s="65">
        <v>318.5</v>
      </c>
      <c r="L23" s="65">
        <v>318.5</v>
      </c>
      <c r="M23" s="69"/>
      <c r="N23" s="94">
        <v>318.5</v>
      </c>
      <c r="O23" s="65">
        <v>349.8</v>
      </c>
      <c r="P23" s="69"/>
      <c r="Q23" s="94">
        <v>349.8</v>
      </c>
      <c r="R23" s="65">
        <v>417.4</v>
      </c>
      <c r="S23" s="69"/>
      <c r="T23" s="94">
        <v>417.4</v>
      </c>
      <c r="U23" s="65">
        <v>62</v>
      </c>
      <c r="V23" s="69">
        <v>142</v>
      </c>
      <c r="W23" s="67">
        <v>0.5</v>
      </c>
      <c r="X23" s="66">
        <v>0.7</v>
      </c>
      <c r="Y23" s="70">
        <v>21</v>
      </c>
      <c r="Z23" s="70">
        <v>21</v>
      </c>
    </row>
    <row r="24" spans="1:26" x14ac:dyDescent="0.25">
      <c r="A24" s="161">
        <v>38169</v>
      </c>
      <c r="B24" s="162">
        <v>38249</v>
      </c>
      <c r="C24" s="18">
        <v>174.3</v>
      </c>
      <c r="D24" s="60"/>
      <c r="E24" s="92">
        <v>174.3</v>
      </c>
      <c r="F24" s="18">
        <v>209.70000000000002</v>
      </c>
      <c r="G24" s="60"/>
      <c r="H24" s="92">
        <v>209.70000000000002</v>
      </c>
      <c r="I24" s="18">
        <v>318.5</v>
      </c>
      <c r="J24" s="60"/>
      <c r="K24" s="18">
        <v>318.5</v>
      </c>
      <c r="L24" s="18">
        <v>318.5</v>
      </c>
      <c r="M24" s="60"/>
      <c r="N24" s="92">
        <v>318.5</v>
      </c>
      <c r="O24" s="18">
        <v>349.8</v>
      </c>
      <c r="P24" s="60"/>
      <c r="Q24" s="92">
        <v>349.8</v>
      </c>
      <c r="R24" s="17">
        <v>417.4</v>
      </c>
      <c r="S24" s="60"/>
      <c r="T24" s="92">
        <v>417.4</v>
      </c>
      <c r="U24" s="18">
        <v>62</v>
      </c>
      <c r="V24" s="60">
        <v>142</v>
      </c>
      <c r="W24" s="58">
        <v>0.5</v>
      </c>
      <c r="X24" s="57">
        <v>0.7</v>
      </c>
      <c r="Y24" s="4">
        <v>21</v>
      </c>
      <c r="Z24" s="4">
        <v>21</v>
      </c>
    </row>
    <row r="25" spans="1:26" x14ac:dyDescent="0.25">
      <c r="A25" s="163">
        <v>38250</v>
      </c>
      <c r="B25" s="164">
        <v>38352</v>
      </c>
      <c r="C25" s="17">
        <v>174.3</v>
      </c>
      <c r="D25" s="35"/>
      <c r="E25" s="93">
        <v>174.3</v>
      </c>
      <c r="F25" s="17">
        <v>209.70000000000002</v>
      </c>
      <c r="G25" s="35"/>
      <c r="H25" s="93">
        <v>209.70000000000002</v>
      </c>
      <c r="I25" s="17">
        <v>318.5</v>
      </c>
      <c r="J25" s="35"/>
      <c r="K25" s="17">
        <v>318.5</v>
      </c>
      <c r="L25" s="17">
        <v>318.5</v>
      </c>
      <c r="M25" s="35"/>
      <c r="N25" s="93">
        <v>318.5</v>
      </c>
      <c r="O25" s="17">
        <v>349.8</v>
      </c>
      <c r="P25" s="35"/>
      <c r="Q25" s="93">
        <v>349.8</v>
      </c>
      <c r="R25" s="17">
        <v>417.4</v>
      </c>
      <c r="S25" s="35"/>
      <c r="T25" s="93">
        <v>417.4</v>
      </c>
      <c r="U25" s="17">
        <v>62</v>
      </c>
      <c r="V25" s="35">
        <v>142</v>
      </c>
      <c r="W25" s="62">
        <v>0.5</v>
      </c>
      <c r="X25" s="61">
        <v>0.7</v>
      </c>
      <c r="Y25" s="1">
        <v>21</v>
      </c>
      <c r="Z25" s="1">
        <v>21</v>
      </c>
    </row>
    <row r="26" spans="1:26" x14ac:dyDescent="0.25">
      <c r="A26" s="163">
        <v>38353</v>
      </c>
      <c r="B26" s="164">
        <v>38430</v>
      </c>
      <c r="C26" s="17">
        <v>178.70000000000002</v>
      </c>
      <c r="D26" s="35"/>
      <c r="E26" s="93">
        <v>178.70000000000002</v>
      </c>
      <c r="F26" s="17">
        <v>214.9</v>
      </c>
      <c r="G26" s="35"/>
      <c r="H26" s="93">
        <v>214.9</v>
      </c>
      <c r="I26" s="17">
        <v>326.5</v>
      </c>
      <c r="J26" s="35"/>
      <c r="K26" s="17">
        <v>326.5</v>
      </c>
      <c r="L26" s="17">
        <v>326.5</v>
      </c>
      <c r="M26" s="35"/>
      <c r="N26" s="93">
        <v>326.5</v>
      </c>
      <c r="O26" s="17">
        <v>358.5</v>
      </c>
      <c r="P26" s="35"/>
      <c r="Q26" s="93">
        <v>358.5</v>
      </c>
      <c r="R26" s="17">
        <v>427.8</v>
      </c>
      <c r="S26" s="35"/>
      <c r="T26" s="93">
        <v>427.8</v>
      </c>
      <c r="U26" s="17">
        <v>62</v>
      </c>
      <c r="V26" s="35">
        <v>142</v>
      </c>
      <c r="W26" s="62">
        <v>0.5</v>
      </c>
      <c r="X26" s="61">
        <v>0.7</v>
      </c>
      <c r="Y26" s="1">
        <v>21</v>
      </c>
      <c r="Z26" s="1">
        <v>21</v>
      </c>
    </row>
    <row r="27" spans="1:26" ht="15.75" thickBot="1" x14ac:dyDescent="0.3">
      <c r="A27" s="180">
        <v>38431</v>
      </c>
      <c r="B27" s="181">
        <v>38533</v>
      </c>
      <c r="C27" s="65">
        <v>178.70000000000002</v>
      </c>
      <c r="D27" s="69"/>
      <c r="E27" s="94">
        <v>178.70000000000002</v>
      </c>
      <c r="F27" s="65">
        <v>214.9</v>
      </c>
      <c r="G27" s="69"/>
      <c r="H27" s="94">
        <v>214.9</v>
      </c>
      <c r="I27" s="65">
        <v>326.5</v>
      </c>
      <c r="J27" s="69"/>
      <c r="K27" s="65">
        <v>326.5</v>
      </c>
      <c r="L27" s="65">
        <v>326.5</v>
      </c>
      <c r="M27" s="69"/>
      <c r="N27" s="94">
        <v>326.5</v>
      </c>
      <c r="O27" s="65">
        <v>358.5</v>
      </c>
      <c r="P27" s="69"/>
      <c r="Q27" s="94">
        <v>358.5</v>
      </c>
      <c r="R27" s="65">
        <v>427.8</v>
      </c>
      <c r="S27" s="69"/>
      <c r="T27" s="94">
        <v>427.8</v>
      </c>
      <c r="U27" s="65">
        <v>62</v>
      </c>
      <c r="V27" s="69">
        <v>142</v>
      </c>
      <c r="W27" s="67">
        <v>0.5</v>
      </c>
      <c r="X27" s="66">
        <v>0.7</v>
      </c>
      <c r="Y27" s="70">
        <v>21</v>
      </c>
      <c r="Z27" s="70">
        <v>21</v>
      </c>
    </row>
    <row r="28" spans="1:26" x14ac:dyDescent="0.25">
      <c r="A28" s="161">
        <v>38534</v>
      </c>
      <c r="B28" s="162">
        <v>38614</v>
      </c>
      <c r="C28" s="18">
        <v>178.70000000000002</v>
      </c>
      <c r="D28" s="60"/>
      <c r="E28" s="92">
        <v>178.70000000000002</v>
      </c>
      <c r="F28" s="18">
        <v>214.9</v>
      </c>
      <c r="G28" s="60"/>
      <c r="H28" s="92">
        <v>214.9</v>
      </c>
      <c r="I28" s="18">
        <v>326.5</v>
      </c>
      <c r="J28" s="60"/>
      <c r="K28" s="18">
        <v>326.5</v>
      </c>
      <c r="L28" s="18">
        <v>326.5</v>
      </c>
      <c r="M28" s="60"/>
      <c r="N28" s="92">
        <v>326.5</v>
      </c>
      <c r="O28" s="18">
        <v>358.5</v>
      </c>
      <c r="P28" s="60"/>
      <c r="Q28" s="92">
        <v>358.5</v>
      </c>
      <c r="R28" s="18">
        <v>427.8</v>
      </c>
      <c r="S28" s="60"/>
      <c r="T28" s="92">
        <v>427.8</v>
      </c>
      <c r="U28" s="18">
        <v>62</v>
      </c>
      <c r="V28" s="60">
        <v>142</v>
      </c>
      <c r="W28" s="58">
        <v>0.5</v>
      </c>
      <c r="X28" s="57">
        <v>0.7</v>
      </c>
      <c r="Y28" s="4">
        <v>21</v>
      </c>
      <c r="Z28" s="4">
        <v>21</v>
      </c>
    </row>
    <row r="29" spans="1:26" x14ac:dyDescent="0.25">
      <c r="A29" s="163">
        <v>38615</v>
      </c>
      <c r="B29" s="164">
        <v>38717</v>
      </c>
      <c r="C29" s="17">
        <v>178.70000000000002</v>
      </c>
      <c r="D29" s="35"/>
      <c r="E29" s="93">
        <v>178.70000000000002</v>
      </c>
      <c r="F29" s="17">
        <v>214.9</v>
      </c>
      <c r="G29" s="35"/>
      <c r="H29" s="93">
        <v>214.9</v>
      </c>
      <c r="I29" s="17">
        <v>326.5</v>
      </c>
      <c r="J29" s="35"/>
      <c r="K29" s="17">
        <v>326.5</v>
      </c>
      <c r="L29" s="17">
        <v>326.5</v>
      </c>
      <c r="M29" s="35"/>
      <c r="N29" s="93">
        <v>326.5</v>
      </c>
      <c r="O29" s="17">
        <v>358.5</v>
      </c>
      <c r="P29" s="35"/>
      <c r="Q29" s="93">
        <v>358.5</v>
      </c>
      <c r="R29" s="17">
        <v>427.8</v>
      </c>
      <c r="S29" s="35"/>
      <c r="T29" s="93">
        <v>427.8</v>
      </c>
      <c r="U29" s="17">
        <v>62</v>
      </c>
      <c r="V29" s="35">
        <v>142</v>
      </c>
      <c r="W29" s="62">
        <v>0.5</v>
      </c>
      <c r="X29" s="61">
        <v>0.7</v>
      </c>
      <c r="Y29" s="1">
        <v>21</v>
      </c>
      <c r="Z29" s="1">
        <v>21</v>
      </c>
    </row>
    <row r="30" spans="1:26" x14ac:dyDescent="0.25">
      <c r="A30" s="163">
        <v>38718</v>
      </c>
      <c r="B30" s="164">
        <v>38795</v>
      </c>
      <c r="C30" s="17">
        <v>183.20000000000002</v>
      </c>
      <c r="D30" s="35"/>
      <c r="E30" s="93">
        <v>183.20000000000002</v>
      </c>
      <c r="F30" s="17">
        <v>220.3</v>
      </c>
      <c r="G30" s="35"/>
      <c r="H30" s="93">
        <v>220.3</v>
      </c>
      <c r="I30" s="17">
        <v>334.70000000000005</v>
      </c>
      <c r="J30" s="35"/>
      <c r="K30" s="17">
        <v>334.70000000000005</v>
      </c>
      <c r="L30" s="17">
        <v>334.70000000000005</v>
      </c>
      <c r="M30" s="35"/>
      <c r="N30" s="93">
        <v>334.70000000000005</v>
      </c>
      <c r="O30" s="17">
        <v>367.5</v>
      </c>
      <c r="P30" s="35"/>
      <c r="Q30" s="93">
        <v>367.5</v>
      </c>
      <c r="R30" s="17">
        <v>438.5</v>
      </c>
      <c r="S30" s="35"/>
      <c r="T30" s="93">
        <v>438.5</v>
      </c>
      <c r="U30" s="17">
        <v>62</v>
      </c>
      <c r="V30" s="35">
        <v>142</v>
      </c>
      <c r="W30" s="62">
        <v>0.5</v>
      </c>
      <c r="X30" s="61">
        <v>0.7</v>
      </c>
      <c r="Y30" s="1">
        <v>21</v>
      </c>
      <c r="Z30" s="1">
        <v>21</v>
      </c>
    </row>
    <row r="31" spans="1:26" ht="15.75" thickBot="1" x14ac:dyDescent="0.3">
      <c r="A31" s="180">
        <v>38796</v>
      </c>
      <c r="B31" s="181">
        <v>38898</v>
      </c>
      <c r="C31" s="65">
        <v>183.20000000000002</v>
      </c>
      <c r="D31" s="69"/>
      <c r="E31" s="94">
        <v>183.20000000000002</v>
      </c>
      <c r="F31" s="65">
        <v>220.3</v>
      </c>
      <c r="G31" s="69"/>
      <c r="H31" s="94">
        <v>220.3</v>
      </c>
      <c r="I31" s="65">
        <v>334.70000000000005</v>
      </c>
      <c r="J31" s="69"/>
      <c r="K31" s="65">
        <v>334.70000000000005</v>
      </c>
      <c r="L31" s="65">
        <v>334.70000000000005</v>
      </c>
      <c r="M31" s="69"/>
      <c r="N31" s="94">
        <v>334.70000000000005</v>
      </c>
      <c r="O31" s="65">
        <v>367.5</v>
      </c>
      <c r="P31" s="69"/>
      <c r="Q31" s="94">
        <v>367.5</v>
      </c>
      <c r="R31" s="65">
        <v>438.5</v>
      </c>
      <c r="S31" s="69"/>
      <c r="T31" s="94">
        <v>438.5</v>
      </c>
      <c r="U31" s="65">
        <v>62</v>
      </c>
      <c r="V31" s="69">
        <v>142</v>
      </c>
      <c r="W31" s="67">
        <v>0.5</v>
      </c>
      <c r="X31" s="66">
        <v>0.7</v>
      </c>
      <c r="Y31" s="70">
        <v>21</v>
      </c>
      <c r="Z31" s="70">
        <v>21</v>
      </c>
    </row>
    <row r="32" spans="1:26" x14ac:dyDescent="0.25">
      <c r="A32" s="161">
        <v>38899</v>
      </c>
      <c r="B32" s="162">
        <v>38979</v>
      </c>
      <c r="C32" s="18">
        <v>183.20000000000002</v>
      </c>
      <c r="D32" s="60"/>
      <c r="E32" s="92">
        <v>183.20000000000002</v>
      </c>
      <c r="F32" s="18">
        <v>220.3</v>
      </c>
      <c r="G32" s="60"/>
      <c r="H32" s="92">
        <v>220.3</v>
      </c>
      <c r="I32" s="18">
        <v>334.70000000000005</v>
      </c>
      <c r="J32" s="60"/>
      <c r="K32" s="18">
        <v>334.70000000000005</v>
      </c>
      <c r="L32" s="18">
        <v>334.70000000000005</v>
      </c>
      <c r="M32" s="60"/>
      <c r="N32" s="92">
        <v>334.70000000000005</v>
      </c>
      <c r="O32" s="18">
        <v>367.5</v>
      </c>
      <c r="P32" s="60"/>
      <c r="Q32" s="92">
        <v>367.5</v>
      </c>
      <c r="R32" s="18">
        <v>438.5</v>
      </c>
      <c r="S32" s="60"/>
      <c r="T32" s="92">
        <v>438.5</v>
      </c>
      <c r="U32" s="18">
        <v>62</v>
      </c>
      <c r="V32" s="60">
        <v>250</v>
      </c>
      <c r="W32" s="58">
        <v>0.5</v>
      </c>
      <c r="X32" s="57">
        <v>0.6</v>
      </c>
      <c r="Y32" s="4">
        <v>21</v>
      </c>
      <c r="Z32" s="4">
        <v>21</v>
      </c>
    </row>
    <row r="33" spans="1:26" x14ac:dyDescent="0.25">
      <c r="A33" s="163">
        <v>38980</v>
      </c>
      <c r="B33" s="164">
        <v>39082</v>
      </c>
      <c r="C33" s="17">
        <v>183.20000000000002</v>
      </c>
      <c r="D33" s="35"/>
      <c r="E33" s="93">
        <v>183.20000000000002</v>
      </c>
      <c r="F33" s="17">
        <v>220.3</v>
      </c>
      <c r="G33" s="35"/>
      <c r="H33" s="93">
        <v>220.3</v>
      </c>
      <c r="I33" s="17">
        <v>334.70000000000005</v>
      </c>
      <c r="J33" s="35"/>
      <c r="K33" s="17">
        <v>334.70000000000005</v>
      </c>
      <c r="L33" s="17">
        <v>334.70000000000005</v>
      </c>
      <c r="M33" s="35"/>
      <c r="N33" s="93">
        <v>334.70000000000005</v>
      </c>
      <c r="O33" s="17">
        <v>367.5</v>
      </c>
      <c r="P33" s="35"/>
      <c r="Q33" s="93">
        <v>367.5</v>
      </c>
      <c r="R33" s="17">
        <v>438.5</v>
      </c>
      <c r="S33" s="35"/>
      <c r="T33" s="93">
        <v>438.5</v>
      </c>
      <c r="U33" s="17">
        <v>62</v>
      </c>
      <c r="V33" s="35">
        <v>250</v>
      </c>
      <c r="W33" s="62">
        <v>0.5</v>
      </c>
      <c r="X33" s="61">
        <v>0.6</v>
      </c>
      <c r="Y33" s="1">
        <v>21</v>
      </c>
      <c r="Z33" s="1">
        <v>21</v>
      </c>
    </row>
    <row r="34" spans="1:26" x14ac:dyDescent="0.25">
      <c r="A34" s="163">
        <v>39083</v>
      </c>
      <c r="B34" s="164">
        <v>39160</v>
      </c>
      <c r="C34" s="17">
        <v>190.5</v>
      </c>
      <c r="D34" s="35"/>
      <c r="E34" s="93">
        <v>190.5</v>
      </c>
      <c r="F34" s="17">
        <v>229.10000000000002</v>
      </c>
      <c r="G34" s="35"/>
      <c r="H34" s="93">
        <v>229.10000000000002</v>
      </c>
      <c r="I34" s="17">
        <v>348.1</v>
      </c>
      <c r="J34" s="35"/>
      <c r="K34" s="17">
        <v>348.1</v>
      </c>
      <c r="L34" s="17">
        <v>348.1</v>
      </c>
      <c r="M34" s="35"/>
      <c r="N34" s="93">
        <v>348.1</v>
      </c>
      <c r="O34" s="17">
        <v>382.20000000000005</v>
      </c>
      <c r="P34" s="35"/>
      <c r="Q34" s="93">
        <v>382.20000000000005</v>
      </c>
      <c r="R34" s="17">
        <v>456</v>
      </c>
      <c r="S34" s="35"/>
      <c r="T34" s="93">
        <v>456</v>
      </c>
      <c r="U34" s="17">
        <v>62</v>
      </c>
      <c r="V34" s="35">
        <v>250</v>
      </c>
      <c r="W34" s="62">
        <v>0.5</v>
      </c>
      <c r="X34" s="61">
        <v>0.6</v>
      </c>
      <c r="Y34" s="1">
        <v>21</v>
      </c>
      <c r="Z34" s="1">
        <v>21</v>
      </c>
    </row>
    <row r="35" spans="1:26" ht="15.75" thickBot="1" x14ac:dyDescent="0.3">
      <c r="A35" s="180">
        <v>39161</v>
      </c>
      <c r="B35" s="181">
        <v>39263</v>
      </c>
      <c r="C35" s="65">
        <v>190.5</v>
      </c>
      <c r="D35" s="69"/>
      <c r="E35" s="94">
        <v>190.5</v>
      </c>
      <c r="F35" s="65">
        <v>229.10000000000002</v>
      </c>
      <c r="G35" s="69"/>
      <c r="H35" s="94">
        <v>229.10000000000002</v>
      </c>
      <c r="I35" s="65">
        <v>348.1</v>
      </c>
      <c r="J35" s="69"/>
      <c r="K35" s="65">
        <v>348.1</v>
      </c>
      <c r="L35" s="65">
        <v>348.1</v>
      </c>
      <c r="M35" s="69"/>
      <c r="N35" s="94">
        <v>348.1</v>
      </c>
      <c r="O35" s="65">
        <v>382.20000000000005</v>
      </c>
      <c r="P35" s="69"/>
      <c r="Q35" s="94">
        <v>382.20000000000005</v>
      </c>
      <c r="R35" s="65">
        <v>456</v>
      </c>
      <c r="S35" s="69"/>
      <c r="T35" s="94">
        <v>456</v>
      </c>
      <c r="U35" s="65">
        <v>62</v>
      </c>
      <c r="V35" s="69">
        <v>250</v>
      </c>
      <c r="W35" s="67">
        <v>0.5</v>
      </c>
      <c r="X35" s="66">
        <v>0.6</v>
      </c>
      <c r="Y35" s="70">
        <v>21</v>
      </c>
      <c r="Z35" s="70">
        <v>21</v>
      </c>
    </row>
    <row r="36" spans="1:26" x14ac:dyDescent="0.25">
      <c r="A36" s="161">
        <v>39264</v>
      </c>
      <c r="B36" s="162">
        <v>39344</v>
      </c>
      <c r="C36" s="18">
        <v>190.5</v>
      </c>
      <c r="D36" s="60"/>
      <c r="E36" s="92">
        <v>190.5</v>
      </c>
      <c r="F36" s="18">
        <v>229.10000000000002</v>
      </c>
      <c r="G36" s="60"/>
      <c r="H36" s="92">
        <v>229.10000000000002</v>
      </c>
      <c r="I36" s="18">
        <v>348.1</v>
      </c>
      <c r="J36" s="60"/>
      <c r="K36" s="18">
        <v>348.1</v>
      </c>
      <c r="L36" s="18">
        <v>348.1</v>
      </c>
      <c r="M36" s="60"/>
      <c r="N36" s="92">
        <v>348.1</v>
      </c>
      <c r="O36" s="18">
        <v>382.20000000000005</v>
      </c>
      <c r="P36" s="60"/>
      <c r="Q36" s="92">
        <v>382.20000000000005</v>
      </c>
      <c r="R36" s="18">
        <v>456</v>
      </c>
      <c r="S36" s="60"/>
      <c r="T36" s="92">
        <v>456</v>
      </c>
      <c r="U36" s="18">
        <v>62</v>
      </c>
      <c r="V36" s="60">
        <v>250</v>
      </c>
      <c r="W36" s="58">
        <v>0.5</v>
      </c>
      <c r="X36" s="57">
        <v>0.6</v>
      </c>
      <c r="Y36" s="4">
        <v>21</v>
      </c>
      <c r="Z36" s="4">
        <v>21</v>
      </c>
    </row>
    <row r="37" spans="1:26" x14ac:dyDescent="0.25">
      <c r="A37" s="163">
        <v>39345</v>
      </c>
      <c r="B37" s="164">
        <v>39447</v>
      </c>
      <c r="C37" s="17">
        <v>190.5</v>
      </c>
      <c r="D37" s="35"/>
      <c r="E37" s="93">
        <v>190.5</v>
      </c>
      <c r="F37" s="17">
        <v>229.10000000000002</v>
      </c>
      <c r="G37" s="35"/>
      <c r="H37" s="93">
        <v>229.10000000000002</v>
      </c>
      <c r="I37" s="17">
        <v>348.1</v>
      </c>
      <c r="J37" s="35"/>
      <c r="K37" s="17">
        <v>348.1</v>
      </c>
      <c r="L37" s="17">
        <v>348.1</v>
      </c>
      <c r="M37" s="35"/>
      <c r="N37" s="93">
        <v>348.1</v>
      </c>
      <c r="O37" s="17">
        <v>382.20000000000005</v>
      </c>
      <c r="P37" s="35"/>
      <c r="Q37" s="93">
        <v>382.20000000000005</v>
      </c>
      <c r="R37" s="17">
        <v>456</v>
      </c>
      <c r="S37" s="35"/>
      <c r="T37" s="93">
        <v>456</v>
      </c>
      <c r="U37" s="17">
        <v>62</v>
      </c>
      <c r="V37" s="35">
        <v>250</v>
      </c>
      <c r="W37" s="62">
        <v>0.5</v>
      </c>
      <c r="X37" s="61">
        <v>0.6</v>
      </c>
      <c r="Y37" s="1">
        <v>21</v>
      </c>
      <c r="Z37" s="1">
        <v>21</v>
      </c>
    </row>
    <row r="38" spans="1:26" x14ac:dyDescent="0.25">
      <c r="A38" s="163">
        <v>39448</v>
      </c>
      <c r="B38" s="164">
        <v>39526</v>
      </c>
      <c r="C38" s="17">
        <v>194.5</v>
      </c>
      <c r="D38" s="35"/>
      <c r="E38" s="93">
        <v>194.5</v>
      </c>
      <c r="F38" s="17">
        <v>233.9</v>
      </c>
      <c r="G38" s="35"/>
      <c r="H38" s="93">
        <v>233.9</v>
      </c>
      <c r="I38" s="17">
        <v>355.40000000000003</v>
      </c>
      <c r="J38" s="35"/>
      <c r="K38" s="17">
        <v>355.40000000000003</v>
      </c>
      <c r="L38" s="17">
        <v>355.40000000000003</v>
      </c>
      <c r="M38" s="35"/>
      <c r="N38" s="93">
        <v>355.40000000000003</v>
      </c>
      <c r="O38" s="17">
        <v>390.20000000000005</v>
      </c>
      <c r="P38" s="35"/>
      <c r="Q38" s="93">
        <v>390.20000000000005</v>
      </c>
      <c r="R38" s="17">
        <v>465.6</v>
      </c>
      <c r="S38" s="35"/>
      <c r="T38" s="93">
        <v>465.6</v>
      </c>
      <c r="U38" s="17">
        <v>62</v>
      </c>
      <c r="V38" s="35">
        <v>250</v>
      </c>
      <c r="W38" s="62">
        <v>0.5</v>
      </c>
      <c r="X38" s="61">
        <v>0.6</v>
      </c>
      <c r="Y38" s="1">
        <v>21</v>
      </c>
      <c r="Z38" s="1">
        <v>21</v>
      </c>
    </row>
    <row r="39" spans="1:26" ht="15.75" thickBot="1" x14ac:dyDescent="0.3">
      <c r="A39" s="180">
        <v>39527</v>
      </c>
      <c r="B39" s="181">
        <v>39629</v>
      </c>
      <c r="C39" s="65">
        <v>194.5</v>
      </c>
      <c r="D39" s="69"/>
      <c r="E39" s="94">
        <v>194.5</v>
      </c>
      <c r="F39" s="65">
        <v>233.9</v>
      </c>
      <c r="G39" s="69"/>
      <c r="H39" s="94">
        <v>233.9</v>
      </c>
      <c r="I39" s="65">
        <v>355.40000000000003</v>
      </c>
      <c r="J39" s="69"/>
      <c r="K39" s="65">
        <v>355.40000000000003</v>
      </c>
      <c r="L39" s="65">
        <v>355.40000000000003</v>
      </c>
      <c r="M39" s="69"/>
      <c r="N39" s="94">
        <v>355.40000000000003</v>
      </c>
      <c r="O39" s="65">
        <v>390.20000000000005</v>
      </c>
      <c r="P39" s="69"/>
      <c r="Q39" s="94">
        <v>390.20000000000005</v>
      </c>
      <c r="R39" s="65">
        <v>465.6</v>
      </c>
      <c r="S39" s="69"/>
      <c r="T39" s="94">
        <v>465.6</v>
      </c>
      <c r="U39" s="65">
        <v>62</v>
      </c>
      <c r="V39" s="69">
        <v>250</v>
      </c>
      <c r="W39" s="67">
        <v>0.5</v>
      </c>
      <c r="X39" s="66">
        <v>0.6</v>
      </c>
      <c r="Y39" s="70">
        <v>21</v>
      </c>
      <c r="Z39" s="70">
        <v>21</v>
      </c>
    </row>
    <row r="40" spans="1:26" x14ac:dyDescent="0.25">
      <c r="A40" s="161">
        <v>39630</v>
      </c>
      <c r="B40" s="162">
        <v>39710</v>
      </c>
      <c r="C40" s="18">
        <v>194.5</v>
      </c>
      <c r="D40" s="60"/>
      <c r="E40" s="92">
        <v>194.5</v>
      </c>
      <c r="F40" s="18">
        <v>233.9</v>
      </c>
      <c r="G40" s="60"/>
      <c r="H40" s="92">
        <v>233.9</v>
      </c>
      <c r="I40" s="18">
        <v>355.40000000000003</v>
      </c>
      <c r="J40" s="60"/>
      <c r="K40" s="18">
        <v>355.40000000000003</v>
      </c>
      <c r="L40" s="18">
        <v>355.40000000000003</v>
      </c>
      <c r="M40" s="60"/>
      <c r="N40" s="92">
        <v>355.40000000000003</v>
      </c>
      <c r="O40" s="18">
        <v>390.20000000000005</v>
      </c>
      <c r="P40" s="60"/>
      <c r="Q40" s="92">
        <v>390.20000000000005</v>
      </c>
      <c r="R40" s="18">
        <v>465.6</v>
      </c>
      <c r="S40" s="60"/>
      <c r="T40" s="92">
        <v>465.6</v>
      </c>
      <c r="U40" s="18">
        <v>62</v>
      </c>
      <c r="V40" s="60">
        <v>250</v>
      </c>
      <c r="W40" s="58">
        <v>0.5</v>
      </c>
      <c r="X40" s="57">
        <v>0.6</v>
      </c>
      <c r="Y40" s="4">
        <v>21</v>
      </c>
      <c r="Z40" s="4">
        <v>21</v>
      </c>
    </row>
    <row r="41" spans="1:26" x14ac:dyDescent="0.25">
      <c r="A41" s="163">
        <v>39711</v>
      </c>
      <c r="B41" s="164">
        <v>39813</v>
      </c>
      <c r="C41" s="17">
        <v>194.5</v>
      </c>
      <c r="D41" s="35"/>
      <c r="E41" s="93">
        <v>194.5</v>
      </c>
      <c r="F41" s="17">
        <v>233.9</v>
      </c>
      <c r="G41" s="35"/>
      <c r="H41" s="93">
        <v>233.9</v>
      </c>
      <c r="I41" s="17">
        <v>355.40000000000003</v>
      </c>
      <c r="J41" s="35"/>
      <c r="K41" s="17">
        <v>355.40000000000003</v>
      </c>
      <c r="L41" s="17">
        <v>355.40000000000003</v>
      </c>
      <c r="M41" s="35"/>
      <c r="N41" s="93">
        <v>355.40000000000003</v>
      </c>
      <c r="O41" s="17">
        <v>390.20000000000005</v>
      </c>
      <c r="P41" s="35"/>
      <c r="Q41" s="93">
        <v>390.20000000000005</v>
      </c>
      <c r="R41" s="17">
        <v>465.6</v>
      </c>
      <c r="S41" s="35"/>
      <c r="T41" s="93">
        <v>465.6</v>
      </c>
      <c r="U41" s="17">
        <v>62</v>
      </c>
      <c r="V41" s="35">
        <v>250</v>
      </c>
      <c r="W41" s="62">
        <v>0.5</v>
      </c>
      <c r="X41" s="61">
        <v>0.6</v>
      </c>
      <c r="Y41" s="1">
        <v>21</v>
      </c>
      <c r="Z41" s="1">
        <v>21</v>
      </c>
    </row>
    <row r="42" spans="1:26" x14ac:dyDescent="0.25">
      <c r="A42" s="163">
        <v>39814</v>
      </c>
      <c r="B42" s="164">
        <v>39891</v>
      </c>
      <c r="C42" s="17">
        <v>203.3</v>
      </c>
      <c r="D42" s="35"/>
      <c r="E42" s="93">
        <v>203.3</v>
      </c>
      <c r="F42" s="17">
        <v>244.4</v>
      </c>
      <c r="G42" s="35"/>
      <c r="H42" s="93">
        <v>244.4</v>
      </c>
      <c r="I42" s="17">
        <v>371.40000000000003</v>
      </c>
      <c r="J42" s="35"/>
      <c r="K42" s="17">
        <v>371.40000000000003</v>
      </c>
      <c r="L42" s="17">
        <v>371.40000000000003</v>
      </c>
      <c r="M42" s="35"/>
      <c r="N42" s="93">
        <v>371.40000000000003</v>
      </c>
      <c r="O42" s="17">
        <v>407.8</v>
      </c>
      <c r="P42" s="35"/>
      <c r="Q42" s="93">
        <v>407.8</v>
      </c>
      <c r="R42" s="17">
        <v>486.6</v>
      </c>
      <c r="S42" s="35"/>
      <c r="T42" s="93">
        <v>486.6</v>
      </c>
      <c r="U42" s="17">
        <v>62</v>
      </c>
      <c r="V42" s="35">
        <v>250</v>
      </c>
      <c r="W42" s="62">
        <v>0.5</v>
      </c>
      <c r="X42" s="61">
        <v>0.6</v>
      </c>
      <c r="Y42" s="1">
        <v>21</v>
      </c>
      <c r="Z42" s="1">
        <v>21</v>
      </c>
    </row>
    <row r="43" spans="1:26" ht="15.75" thickBot="1" x14ac:dyDescent="0.3">
      <c r="A43" s="180">
        <v>39892</v>
      </c>
      <c r="B43" s="181">
        <v>39994</v>
      </c>
      <c r="C43" s="65">
        <v>203.3</v>
      </c>
      <c r="D43" s="69"/>
      <c r="E43" s="94">
        <v>203.3</v>
      </c>
      <c r="F43" s="65">
        <v>244.4</v>
      </c>
      <c r="G43" s="69"/>
      <c r="H43" s="94">
        <v>244.4</v>
      </c>
      <c r="I43" s="65">
        <v>371.40000000000003</v>
      </c>
      <c r="J43" s="69"/>
      <c r="K43" s="65">
        <v>371.40000000000003</v>
      </c>
      <c r="L43" s="65">
        <v>371.40000000000003</v>
      </c>
      <c r="M43" s="69"/>
      <c r="N43" s="94">
        <v>371.40000000000003</v>
      </c>
      <c r="O43" s="65">
        <v>407.8</v>
      </c>
      <c r="P43" s="69"/>
      <c r="Q43" s="94">
        <v>407.8</v>
      </c>
      <c r="R43" s="65">
        <v>486.6</v>
      </c>
      <c r="S43" s="69"/>
      <c r="T43" s="94">
        <v>486.6</v>
      </c>
      <c r="U43" s="65">
        <v>62</v>
      </c>
      <c r="V43" s="69">
        <v>250</v>
      </c>
      <c r="W43" s="67">
        <v>0.5</v>
      </c>
      <c r="X43" s="66">
        <v>0.6</v>
      </c>
      <c r="Y43" s="70">
        <v>21</v>
      </c>
      <c r="Z43" s="70">
        <v>21</v>
      </c>
    </row>
    <row r="44" spans="1:26" x14ac:dyDescent="0.25">
      <c r="A44" s="161">
        <v>39995</v>
      </c>
      <c r="B44" s="162">
        <v>40075</v>
      </c>
      <c r="C44" s="18">
        <v>203.3</v>
      </c>
      <c r="D44" s="60"/>
      <c r="E44" s="92">
        <v>203.3</v>
      </c>
      <c r="F44" s="18">
        <v>244.4</v>
      </c>
      <c r="G44" s="60"/>
      <c r="H44" s="92">
        <v>244.4</v>
      </c>
      <c r="I44" s="18">
        <v>371.40000000000003</v>
      </c>
      <c r="J44" s="60"/>
      <c r="K44" s="18">
        <v>371.40000000000003</v>
      </c>
      <c r="L44" s="18">
        <v>371.40000000000003</v>
      </c>
      <c r="M44" s="60"/>
      <c r="N44" s="92">
        <v>371.40000000000003</v>
      </c>
      <c r="O44" s="18">
        <v>407.8</v>
      </c>
      <c r="P44" s="60"/>
      <c r="Q44" s="92">
        <v>407.8</v>
      </c>
      <c r="R44" s="18">
        <v>486.6</v>
      </c>
      <c r="S44" s="60"/>
      <c r="T44" s="92">
        <v>486.6</v>
      </c>
      <c r="U44" s="18">
        <v>62</v>
      </c>
      <c r="V44" s="60">
        <v>250</v>
      </c>
      <c r="W44" s="58">
        <v>0.5</v>
      </c>
      <c r="X44" s="57">
        <v>0.6</v>
      </c>
      <c r="Y44" s="4">
        <v>21</v>
      </c>
      <c r="Z44" s="4">
        <v>21</v>
      </c>
    </row>
    <row r="45" spans="1:26" x14ac:dyDescent="0.25">
      <c r="A45" s="163">
        <v>40076</v>
      </c>
      <c r="B45" s="164">
        <v>40178</v>
      </c>
      <c r="C45" s="17">
        <v>203.3</v>
      </c>
      <c r="D45" s="35"/>
      <c r="E45" s="93">
        <v>203.3</v>
      </c>
      <c r="F45" s="17">
        <v>244.4</v>
      </c>
      <c r="G45" s="35"/>
      <c r="H45" s="93">
        <v>244.4</v>
      </c>
      <c r="I45" s="17">
        <v>371.40000000000003</v>
      </c>
      <c r="J45" s="35"/>
      <c r="K45" s="17">
        <v>371.40000000000003</v>
      </c>
      <c r="L45" s="17">
        <v>371.40000000000003</v>
      </c>
      <c r="M45" s="35"/>
      <c r="N45" s="93">
        <v>371.40000000000003</v>
      </c>
      <c r="O45" s="17">
        <v>407.8</v>
      </c>
      <c r="P45" s="35"/>
      <c r="Q45" s="93">
        <v>407.8</v>
      </c>
      <c r="R45" s="17">
        <v>486.6</v>
      </c>
      <c r="S45" s="35"/>
      <c r="T45" s="93">
        <v>486.6</v>
      </c>
      <c r="U45" s="17">
        <v>62</v>
      </c>
      <c r="V45" s="35">
        <v>250</v>
      </c>
      <c r="W45" s="62">
        <v>0.5</v>
      </c>
      <c r="X45" s="61">
        <v>0.6</v>
      </c>
      <c r="Y45" s="1">
        <v>21</v>
      </c>
      <c r="Z45" s="1">
        <v>21</v>
      </c>
    </row>
    <row r="46" spans="1:26" x14ac:dyDescent="0.25">
      <c r="A46" s="163">
        <v>40179</v>
      </c>
      <c r="B46" s="164">
        <v>40256</v>
      </c>
      <c r="C46" s="17">
        <v>206.3</v>
      </c>
      <c r="D46" s="35"/>
      <c r="E46" s="93">
        <v>206.3</v>
      </c>
      <c r="F46" s="17">
        <v>248.10000000000002</v>
      </c>
      <c r="G46" s="35"/>
      <c r="H46" s="93">
        <v>248.10000000000002</v>
      </c>
      <c r="I46" s="17">
        <v>377</v>
      </c>
      <c r="J46" s="35"/>
      <c r="K46" s="17">
        <v>377</v>
      </c>
      <c r="L46" s="17">
        <v>377</v>
      </c>
      <c r="M46" s="35"/>
      <c r="N46" s="93">
        <v>377</v>
      </c>
      <c r="O46" s="17">
        <v>413.90000000000003</v>
      </c>
      <c r="P46" s="35"/>
      <c r="Q46" s="93">
        <v>413.90000000000003</v>
      </c>
      <c r="R46" s="17">
        <v>493.90000000000003</v>
      </c>
      <c r="S46" s="35"/>
      <c r="T46" s="93">
        <v>493.90000000000003</v>
      </c>
      <c r="U46" s="17">
        <v>62</v>
      </c>
      <c r="V46" s="35">
        <v>250</v>
      </c>
      <c r="W46" s="62">
        <v>0.5</v>
      </c>
      <c r="X46" s="61">
        <v>0.6</v>
      </c>
      <c r="Y46" s="1">
        <v>21</v>
      </c>
      <c r="Z46" s="1">
        <v>21</v>
      </c>
    </row>
    <row r="47" spans="1:26" ht="15.75" thickBot="1" x14ac:dyDescent="0.3">
      <c r="A47" s="180">
        <v>40257</v>
      </c>
      <c r="B47" s="181">
        <v>40359</v>
      </c>
      <c r="C47" s="65">
        <v>206.3</v>
      </c>
      <c r="D47" s="69"/>
      <c r="E47" s="94">
        <v>206.3</v>
      </c>
      <c r="F47" s="65">
        <v>248.10000000000002</v>
      </c>
      <c r="G47" s="69"/>
      <c r="H47" s="94">
        <v>248.10000000000002</v>
      </c>
      <c r="I47" s="65">
        <v>377</v>
      </c>
      <c r="J47" s="69"/>
      <c r="K47" s="65">
        <v>377</v>
      </c>
      <c r="L47" s="65">
        <v>377</v>
      </c>
      <c r="M47" s="69"/>
      <c r="N47" s="94">
        <v>377</v>
      </c>
      <c r="O47" s="65">
        <v>413.90000000000003</v>
      </c>
      <c r="P47" s="69"/>
      <c r="Q47" s="94">
        <v>413.90000000000003</v>
      </c>
      <c r="R47" s="65">
        <v>493.90000000000003</v>
      </c>
      <c r="S47" s="69"/>
      <c r="T47" s="94">
        <v>493.90000000000003</v>
      </c>
      <c r="U47" s="65">
        <v>62</v>
      </c>
      <c r="V47" s="69">
        <v>250</v>
      </c>
      <c r="W47" s="67">
        <v>0.5</v>
      </c>
      <c r="X47" s="66">
        <v>0.6</v>
      </c>
      <c r="Y47" s="70">
        <v>21</v>
      </c>
      <c r="Z47" s="70">
        <v>21</v>
      </c>
    </row>
    <row r="48" spans="1:26" x14ac:dyDescent="0.25">
      <c r="A48" s="161">
        <v>40360</v>
      </c>
      <c r="B48" s="162">
        <v>40440</v>
      </c>
      <c r="C48" s="18">
        <v>206.3</v>
      </c>
      <c r="D48" s="60"/>
      <c r="E48" s="92">
        <v>206.3</v>
      </c>
      <c r="F48" s="18">
        <v>248.10000000000002</v>
      </c>
      <c r="G48" s="60"/>
      <c r="H48" s="92">
        <v>248.10000000000002</v>
      </c>
      <c r="I48" s="18">
        <v>377</v>
      </c>
      <c r="J48" s="60"/>
      <c r="K48" s="18">
        <v>377</v>
      </c>
      <c r="L48" s="18">
        <v>377</v>
      </c>
      <c r="M48" s="60"/>
      <c r="N48" s="92">
        <v>377</v>
      </c>
      <c r="O48" s="18">
        <v>413.90000000000003</v>
      </c>
      <c r="P48" s="60"/>
      <c r="Q48" s="92">
        <v>413.90000000000003</v>
      </c>
      <c r="R48" s="18">
        <v>493.90000000000003</v>
      </c>
      <c r="S48" s="60"/>
      <c r="T48" s="92">
        <v>493.90000000000003</v>
      </c>
      <c r="U48" s="18">
        <v>62</v>
      </c>
      <c r="V48" s="60">
        <v>250</v>
      </c>
      <c r="W48" s="58">
        <v>0.5</v>
      </c>
      <c r="X48" s="57">
        <v>0.6</v>
      </c>
      <c r="Y48" s="4">
        <v>21</v>
      </c>
      <c r="Z48" s="4">
        <v>21</v>
      </c>
    </row>
    <row r="49" spans="1:26" x14ac:dyDescent="0.25">
      <c r="A49" s="163">
        <v>40441</v>
      </c>
      <c r="B49" s="164">
        <v>40543</v>
      </c>
      <c r="C49" s="17">
        <v>206.3</v>
      </c>
      <c r="D49" s="35"/>
      <c r="E49" s="93">
        <v>206.3</v>
      </c>
      <c r="F49" s="17">
        <v>248.10000000000002</v>
      </c>
      <c r="G49" s="35"/>
      <c r="H49" s="93">
        <v>248.10000000000002</v>
      </c>
      <c r="I49" s="17">
        <v>377</v>
      </c>
      <c r="J49" s="35"/>
      <c r="K49" s="17">
        <v>377</v>
      </c>
      <c r="L49" s="17">
        <v>377</v>
      </c>
      <c r="M49" s="35"/>
      <c r="N49" s="93">
        <v>377</v>
      </c>
      <c r="O49" s="17">
        <v>413.90000000000003</v>
      </c>
      <c r="P49" s="35"/>
      <c r="Q49" s="93">
        <v>413.90000000000003</v>
      </c>
      <c r="R49" s="17">
        <v>493.90000000000003</v>
      </c>
      <c r="S49" s="35"/>
      <c r="T49" s="93">
        <v>493.90000000000003</v>
      </c>
      <c r="U49" s="17">
        <v>62</v>
      </c>
      <c r="V49" s="35">
        <v>250</v>
      </c>
      <c r="W49" s="62">
        <v>0.5</v>
      </c>
      <c r="X49" s="61">
        <v>0.6</v>
      </c>
      <c r="Y49" s="1">
        <v>21</v>
      </c>
      <c r="Z49" s="1">
        <v>21</v>
      </c>
    </row>
    <row r="50" spans="1:26" x14ac:dyDescent="0.25">
      <c r="A50" s="163">
        <v>40544</v>
      </c>
      <c r="B50" s="164">
        <v>40621</v>
      </c>
      <c r="C50" s="17">
        <v>212.70000000000002</v>
      </c>
      <c r="D50" s="35"/>
      <c r="E50" s="93">
        <v>212.70000000000002</v>
      </c>
      <c r="F50" s="17">
        <v>255.8</v>
      </c>
      <c r="G50" s="35"/>
      <c r="H50" s="93">
        <v>255.8</v>
      </c>
      <c r="I50" s="17">
        <v>388.70000000000005</v>
      </c>
      <c r="J50" s="35"/>
      <c r="K50" s="17">
        <v>388.70000000000005</v>
      </c>
      <c r="L50" s="17">
        <v>388.70000000000005</v>
      </c>
      <c r="M50" s="35"/>
      <c r="N50" s="93">
        <v>388.70000000000005</v>
      </c>
      <c r="O50" s="17">
        <v>426.70000000000005</v>
      </c>
      <c r="P50" s="35"/>
      <c r="Q50" s="93">
        <v>426.70000000000005</v>
      </c>
      <c r="R50" s="17">
        <v>509.20000000000005</v>
      </c>
      <c r="S50" s="35"/>
      <c r="T50" s="93">
        <v>509.20000000000005</v>
      </c>
      <c r="U50" s="17">
        <v>62</v>
      </c>
      <c r="V50" s="35">
        <v>250</v>
      </c>
      <c r="W50" s="62">
        <v>0.5</v>
      </c>
      <c r="X50" s="61">
        <v>0.6</v>
      </c>
      <c r="Y50" s="1">
        <v>21</v>
      </c>
      <c r="Z50" s="1">
        <v>21</v>
      </c>
    </row>
    <row r="51" spans="1:26" ht="15.75" thickBot="1" x14ac:dyDescent="0.3">
      <c r="A51" s="180">
        <v>40622</v>
      </c>
      <c r="B51" s="181">
        <v>40724</v>
      </c>
      <c r="C51" s="65">
        <v>212.70000000000002</v>
      </c>
      <c r="D51" s="69"/>
      <c r="E51" s="94">
        <v>212.70000000000002</v>
      </c>
      <c r="F51" s="65">
        <v>255.8</v>
      </c>
      <c r="G51" s="69"/>
      <c r="H51" s="94">
        <v>255.8</v>
      </c>
      <c r="I51" s="65">
        <v>388.70000000000005</v>
      </c>
      <c r="J51" s="69"/>
      <c r="K51" s="65">
        <v>388.70000000000005</v>
      </c>
      <c r="L51" s="65">
        <v>388.70000000000005</v>
      </c>
      <c r="M51" s="69"/>
      <c r="N51" s="94">
        <v>388.70000000000005</v>
      </c>
      <c r="O51" s="65">
        <v>426.70000000000005</v>
      </c>
      <c r="P51" s="69"/>
      <c r="Q51" s="94">
        <v>426.70000000000005</v>
      </c>
      <c r="R51" s="65">
        <v>509.20000000000005</v>
      </c>
      <c r="S51" s="69"/>
      <c r="T51" s="94">
        <v>509.20000000000005</v>
      </c>
      <c r="U51" s="65">
        <v>62</v>
      </c>
      <c r="V51" s="69">
        <v>250</v>
      </c>
      <c r="W51" s="67">
        <v>0.5</v>
      </c>
      <c r="X51" s="66">
        <v>0.6</v>
      </c>
      <c r="Y51" s="70">
        <v>21</v>
      </c>
      <c r="Z51" s="70">
        <v>21</v>
      </c>
    </row>
    <row r="52" spans="1:26" x14ac:dyDescent="0.25">
      <c r="A52" s="161">
        <v>40725</v>
      </c>
      <c r="B52" s="162">
        <v>40805</v>
      </c>
      <c r="C52" s="18">
        <v>212.70000000000002</v>
      </c>
      <c r="D52" s="60"/>
      <c r="E52" s="92">
        <v>212.70000000000002</v>
      </c>
      <c r="F52" s="18">
        <v>255.8</v>
      </c>
      <c r="G52" s="60"/>
      <c r="H52" s="92">
        <v>255.8</v>
      </c>
      <c r="I52" s="18">
        <v>388.70000000000005</v>
      </c>
      <c r="J52" s="60"/>
      <c r="K52" s="18">
        <v>388.70000000000005</v>
      </c>
      <c r="L52" s="18">
        <v>388.70000000000005</v>
      </c>
      <c r="M52" s="60"/>
      <c r="N52" s="92">
        <v>388.70000000000005</v>
      </c>
      <c r="O52" s="18">
        <v>426.70000000000005</v>
      </c>
      <c r="P52" s="60"/>
      <c r="Q52" s="92">
        <v>426.70000000000005</v>
      </c>
      <c r="R52" s="18">
        <v>509.20000000000005</v>
      </c>
      <c r="S52" s="60"/>
      <c r="T52" s="92">
        <v>509.20000000000005</v>
      </c>
      <c r="U52" s="18">
        <v>62</v>
      </c>
      <c r="V52" s="60">
        <v>250</v>
      </c>
      <c r="W52" s="58">
        <v>0.5</v>
      </c>
      <c r="X52" s="57">
        <v>0.6</v>
      </c>
      <c r="Y52" s="4">
        <v>21</v>
      </c>
      <c r="Z52" s="4">
        <v>21</v>
      </c>
    </row>
    <row r="53" spans="1:26" x14ac:dyDescent="0.25">
      <c r="A53" s="163">
        <v>40806</v>
      </c>
      <c r="B53" s="164">
        <v>40908</v>
      </c>
      <c r="C53" s="17">
        <v>212.70000000000002</v>
      </c>
      <c r="D53" s="35"/>
      <c r="E53" s="93">
        <v>212.70000000000002</v>
      </c>
      <c r="F53" s="17">
        <v>255.8</v>
      </c>
      <c r="G53" s="35"/>
      <c r="H53" s="93">
        <v>255.8</v>
      </c>
      <c r="I53" s="17">
        <v>388.70000000000005</v>
      </c>
      <c r="J53" s="35"/>
      <c r="K53" s="17">
        <v>388.70000000000005</v>
      </c>
      <c r="L53" s="17">
        <v>388.70000000000005</v>
      </c>
      <c r="M53" s="35"/>
      <c r="N53" s="93">
        <v>388.70000000000005</v>
      </c>
      <c r="O53" s="17">
        <v>426.70000000000005</v>
      </c>
      <c r="P53" s="35"/>
      <c r="Q53" s="93">
        <v>426.70000000000005</v>
      </c>
      <c r="R53" s="17">
        <v>509.20000000000005</v>
      </c>
      <c r="S53" s="35"/>
      <c r="T53" s="93">
        <v>509.20000000000005</v>
      </c>
      <c r="U53" s="17">
        <v>62</v>
      </c>
      <c r="V53" s="35">
        <v>250</v>
      </c>
      <c r="W53" s="62">
        <v>0.5</v>
      </c>
      <c r="X53" s="61">
        <v>0.6</v>
      </c>
      <c r="Y53" s="1">
        <v>21</v>
      </c>
      <c r="Z53" s="1">
        <v>21</v>
      </c>
    </row>
    <row r="54" spans="1:26" x14ac:dyDescent="0.25">
      <c r="A54" s="163">
        <v>40909</v>
      </c>
      <c r="B54" s="164">
        <v>40987</v>
      </c>
      <c r="C54" s="17">
        <v>220.4</v>
      </c>
      <c r="D54" s="35"/>
      <c r="E54" s="93">
        <v>220.4</v>
      </c>
      <c r="F54" s="17">
        <v>265</v>
      </c>
      <c r="G54" s="35"/>
      <c r="H54" s="93">
        <v>265</v>
      </c>
      <c r="I54" s="17">
        <v>402.70000000000005</v>
      </c>
      <c r="J54" s="35"/>
      <c r="K54" s="17">
        <v>402.70000000000005</v>
      </c>
      <c r="L54" s="17">
        <v>402.70000000000005</v>
      </c>
      <c r="M54" s="35"/>
      <c r="N54" s="93">
        <v>402.70000000000005</v>
      </c>
      <c r="O54" s="17">
        <v>442.1</v>
      </c>
      <c r="P54" s="35"/>
      <c r="Q54" s="93">
        <v>442.1</v>
      </c>
      <c r="R54" s="17">
        <v>527.5</v>
      </c>
      <c r="S54" s="35"/>
      <c r="T54" s="93">
        <v>527.5</v>
      </c>
      <c r="U54" s="17">
        <v>62</v>
      </c>
      <c r="V54" s="35">
        <v>250</v>
      </c>
      <c r="W54" s="62">
        <v>0.5</v>
      </c>
      <c r="X54" s="61">
        <v>0.6</v>
      </c>
      <c r="Y54" s="1">
        <v>21</v>
      </c>
      <c r="Z54" s="1">
        <v>21</v>
      </c>
    </row>
    <row r="55" spans="1:26" ht="15.75" thickBot="1" x14ac:dyDescent="0.3">
      <c r="A55" s="180">
        <v>40988</v>
      </c>
      <c r="B55" s="181">
        <v>41090</v>
      </c>
      <c r="C55" s="65">
        <v>220.4</v>
      </c>
      <c r="D55" s="69"/>
      <c r="E55" s="94">
        <v>220.4</v>
      </c>
      <c r="F55" s="65">
        <v>265</v>
      </c>
      <c r="G55" s="69"/>
      <c r="H55" s="94">
        <v>265</v>
      </c>
      <c r="I55" s="65">
        <v>402.70000000000005</v>
      </c>
      <c r="J55" s="69"/>
      <c r="K55" s="65">
        <v>402.70000000000005</v>
      </c>
      <c r="L55" s="65">
        <v>402.70000000000005</v>
      </c>
      <c r="M55" s="69"/>
      <c r="N55" s="94">
        <v>402.70000000000005</v>
      </c>
      <c r="O55" s="65">
        <v>442.1</v>
      </c>
      <c r="P55" s="69"/>
      <c r="Q55" s="94">
        <v>442.1</v>
      </c>
      <c r="R55" s="65">
        <v>527.5</v>
      </c>
      <c r="S55" s="69"/>
      <c r="T55" s="94">
        <v>527.5</v>
      </c>
      <c r="U55" s="65">
        <v>62</v>
      </c>
      <c r="V55" s="69">
        <v>250</v>
      </c>
      <c r="W55" s="67">
        <v>0.5</v>
      </c>
      <c r="X55" s="66">
        <v>0.6</v>
      </c>
      <c r="Y55" s="70">
        <v>21</v>
      </c>
      <c r="Z55" s="70">
        <v>21</v>
      </c>
    </row>
    <row r="56" spans="1:26" x14ac:dyDescent="0.25">
      <c r="A56" s="161">
        <v>41091</v>
      </c>
      <c r="B56" s="162">
        <v>41171</v>
      </c>
      <c r="C56" s="18">
        <v>220.4</v>
      </c>
      <c r="D56" s="60"/>
      <c r="E56" s="92">
        <v>220.4</v>
      </c>
      <c r="F56" s="18">
        <v>265</v>
      </c>
      <c r="G56" s="60"/>
      <c r="H56" s="92">
        <v>265</v>
      </c>
      <c r="I56" s="18">
        <v>402.70000000000005</v>
      </c>
      <c r="J56" s="60"/>
      <c r="K56" s="18">
        <v>402.70000000000005</v>
      </c>
      <c r="L56" s="18">
        <v>402.70000000000005</v>
      </c>
      <c r="M56" s="60"/>
      <c r="N56" s="92">
        <v>402.70000000000005</v>
      </c>
      <c r="O56" s="18">
        <v>442.1</v>
      </c>
      <c r="P56" s="60"/>
      <c r="Q56" s="92">
        <v>442.1</v>
      </c>
      <c r="R56" s="18">
        <v>527.5</v>
      </c>
      <c r="S56" s="60"/>
      <c r="T56" s="92">
        <v>527.5</v>
      </c>
      <c r="U56" s="18">
        <v>143</v>
      </c>
      <c r="V56" s="60">
        <v>250</v>
      </c>
      <c r="W56" s="58">
        <v>0.5</v>
      </c>
      <c r="X56" s="57">
        <v>0.6</v>
      </c>
      <c r="Y56" s="4">
        <v>22</v>
      </c>
      <c r="Z56" s="4">
        <v>22</v>
      </c>
    </row>
    <row r="57" spans="1:26" x14ac:dyDescent="0.25">
      <c r="A57" s="163">
        <v>41172</v>
      </c>
      <c r="B57" s="164">
        <v>41274</v>
      </c>
      <c r="C57" s="17">
        <v>220.4</v>
      </c>
      <c r="D57" s="35"/>
      <c r="E57" s="93">
        <v>220.4</v>
      </c>
      <c r="F57" s="17">
        <v>265</v>
      </c>
      <c r="G57" s="35"/>
      <c r="H57" s="93">
        <v>265</v>
      </c>
      <c r="I57" s="17">
        <v>402.70000000000005</v>
      </c>
      <c r="J57" s="35"/>
      <c r="K57" s="17">
        <v>402.70000000000005</v>
      </c>
      <c r="L57" s="17">
        <v>402.70000000000005</v>
      </c>
      <c r="M57" s="35"/>
      <c r="N57" s="93">
        <v>402.70000000000005</v>
      </c>
      <c r="O57" s="17">
        <v>442.1</v>
      </c>
      <c r="P57" s="35"/>
      <c r="Q57" s="93">
        <v>442.1</v>
      </c>
      <c r="R57" s="17">
        <v>527.5</v>
      </c>
      <c r="S57" s="35"/>
      <c r="T57" s="93">
        <v>527.5</v>
      </c>
      <c r="U57" s="17">
        <v>143</v>
      </c>
      <c r="V57" s="35">
        <v>250</v>
      </c>
      <c r="W57" s="62">
        <v>0.5</v>
      </c>
      <c r="X57" s="61">
        <v>0.6</v>
      </c>
      <c r="Y57" s="1">
        <v>22</v>
      </c>
      <c r="Z57" s="1">
        <v>22</v>
      </c>
    </row>
    <row r="58" spans="1:26" s="5" customFormat="1" x14ac:dyDescent="0.25">
      <c r="A58" s="496">
        <v>41275</v>
      </c>
      <c r="B58" s="497">
        <v>41352</v>
      </c>
      <c r="C58" s="375">
        <v>223</v>
      </c>
      <c r="D58" s="374"/>
      <c r="E58" s="373">
        <v>223</v>
      </c>
      <c r="F58" s="375">
        <v>268.2</v>
      </c>
      <c r="G58" s="374"/>
      <c r="H58" s="373">
        <v>268.2</v>
      </c>
      <c r="I58" s="375">
        <v>407.5</v>
      </c>
      <c r="J58" s="374"/>
      <c r="K58" s="375">
        <v>407.5</v>
      </c>
      <c r="L58" s="375">
        <v>407.5</v>
      </c>
      <c r="M58" s="374"/>
      <c r="N58" s="373">
        <v>407.5</v>
      </c>
      <c r="O58" s="375">
        <v>447.40000000000003</v>
      </c>
      <c r="P58" s="374"/>
      <c r="Q58" s="373">
        <v>447.40000000000003</v>
      </c>
      <c r="R58" s="375">
        <v>533.80000000000007</v>
      </c>
      <c r="S58" s="374"/>
      <c r="T58" s="373">
        <v>533.80000000000007</v>
      </c>
      <c r="U58" s="375">
        <v>143</v>
      </c>
      <c r="V58" s="374">
        <v>250</v>
      </c>
      <c r="W58" s="403">
        <v>0.5</v>
      </c>
      <c r="X58" s="377">
        <v>0.6</v>
      </c>
      <c r="Y58" s="397">
        <v>22</v>
      </c>
      <c r="Z58" s="397">
        <v>22</v>
      </c>
    </row>
    <row r="59" spans="1:26" s="5" customFormat="1" ht="15.75" thickBot="1" x14ac:dyDescent="0.3">
      <c r="A59" s="538">
        <v>41353</v>
      </c>
      <c r="B59" s="539">
        <v>41455</v>
      </c>
      <c r="C59" s="540">
        <v>223</v>
      </c>
      <c r="D59" s="541"/>
      <c r="E59" s="542">
        <v>223</v>
      </c>
      <c r="F59" s="540">
        <v>268.2</v>
      </c>
      <c r="G59" s="541"/>
      <c r="H59" s="542">
        <v>268.2</v>
      </c>
      <c r="I59" s="540">
        <v>407.5</v>
      </c>
      <c r="J59" s="541"/>
      <c r="K59" s="540">
        <v>407.5</v>
      </c>
      <c r="L59" s="540">
        <v>407.5</v>
      </c>
      <c r="M59" s="541"/>
      <c r="N59" s="542">
        <v>407.5</v>
      </c>
      <c r="O59" s="540">
        <v>447.40000000000003</v>
      </c>
      <c r="P59" s="541"/>
      <c r="Q59" s="542">
        <v>447.40000000000003</v>
      </c>
      <c r="R59" s="540">
        <v>533.80000000000007</v>
      </c>
      <c r="S59" s="541"/>
      <c r="T59" s="542">
        <v>533.80000000000007</v>
      </c>
      <c r="U59" s="540">
        <v>143</v>
      </c>
      <c r="V59" s="541">
        <v>250</v>
      </c>
      <c r="W59" s="544">
        <v>0.5</v>
      </c>
      <c r="X59" s="545">
        <v>0.6</v>
      </c>
      <c r="Y59" s="549">
        <v>22</v>
      </c>
      <c r="Z59" s="549">
        <v>22</v>
      </c>
    </row>
    <row r="60" spans="1:26" s="5" customFormat="1" x14ac:dyDescent="0.25">
      <c r="A60" s="531">
        <v>41456</v>
      </c>
      <c r="B60" s="532">
        <v>41536</v>
      </c>
      <c r="C60" s="534">
        <v>223</v>
      </c>
      <c r="D60" s="535"/>
      <c r="E60" s="533">
        <v>223</v>
      </c>
      <c r="F60" s="534">
        <v>268.2</v>
      </c>
      <c r="G60" s="535"/>
      <c r="H60" s="533">
        <v>268.2</v>
      </c>
      <c r="I60" s="534">
        <v>407.5</v>
      </c>
      <c r="J60" s="535"/>
      <c r="K60" s="534">
        <v>407.5</v>
      </c>
      <c r="L60" s="534">
        <v>407.5</v>
      </c>
      <c r="M60" s="535"/>
      <c r="N60" s="533">
        <v>407.5</v>
      </c>
      <c r="O60" s="534">
        <v>447.40000000000003</v>
      </c>
      <c r="P60" s="535"/>
      <c r="Q60" s="533">
        <v>447.40000000000003</v>
      </c>
      <c r="R60" s="534">
        <v>533.80000000000007</v>
      </c>
      <c r="S60" s="535"/>
      <c r="T60" s="533">
        <v>533.80000000000007</v>
      </c>
      <c r="U60" s="534">
        <v>143</v>
      </c>
      <c r="V60" s="535">
        <v>250</v>
      </c>
      <c r="W60" s="546">
        <v>0.5</v>
      </c>
      <c r="X60" s="547">
        <v>0.6</v>
      </c>
      <c r="Y60" s="537">
        <v>22</v>
      </c>
      <c r="Z60" s="537">
        <v>22</v>
      </c>
    </row>
    <row r="61" spans="1:26" s="5" customFormat="1" x14ac:dyDescent="0.25">
      <c r="A61" s="496">
        <v>41537</v>
      </c>
      <c r="B61" s="497">
        <v>41639</v>
      </c>
      <c r="C61" s="375">
        <v>223</v>
      </c>
      <c r="D61" s="374"/>
      <c r="E61" s="373">
        <v>223</v>
      </c>
      <c r="F61" s="375">
        <v>268.2</v>
      </c>
      <c r="G61" s="374"/>
      <c r="H61" s="373">
        <v>268.2</v>
      </c>
      <c r="I61" s="375">
        <v>407.5</v>
      </c>
      <c r="J61" s="374"/>
      <c r="K61" s="375">
        <v>407.5</v>
      </c>
      <c r="L61" s="375">
        <v>407.5</v>
      </c>
      <c r="M61" s="374"/>
      <c r="N61" s="373">
        <v>407.5</v>
      </c>
      <c r="O61" s="375">
        <v>447.40000000000003</v>
      </c>
      <c r="P61" s="374"/>
      <c r="Q61" s="373">
        <v>447.40000000000003</v>
      </c>
      <c r="R61" s="375">
        <v>533.80000000000007</v>
      </c>
      <c r="S61" s="374"/>
      <c r="T61" s="373">
        <v>533.80000000000007</v>
      </c>
      <c r="U61" s="375">
        <v>143</v>
      </c>
      <c r="V61" s="374">
        <v>250</v>
      </c>
      <c r="W61" s="403">
        <v>0.5</v>
      </c>
      <c r="X61" s="377">
        <v>0.6</v>
      </c>
      <c r="Y61" s="397">
        <v>22</v>
      </c>
      <c r="Z61" s="397">
        <v>22</v>
      </c>
    </row>
    <row r="62" spans="1:26" s="5" customFormat="1" x14ac:dyDescent="0.25">
      <c r="A62" s="496">
        <v>41640</v>
      </c>
      <c r="B62" s="497">
        <v>41717</v>
      </c>
      <c r="C62" s="375">
        <v>226.8</v>
      </c>
      <c r="D62" s="374">
        <v>3.9000000000000004</v>
      </c>
      <c r="E62" s="373">
        <v>230.70000000000002</v>
      </c>
      <c r="F62" s="375">
        <v>272.8</v>
      </c>
      <c r="G62" s="374">
        <v>4.6000000000000005</v>
      </c>
      <c r="H62" s="373">
        <v>277.40000000000003</v>
      </c>
      <c r="I62" s="375">
        <v>414.40000000000003</v>
      </c>
      <c r="J62" s="374">
        <v>7</v>
      </c>
      <c r="K62" s="375">
        <v>421.40000000000003</v>
      </c>
      <c r="L62" s="375">
        <v>414.40000000000003</v>
      </c>
      <c r="M62" s="374">
        <v>7</v>
      </c>
      <c r="N62" s="373">
        <v>421.40000000000003</v>
      </c>
      <c r="O62" s="375">
        <v>455</v>
      </c>
      <c r="P62" s="374">
        <v>7.7</v>
      </c>
      <c r="Q62" s="373">
        <v>462.7</v>
      </c>
      <c r="R62" s="375">
        <v>542.9</v>
      </c>
      <c r="S62" s="374">
        <v>9.2000000000000011</v>
      </c>
      <c r="T62" s="373">
        <v>552.1</v>
      </c>
      <c r="U62" s="375">
        <v>143</v>
      </c>
      <c r="V62" s="374">
        <v>250</v>
      </c>
      <c r="W62" s="403">
        <v>0.5</v>
      </c>
      <c r="X62" s="377">
        <v>0.6</v>
      </c>
      <c r="Y62" s="397">
        <v>22</v>
      </c>
      <c r="Z62" s="397">
        <v>22</v>
      </c>
    </row>
    <row r="63" spans="1:26" s="5" customFormat="1" ht="15.75" thickBot="1" x14ac:dyDescent="0.3">
      <c r="A63" s="538">
        <v>41718</v>
      </c>
      <c r="B63" s="539">
        <v>41820</v>
      </c>
      <c r="C63" s="540">
        <v>226.8</v>
      </c>
      <c r="D63" s="541">
        <v>3.9000000000000004</v>
      </c>
      <c r="E63" s="542">
        <v>230.70000000000002</v>
      </c>
      <c r="F63" s="540">
        <v>272.8</v>
      </c>
      <c r="G63" s="541">
        <v>4.6000000000000005</v>
      </c>
      <c r="H63" s="542">
        <v>277.40000000000003</v>
      </c>
      <c r="I63" s="540">
        <v>414.40000000000003</v>
      </c>
      <c r="J63" s="541">
        <v>7</v>
      </c>
      <c r="K63" s="540">
        <v>421.40000000000003</v>
      </c>
      <c r="L63" s="540">
        <v>414.40000000000003</v>
      </c>
      <c r="M63" s="541">
        <v>7</v>
      </c>
      <c r="N63" s="542">
        <v>421.40000000000003</v>
      </c>
      <c r="O63" s="540">
        <v>455</v>
      </c>
      <c r="P63" s="541">
        <v>7.7</v>
      </c>
      <c r="Q63" s="542">
        <v>462.7</v>
      </c>
      <c r="R63" s="540">
        <v>542.9</v>
      </c>
      <c r="S63" s="541">
        <v>9.2000000000000011</v>
      </c>
      <c r="T63" s="542">
        <v>552.1</v>
      </c>
      <c r="U63" s="540">
        <v>143</v>
      </c>
      <c r="V63" s="541">
        <v>250</v>
      </c>
      <c r="W63" s="544">
        <v>0.5</v>
      </c>
      <c r="X63" s="545">
        <v>0.6</v>
      </c>
      <c r="Y63" s="549">
        <v>22</v>
      </c>
      <c r="Z63" s="549">
        <v>22</v>
      </c>
    </row>
    <row r="64" spans="1:26" x14ac:dyDescent="0.25">
      <c r="A64" s="531">
        <v>41821</v>
      </c>
      <c r="B64" s="532">
        <v>41901</v>
      </c>
      <c r="C64" s="534">
        <v>226.8</v>
      </c>
      <c r="D64" s="535">
        <v>3.9000000000000004</v>
      </c>
      <c r="E64" s="533">
        <v>230.70000000000002</v>
      </c>
      <c r="F64" s="534">
        <v>272.8</v>
      </c>
      <c r="G64" s="535">
        <v>4.6000000000000005</v>
      </c>
      <c r="H64" s="533">
        <v>277.40000000000003</v>
      </c>
      <c r="I64" s="534">
        <v>414.40000000000003</v>
      </c>
      <c r="J64" s="535">
        <v>7</v>
      </c>
      <c r="K64" s="534">
        <v>421.40000000000003</v>
      </c>
      <c r="L64" s="534">
        <v>414.40000000000003</v>
      </c>
      <c r="M64" s="535">
        <v>7</v>
      </c>
      <c r="N64" s="533">
        <v>421.40000000000003</v>
      </c>
      <c r="O64" s="534">
        <v>455</v>
      </c>
      <c r="P64" s="535">
        <v>7.7</v>
      </c>
      <c r="Q64" s="533">
        <v>462.7</v>
      </c>
      <c r="R64" s="534">
        <v>542.9</v>
      </c>
      <c r="S64" s="535">
        <v>9.2000000000000011</v>
      </c>
      <c r="T64" s="533">
        <v>552.1</v>
      </c>
      <c r="U64" s="534">
        <v>143</v>
      </c>
      <c r="V64" s="535">
        <v>250</v>
      </c>
      <c r="W64" s="546">
        <v>0.5</v>
      </c>
      <c r="X64" s="547">
        <v>0.6</v>
      </c>
      <c r="Y64" s="537">
        <v>22</v>
      </c>
      <c r="Z64" s="537">
        <v>22</v>
      </c>
    </row>
    <row r="65" spans="1:26" x14ac:dyDescent="0.25">
      <c r="A65" s="496">
        <v>41902</v>
      </c>
      <c r="B65" s="497">
        <v>42004</v>
      </c>
      <c r="C65" s="375">
        <v>226.8</v>
      </c>
      <c r="D65" s="374">
        <v>3.9000000000000004</v>
      </c>
      <c r="E65" s="373">
        <v>230.70000000000002</v>
      </c>
      <c r="F65" s="375">
        <v>272.8</v>
      </c>
      <c r="G65" s="374">
        <v>4.6000000000000005</v>
      </c>
      <c r="H65" s="373">
        <v>277.40000000000003</v>
      </c>
      <c r="I65" s="375">
        <v>414.40000000000003</v>
      </c>
      <c r="J65" s="374">
        <v>7</v>
      </c>
      <c r="K65" s="375">
        <v>421.40000000000003</v>
      </c>
      <c r="L65" s="375">
        <v>414.40000000000003</v>
      </c>
      <c r="M65" s="374">
        <v>7</v>
      </c>
      <c r="N65" s="373">
        <v>421.40000000000003</v>
      </c>
      <c r="O65" s="375">
        <v>455</v>
      </c>
      <c r="P65" s="374">
        <v>7.7</v>
      </c>
      <c r="Q65" s="373">
        <v>462.7</v>
      </c>
      <c r="R65" s="375">
        <v>542.9</v>
      </c>
      <c r="S65" s="374">
        <v>9.2000000000000011</v>
      </c>
      <c r="T65" s="373">
        <v>552.1</v>
      </c>
      <c r="U65" s="375">
        <v>143</v>
      </c>
      <c r="V65" s="374">
        <v>250</v>
      </c>
      <c r="W65" s="403">
        <v>0.5</v>
      </c>
      <c r="X65" s="377">
        <v>0.6</v>
      </c>
      <c r="Y65" s="397">
        <v>22</v>
      </c>
      <c r="Z65" s="397">
        <v>22</v>
      </c>
    </row>
    <row r="66" spans="1:26" x14ac:dyDescent="0.25">
      <c r="A66" s="496">
        <v>42005</v>
      </c>
      <c r="B66" s="497">
        <v>42082</v>
      </c>
      <c r="C66" s="375">
        <v>233.60000000000002</v>
      </c>
      <c r="D66" s="374">
        <v>3.9000000000000004</v>
      </c>
      <c r="E66" s="373">
        <v>237.50000000000003</v>
      </c>
      <c r="F66" s="375">
        <v>281</v>
      </c>
      <c r="G66" s="374">
        <v>4.6000000000000005</v>
      </c>
      <c r="H66" s="373">
        <v>285.60000000000002</v>
      </c>
      <c r="I66" s="375">
        <v>426.8</v>
      </c>
      <c r="J66" s="374">
        <v>7</v>
      </c>
      <c r="K66" s="375">
        <v>433.8</v>
      </c>
      <c r="L66" s="375">
        <v>426.8</v>
      </c>
      <c r="M66" s="374">
        <v>7</v>
      </c>
      <c r="N66" s="373">
        <v>433.8</v>
      </c>
      <c r="O66" s="375">
        <v>468.70000000000005</v>
      </c>
      <c r="P66" s="374">
        <v>7.7</v>
      </c>
      <c r="Q66" s="373">
        <v>476.40000000000003</v>
      </c>
      <c r="R66" s="375">
        <v>559.20000000000005</v>
      </c>
      <c r="S66" s="374">
        <v>9.2000000000000011</v>
      </c>
      <c r="T66" s="373">
        <v>568.40000000000009</v>
      </c>
      <c r="U66" s="375">
        <v>143</v>
      </c>
      <c r="V66" s="374">
        <v>250</v>
      </c>
      <c r="W66" s="403">
        <v>0.5</v>
      </c>
      <c r="X66" s="377">
        <v>0.6</v>
      </c>
      <c r="Y66" s="397">
        <v>22</v>
      </c>
      <c r="Z66" s="397">
        <v>22</v>
      </c>
    </row>
    <row r="67" spans="1:26" ht="15.75" thickBot="1" x14ac:dyDescent="0.3">
      <c r="A67" s="538">
        <v>42083</v>
      </c>
      <c r="B67" s="539">
        <v>42185</v>
      </c>
      <c r="C67" s="540">
        <v>233.60000000000002</v>
      </c>
      <c r="D67" s="541">
        <v>3.9000000000000004</v>
      </c>
      <c r="E67" s="542">
        <v>237.50000000000003</v>
      </c>
      <c r="F67" s="540">
        <v>281</v>
      </c>
      <c r="G67" s="541">
        <v>4.6000000000000005</v>
      </c>
      <c r="H67" s="542">
        <v>285.60000000000002</v>
      </c>
      <c r="I67" s="540">
        <v>426.8</v>
      </c>
      <c r="J67" s="541">
        <v>7</v>
      </c>
      <c r="K67" s="540">
        <v>433.8</v>
      </c>
      <c r="L67" s="540">
        <v>426.8</v>
      </c>
      <c r="M67" s="541">
        <v>7</v>
      </c>
      <c r="N67" s="542">
        <v>433.8</v>
      </c>
      <c r="O67" s="540">
        <v>468.70000000000005</v>
      </c>
      <c r="P67" s="541">
        <v>7.7</v>
      </c>
      <c r="Q67" s="542">
        <v>476.40000000000003</v>
      </c>
      <c r="R67" s="540">
        <v>559.20000000000005</v>
      </c>
      <c r="S67" s="541">
        <v>9.2000000000000011</v>
      </c>
      <c r="T67" s="542">
        <v>568.40000000000009</v>
      </c>
      <c r="U67" s="540">
        <v>143</v>
      </c>
      <c r="V67" s="541">
        <v>250</v>
      </c>
      <c r="W67" s="544">
        <v>0.5</v>
      </c>
      <c r="X67" s="545">
        <v>0.6</v>
      </c>
      <c r="Y67" s="549">
        <v>22</v>
      </c>
      <c r="Z67" s="549">
        <v>22</v>
      </c>
    </row>
    <row r="68" spans="1:26" x14ac:dyDescent="0.25">
      <c r="A68" s="531">
        <v>42186</v>
      </c>
      <c r="B68" s="532">
        <v>42266</v>
      </c>
      <c r="C68" s="534">
        <v>233.60000000000002</v>
      </c>
      <c r="D68" s="535">
        <v>3.9000000000000004</v>
      </c>
      <c r="E68" s="533">
        <v>237.50000000000003</v>
      </c>
      <c r="F68" s="534">
        <v>281</v>
      </c>
      <c r="G68" s="535">
        <v>4.6000000000000005</v>
      </c>
      <c r="H68" s="533">
        <v>285.60000000000002</v>
      </c>
      <c r="I68" s="534">
        <v>426.8</v>
      </c>
      <c r="J68" s="535">
        <v>7</v>
      </c>
      <c r="K68" s="534">
        <v>433.8</v>
      </c>
      <c r="L68" s="534">
        <v>426.8</v>
      </c>
      <c r="M68" s="535">
        <v>7</v>
      </c>
      <c r="N68" s="533">
        <v>433.8</v>
      </c>
      <c r="O68" s="534">
        <v>468.70000000000005</v>
      </c>
      <c r="P68" s="535">
        <v>7.7</v>
      </c>
      <c r="Q68" s="533">
        <v>476.40000000000003</v>
      </c>
      <c r="R68" s="534">
        <v>559.20000000000005</v>
      </c>
      <c r="S68" s="535">
        <v>9.2000000000000011</v>
      </c>
      <c r="T68" s="533">
        <v>568.40000000000009</v>
      </c>
      <c r="U68" s="534">
        <v>143</v>
      </c>
      <c r="V68" s="535">
        <v>250</v>
      </c>
      <c r="W68" s="546">
        <v>0.5</v>
      </c>
      <c r="X68" s="547">
        <v>0.6</v>
      </c>
      <c r="Y68" s="537">
        <v>22</v>
      </c>
      <c r="Z68" s="537">
        <v>22</v>
      </c>
    </row>
    <row r="69" spans="1:26" x14ac:dyDescent="0.25">
      <c r="A69" s="496">
        <v>42267</v>
      </c>
      <c r="B69" s="497">
        <v>42369</v>
      </c>
      <c r="C69" s="375">
        <v>233.60000000000002</v>
      </c>
      <c r="D69" s="374">
        <v>3.9000000000000004</v>
      </c>
      <c r="E69" s="373">
        <v>237.50000000000003</v>
      </c>
      <c r="F69" s="375">
        <v>281</v>
      </c>
      <c r="G69" s="374">
        <v>4.6000000000000005</v>
      </c>
      <c r="H69" s="373">
        <v>285.60000000000002</v>
      </c>
      <c r="I69" s="375">
        <v>426.8</v>
      </c>
      <c r="J69" s="374">
        <v>7</v>
      </c>
      <c r="K69" s="375">
        <v>433.8</v>
      </c>
      <c r="L69" s="375">
        <v>426.8</v>
      </c>
      <c r="M69" s="374">
        <v>7</v>
      </c>
      <c r="N69" s="373">
        <v>433.8</v>
      </c>
      <c r="O69" s="375">
        <v>468.70000000000005</v>
      </c>
      <c r="P69" s="374">
        <v>7.7</v>
      </c>
      <c r="Q69" s="373">
        <v>476.40000000000003</v>
      </c>
      <c r="R69" s="375">
        <v>559.20000000000005</v>
      </c>
      <c r="S69" s="374">
        <v>9.2000000000000011</v>
      </c>
      <c r="T69" s="373">
        <v>568.40000000000009</v>
      </c>
      <c r="U69" s="375">
        <v>143</v>
      </c>
      <c r="V69" s="374">
        <v>250</v>
      </c>
      <c r="W69" s="403">
        <v>0.5</v>
      </c>
      <c r="X69" s="377">
        <v>0.6</v>
      </c>
      <c r="Y69" s="397">
        <v>22</v>
      </c>
      <c r="Z69" s="397">
        <v>22</v>
      </c>
    </row>
    <row r="70" spans="1:26" x14ac:dyDescent="0.25">
      <c r="A70" s="496">
        <v>42370</v>
      </c>
      <c r="B70" s="497">
        <v>42448</v>
      </c>
      <c r="C70" s="375">
        <v>237.10000000000002</v>
      </c>
      <c r="D70" s="374">
        <v>3.9000000000000004</v>
      </c>
      <c r="E70" s="373">
        <v>241.00000000000003</v>
      </c>
      <c r="F70" s="375">
        <v>285.2</v>
      </c>
      <c r="G70" s="374">
        <v>4.6000000000000005</v>
      </c>
      <c r="H70" s="373">
        <v>289.8</v>
      </c>
      <c r="I70" s="375">
        <v>433.20000000000005</v>
      </c>
      <c r="J70" s="374">
        <v>7</v>
      </c>
      <c r="K70" s="375">
        <v>440.20000000000005</v>
      </c>
      <c r="L70" s="375">
        <v>433.20000000000005</v>
      </c>
      <c r="M70" s="374">
        <v>7</v>
      </c>
      <c r="N70" s="373">
        <v>440.20000000000005</v>
      </c>
      <c r="O70" s="375">
        <v>475.70000000000005</v>
      </c>
      <c r="P70" s="374">
        <v>7.7</v>
      </c>
      <c r="Q70" s="373">
        <v>483.40000000000003</v>
      </c>
      <c r="R70" s="375">
        <v>567.6</v>
      </c>
      <c r="S70" s="374">
        <v>9.2000000000000011</v>
      </c>
      <c r="T70" s="373">
        <v>576.80000000000007</v>
      </c>
      <c r="U70" s="375">
        <v>143</v>
      </c>
      <c r="V70" s="242">
        <v>250</v>
      </c>
      <c r="W70" s="403">
        <v>0.5</v>
      </c>
      <c r="X70" s="377">
        <v>0.6</v>
      </c>
      <c r="Y70" s="397">
        <v>22</v>
      </c>
      <c r="Z70" s="397">
        <v>22</v>
      </c>
    </row>
    <row r="71" spans="1:26" ht="15.75" thickBot="1" x14ac:dyDescent="0.3">
      <c r="A71" s="538">
        <v>42449</v>
      </c>
      <c r="B71" s="539">
        <v>42551</v>
      </c>
      <c r="C71" s="540">
        <v>237.10000000000002</v>
      </c>
      <c r="D71" s="541">
        <v>3.9000000000000004</v>
      </c>
      <c r="E71" s="542">
        <v>241.00000000000003</v>
      </c>
      <c r="F71" s="540">
        <v>285.2</v>
      </c>
      <c r="G71" s="541">
        <v>4.6000000000000005</v>
      </c>
      <c r="H71" s="542">
        <v>289.8</v>
      </c>
      <c r="I71" s="540">
        <v>433.20000000000005</v>
      </c>
      <c r="J71" s="541">
        <v>7</v>
      </c>
      <c r="K71" s="540">
        <v>440.20000000000005</v>
      </c>
      <c r="L71" s="540">
        <v>433.20000000000005</v>
      </c>
      <c r="M71" s="541">
        <v>7</v>
      </c>
      <c r="N71" s="542">
        <v>440.20000000000005</v>
      </c>
      <c r="O71" s="540">
        <v>475.70000000000005</v>
      </c>
      <c r="P71" s="541">
        <v>7.7</v>
      </c>
      <c r="Q71" s="542">
        <v>483.40000000000003</v>
      </c>
      <c r="R71" s="540">
        <v>567.6</v>
      </c>
      <c r="S71" s="541">
        <v>9.2000000000000011</v>
      </c>
      <c r="T71" s="542">
        <v>576.80000000000007</v>
      </c>
      <c r="U71" s="540">
        <v>143</v>
      </c>
      <c r="V71" s="541">
        <v>250</v>
      </c>
      <c r="W71" s="544">
        <v>0.5</v>
      </c>
      <c r="X71" s="545">
        <v>0.6</v>
      </c>
      <c r="Y71" s="549">
        <v>22</v>
      </c>
      <c r="Z71" s="549">
        <v>22</v>
      </c>
    </row>
    <row r="72" spans="1:26" x14ac:dyDescent="0.25">
      <c r="A72" s="531">
        <v>42552</v>
      </c>
      <c r="B72" s="532">
        <v>42632</v>
      </c>
      <c r="C72" s="534">
        <v>237.10000000000002</v>
      </c>
      <c r="D72" s="535">
        <v>3.9000000000000004</v>
      </c>
      <c r="E72" s="533">
        <v>241.00000000000003</v>
      </c>
      <c r="F72" s="534">
        <v>285.2</v>
      </c>
      <c r="G72" s="535">
        <v>4.6000000000000005</v>
      </c>
      <c r="H72" s="533">
        <v>289.8</v>
      </c>
      <c r="I72" s="534">
        <v>433.20000000000005</v>
      </c>
      <c r="J72" s="535">
        <v>7</v>
      </c>
      <c r="K72" s="534">
        <v>440.20000000000005</v>
      </c>
      <c r="L72" s="534">
        <v>433.20000000000005</v>
      </c>
      <c r="M72" s="535">
        <v>7</v>
      </c>
      <c r="N72" s="533">
        <v>440.20000000000005</v>
      </c>
      <c r="O72" s="534">
        <v>475.70000000000005</v>
      </c>
      <c r="P72" s="535">
        <v>7.7</v>
      </c>
      <c r="Q72" s="533">
        <v>483.40000000000003</v>
      </c>
      <c r="R72" s="534">
        <v>567.6</v>
      </c>
      <c r="S72" s="535">
        <v>9.2000000000000011</v>
      </c>
      <c r="T72" s="533">
        <v>576.80000000000007</v>
      </c>
      <c r="U72" s="534">
        <v>143</v>
      </c>
      <c r="V72" s="535">
        <v>250</v>
      </c>
      <c r="W72" s="546">
        <v>0.5</v>
      </c>
      <c r="X72" s="547">
        <v>0.6</v>
      </c>
      <c r="Y72" s="537">
        <v>22</v>
      </c>
      <c r="Z72" s="537">
        <v>22</v>
      </c>
    </row>
    <row r="73" spans="1:26" x14ac:dyDescent="0.25">
      <c r="A73" s="496">
        <v>42633</v>
      </c>
      <c r="B73" s="497">
        <v>42735</v>
      </c>
      <c r="C73" s="375">
        <f>C72</f>
        <v>237.10000000000002</v>
      </c>
      <c r="D73" s="374">
        <f>D72</f>
        <v>3.9000000000000004</v>
      </c>
      <c r="E73" s="373">
        <f t="shared" ref="E73:E91" si="0">SUM(C73:D73)</f>
        <v>241.00000000000003</v>
      </c>
      <c r="F73" s="375">
        <f>F72</f>
        <v>285.2</v>
      </c>
      <c r="G73" s="374">
        <f>G72</f>
        <v>4.6000000000000005</v>
      </c>
      <c r="H73" s="373">
        <f t="shared" ref="H73:H91" si="1">SUM(F73:G73)</f>
        <v>289.8</v>
      </c>
      <c r="I73" s="375">
        <f>I72</f>
        <v>433.20000000000005</v>
      </c>
      <c r="J73" s="374">
        <f>J72</f>
        <v>7</v>
      </c>
      <c r="K73" s="375">
        <f t="shared" ref="K73:K91" si="2">SUM(I73:J73)</f>
        <v>440.20000000000005</v>
      </c>
      <c r="L73" s="375">
        <f>L72</f>
        <v>433.20000000000005</v>
      </c>
      <c r="M73" s="374">
        <f>M72</f>
        <v>7</v>
      </c>
      <c r="N73" s="373">
        <f t="shared" ref="N73:N91" si="3">SUM(L73:M73)</f>
        <v>440.20000000000005</v>
      </c>
      <c r="O73" s="375">
        <f>O72</f>
        <v>475.70000000000005</v>
      </c>
      <c r="P73" s="374">
        <f>P72</f>
        <v>7.7</v>
      </c>
      <c r="Q73" s="373">
        <f t="shared" ref="Q73:Q91" si="4">SUM(O73:P73)</f>
        <v>483.40000000000003</v>
      </c>
      <c r="R73" s="375">
        <f>R72</f>
        <v>567.6</v>
      </c>
      <c r="S73" s="374">
        <f>S72</f>
        <v>9.2000000000000011</v>
      </c>
      <c r="T73" s="373">
        <f t="shared" ref="T73:T91" si="5">SUM(R73:S73)</f>
        <v>576.80000000000007</v>
      </c>
      <c r="U73" s="375">
        <f t="shared" ref="U73:X78" si="6">U72</f>
        <v>143</v>
      </c>
      <c r="V73" s="374">
        <f t="shared" si="6"/>
        <v>250</v>
      </c>
      <c r="W73" s="403">
        <f t="shared" si="6"/>
        <v>0.5</v>
      </c>
      <c r="X73" s="377">
        <f t="shared" si="6"/>
        <v>0.6</v>
      </c>
      <c r="Y73" s="397">
        <f>Y72</f>
        <v>22</v>
      </c>
      <c r="Z73" s="397">
        <f>Z72</f>
        <v>22</v>
      </c>
    </row>
    <row r="74" spans="1:26" x14ac:dyDescent="0.25">
      <c r="A74" s="496">
        <v>42736</v>
      </c>
      <c r="B74" s="497">
        <v>42813</v>
      </c>
      <c r="C74" s="375">
        <f>IndexAmt(C73,"peCpiFp",$A72,0.1,12)</f>
        <v>239.5</v>
      </c>
      <c r="D74" s="374">
        <f>D73</f>
        <v>3.9000000000000004</v>
      </c>
      <c r="E74" s="373">
        <f t="shared" si="0"/>
        <v>243.4</v>
      </c>
      <c r="F74" s="375">
        <f>IndexAmt(F73,"peCpiFp",$A72,0.1,12)</f>
        <v>288.10000000000002</v>
      </c>
      <c r="G74" s="374">
        <f>G73</f>
        <v>4.6000000000000005</v>
      </c>
      <c r="H74" s="373">
        <f t="shared" si="1"/>
        <v>292.70000000000005</v>
      </c>
      <c r="I74" s="375">
        <f>IndexAmt(I73,"peCpiFp",$A72,0.1,12)</f>
        <v>437.5</v>
      </c>
      <c r="J74" s="374">
        <f>J73</f>
        <v>7</v>
      </c>
      <c r="K74" s="375">
        <f t="shared" si="2"/>
        <v>444.5</v>
      </c>
      <c r="L74" s="375">
        <f>IndexAmt(L73,"peCpiFp",$A72,0.1,12)</f>
        <v>437.5</v>
      </c>
      <c r="M74" s="374">
        <f>M73</f>
        <v>7</v>
      </c>
      <c r="N74" s="373">
        <f t="shared" si="3"/>
        <v>444.5</v>
      </c>
      <c r="O74" s="375">
        <f>IndexAmt(O73,"peCpiFp",$A72,0.1,12)</f>
        <v>480.5</v>
      </c>
      <c r="P74" s="374">
        <f>P73</f>
        <v>7.7</v>
      </c>
      <c r="Q74" s="373">
        <f t="shared" si="4"/>
        <v>488.2</v>
      </c>
      <c r="R74" s="375">
        <f>IndexAmt(R73,"peCpiFp",$A72,0.1,12)</f>
        <v>573.30000000000007</v>
      </c>
      <c r="S74" s="374">
        <f>S73</f>
        <v>9.2000000000000011</v>
      </c>
      <c r="T74" s="373">
        <f t="shared" si="5"/>
        <v>582.50000000000011</v>
      </c>
      <c r="U74" s="375">
        <f>U73</f>
        <v>143</v>
      </c>
      <c r="V74" s="374">
        <f>V73</f>
        <v>250</v>
      </c>
      <c r="W74" s="403">
        <f t="shared" si="6"/>
        <v>0.5</v>
      </c>
      <c r="X74" s="377">
        <f t="shared" si="6"/>
        <v>0.6</v>
      </c>
      <c r="Y74" s="397">
        <f>Y73</f>
        <v>22</v>
      </c>
      <c r="Z74" s="397">
        <f>Z73</f>
        <v>22</v>
      </c>
    </row>
    <row r="75" spans="1:26" ht="15.75" thickBot="1" x14ac:dyDescent="0.3">
      <c r="A75" s="538">
        <v>42814</v>
      </c>
      <c r="B75" s="539">
        <v>42916</v>
      </c>
      <c r="C75" s="540">
        <f t="shared" ref="C75:D77" si="7">C74</f>
        <v>239.5</v>
      </c>
      <c r="D75" s="541">
        <f t="shared" si="7"/>
        <v>3.9000000000000004</v>
      </c>
      <c r="E75" s="542">
        <f t="shared" si="0"/>
        <v>243.4</v>
      </c>
      <c r="F75" s="540">
        <f t="shared" ref="F75:G77" si="8">F74</f>
        <v>288.10000000000002</v>
      </c>
      <c r="G75" s="541">
        <f t="shared" si="8"/>
        <v>4.6000000000000005</v>
      </c>
      <c r="H75" s="542">
        <f t="shared" si="1"/>
        <v>292.70000000000005</v>
      </c>
      <c r="I75" s="540">
        <f t="shared" ref="I75:J77" si="9">I74</f>
        <v>437.5</v>
      </c>
      <c r="J75" s="541">
        <f t="shared" si="9"/>
        <v>7</v>
      </c>
      <c r="K75" s="540">
        <f t="shared" si="2"/>
        <v>444.5</v>
      </c>
      <c r="L75" s="540">
        <f t="shared" ref="L75:M77" si="10">L74</f>
        <v>437.5</v>
      </c>
      <c r="M75" s="541">
        <f t="shared" si="10"/>
        <v>7</v>
      </c>
      <c r="N75" s="542">
        <f t="shared" si="3"/>
        <v>444.5</v>
      </c>
      <c r="O75" s="540">
        <f t="shared" ref="O75:P77" si="11">O74</f>
        <v>480.5</v>
      </c>
      <c r="P75" s="541">
        <f t="shared" si="11"/>
        <v>7.7</v>
      </c>
      <c r="Q75" s="542">
        <f t="shared" si="4"/>
        <v>488.2</v>
      </c>
      <c r="R75" s="540">
        <f t="shared" ref="R75:S77" si="12">R74</f>
        <v>573.30000000000007</v>
      </c>
      <c r="S75" s="541">
        <f t="shared" si="12"/>
        <v>9.2000000000000011</v>
      </c>
      <c r="T75" s="542">
        <f t="shared" si="5"/>
        <v>582.50000000000011</v>
      </c>
      <c r="U75" s="540">
        <f t="shared" si="6"/>
        <v>143</v>
      </c>
      <c r="V75" s="541">
        <f t="shared" si="6"/>
        <v>250</v>
      </c>
      <c r="W75" s="544">
        <f t="shared" si="6"/>
        <v>0.5</v>
      </c>
      <c r="X75" s="545">
        <f t="shared" si="6"/>
        <v>0.6</v>
      </c>
      <c r="Y75" s="549">
        <f t="shared" ref="Y75:Z91" si="13">Y74</f>
        <v>22</v>
      </c>
      <c r="Z75" s="549">
        <f t="shared" si="13"/>
        <v>22</v>
      </c>
    </row>
    <row r="76" spans="1:26" x14ac:dyDescent="0.25">
      <c r="A76" s="531">
        <v>42917</v>
      </c>
      <c r="B76" s="532">
        <v>42997</v>
      </c>
      <c r="C76" s="534">
        <f t="shared" si="7"/>
        <v>239.5</v>
      </c>
      <c r="D76" s="535">
        <f t="shared" si="7"/>
        <v>3.9000000000000004</v>
      </c>
      <c r="E76" s="533">
        <f t="shared" si="0"/>
        <v>243.4</v>
      </c>
      <c r="F76" s="534">
        <f t="shared" si="8"/>
        <v>288.10000000000002</v>
      </c>
      <c r="G76" s="535">
        <f t="shared" si="8"/>
        <v>4.6000000000000005</v>
      </c>
      <c r="H76" s="533">
        <f t="shared" si="1"/>
        <v>292.70000000000005</v>
      </c>
      <c r="I76" s="534">
        <f t="shared" si="9"/>
        <v>437.5</v>
      </c>
      <c r="J76" s="535">
        <f t="shared" si="9"/>
        <v>7</v>
      </c>
      <c r="K76" s="534">
        <f t="shared" si="2"/>
        <v>444.5</v>
      </c>
      <c r="L76" s="534">
        <f t="shared" si="10"/>
        <v>437.5</v>
      </c>
      <c r="M76" s="535">
        <f t="shared" si="10"/>
        <v>7</v>
      </c>
      <c r="N76" s="533">
        <f t="shared" si="3"/>
        <v>444.5</v>
      </c>
      <c r="O76" s="534">
        <f t="shared" si="11"/>
        <v>480.5</v>
      </c>
      <c r="P76" s="535">
        <f t="shared" si="11"/>
        <v>7.7</v>
      </c>
      <c r="Q76" s="533">
        <f t="shared" si="4"/>
        <v>488.2</v>
      </c>
      <c r="R76" s="534">
        <f t="shared" si="12"/>
        <v>573.30000000000007</v>
      </c>
      <c r="S76" s="535">
        <f t="shared" si="12"/>
        <v>9.2000000000000011</v>
      </c>
      <c r="T76" s="533">
        <f t="shared" si="5"/>
        <v>582.50000000000011</v>
      </c>
      <c r="U76" s="534">
        <f t="shared" si="6"/>
        <v>143</v>
      </c>
      <c r="V76" s="535">
        <f t="shared" si="6"/>
        <v>250</v>
      </c>
      <c r="W76" s="546">
        <f t="shared" si="6"/>
        <v>0.5</v>
      </c>
      <c r="X76" s="547">
        <f t="shared" si="6"/>
        <v>0.6</v>
      </c>
      <c r="Y76" s="537">
        <v>22</v>
      </c>
      <c r="Z76" s="537">
        <v>22</v>
      </c>
    </row>
    <row r="77" spans="1:26" x14ac:dyDescent="0.25">
      <c r="A77" s="165">
        <v>42998</v>
      </c>
      <c r="B77" s="166">
        <v>43100</v>
      </c>
      <c r="C77" s="33">
        <f t="shared" si="7"/>
        <v>239.5</v>
      </c>
      <c r="D77" s="862">
        <f t="shared" si="7"/>
        <v>3.9000000000000004</v>
      </c>
      <c r="E77" s="107">
        <f t="shared" si="0"/>
        <v>243.4</v>
      </c>
      <c r="F77" s="33">
        <f t="shared" si="8"/>
        <v>288.10000000000002</v>
      </c>
      <c r="G77" s="862">
        <f t="shared" si="8"/>
        <v>4.6000000000000005</v>
      </c>
      <c r="H77" s="107">
        <f t="shared" si="1"/>
        <v>292.70000000000005</v>
      </c>
      <c r="I77" s="33">
        <f t="shared" si="9"/>
        <v>437.5</v>
      </c>
      <c r="J77" s="862">
        <f t="shared" si="9"/>
        <v>7</v>
      </c>
      <c r="K77" s="33">
        <f t="shared" si="2"/>
        <v>444.5</v>
      </c>
      <c r="L77" s="33">
        <f t="shared" si="10"/>
        <v>437.5</v>
      </c>
      <c r="M77" s="862">
        <f t="shared" si="10"/>
        <v>7</v>
      </c>
      <c r="N77" s="107">
        <f t="shared" si="3"/>
        <v>444.5</v>
      </c>
      <c r="O77" s="33">
        <f t="shared" si="11"/>
        <v>480.5</v>
      </c>
      <c r="P77" s="862">
        <f t="shared" si="11"/>
        <v>7.7</v>
      </c>
      <c r="Q77" s="107">
        <f t="shared" si="4"/>
        <v>488.2</v>
      </c>
      <c r="R77" s="33">
        <f t="shared" si="12"/>
        <v>573.30000000000007</v>
      </c>
      <c r="S77" s="862">
        <f t="shared" si="12"/>
        <v>9.2000000000000011</v>
      </c>
      <c r="T77" s="107">
        <f t="shared" si="5"/>
        <v>582.50000000000011</v>
      </c>
      <c r="U77" s="33">
        <f t="shared" si="6"/>
        <v>143</v>
      </c>
      <c r="V77" s="75">
        <f t="shared" si="6"/>
        <v>250</v>
      </c>
      <c r="W77" s="106">
        <f t="shared" si="6"/>
        <v>0.5</v>
      </c>
      <c r="X77" s="104">
        <f t="shared" si="6"/>
        <v>0.6</v>
      </c>
      <c r="Y77" s="15">
        <f t="shared" si="13"/>
        <v>22</v>
      </c>
      <c r="Z77" s="15">
        <f t="shared" si="13"/>
        <v>22</v>
      </c>
    </row>
    <row r="78" spans="1:26" x14ac:dyDescent="0.25">
      <c r="A78" s="165">
        <v>43101</v>
      </c>
      <c r="B78" s="166">
        <v>43178</v>
      </c>
      <c r="C78" s="33">
        <f>IndexAmt(C77,"peCpiFp",$A76,0.1,12)</f>
        <v>244.10000000000002</v>
      </c>
      <c r="D78" s="75">
        <f>D77</f>
        <v>3.9000000000000004</v>
      </c>
      <c r="E78" s="107">
        <f t="shared" si="0"/>
        <v>248.00000000000003</v>
      </c>
      <c r="F78" s="33">
        <f>IndexAmt(F77,"peCpiFp",$A76,0.1,12)</f>
        <v>293.60000000000002</v>
      </c>
      <c r="G78" s="75">
        <f>G77</f>
        <v>4.6000000000000005</v>
      </c>
      <c r="H78" s="107">
        <f t="shared" si="1"/>
        <v>298.20000000000005</v>
      </c>
      <c r="I78" s="33">
        <f>IndexAmt(I77,"peCpiFp",$A76,0.1,12)</f>
        <v>445.8</v>
      </c>
      <c r="J78" s="75">
        <f>J77</f>
        <v>7</v>
      </c>
      <c r="K78" s="33">
        <f t="shared" si="2"/>
        <v>452.8</v>
      </c>
      <c r="L78" s="33">
        <f>IndexAmt(L77,"peCpiFp",$A76,0.1,12)</f>
        <v>445.8</v>
      </c>
      <c r="M78" s="75">
        <f>M77</f>
        <v>7</v>
      </c>
      <c r="N78" s="107">
        <f t="shared" si="3"/>
        <v>452.8</v>
      </c>
      <c r="O78" s="33">
        <f>IndexAmt(O77,"peCpiFp",$A76,0.1,12)</f>
        <v>489.6</v>
      </c>
      <c r="P78" s="75">
        <f>P77</f>
        <v>7.7</v>
      </c>
      <c r="Q78" s="107">
        <f t="shared" si="4"/>
        <v>497.3</v>
      </c>
      <c r="R78" s="33">
        <f>IndexAmt(R77,"peCpiFp",$A76,0.1,12)</f>
        <v>584.20000000000005</v>
      </c>
      <c r="S78" s="75">
        <f>S77</f>
        <v>9.2000000000000011</v>
      </c>
      <c r="T78" s="107">
        <f t="shared" si="5"/>
        <v>593.40000000000009</v>
      </c>
      <c r="U78" s="33">
        <f>U77</f>
        <v>143</v>
      </c>
      <c r="V78" s="75">
        <f>V77</f>
        <v>250</v>
      </c>
      <c r="W78" s="106">
        <f t="shared" si="6"/>
        <v>0.5</v>
      </c>
      <c r="X78" s="104">
        <f t="shared" si="6"/>
        <v>0.6</v>
      </c>
      <c r="Y78" s="15">
        <f t="shared" si="13"/>
        <v>22</v>
      </c>
      <c r="Z78" s="15">
        <f t="shared" si="13"/>
        <v>22</v>
      </c>
    </row>
    <row r="79" spans="1:26" ht="15.75" thickBot="1" x14ac:dyDescent="0.3">
      <c r="A79" s="167">
        <v>43179</v>
      </c>
      <c r="B79" s="168">
        <v>43281</v>
      </c>
      <c r="C79" s="77">
        <f t="shared" ref="C79:D81" si="14">C78</f>
        <v>244.10000000000002</v>
      </c>
      <c r="D79" s="79">
        <f t="shared" si="14"/>
        <v>3.9000000000000004</v>
      </c>
      <c r="E79" s="111">
        <f t="shared" si="0"/>
        <v>248.00000000000003</v>
      </c>
      <c r="F79" s="77">
        <f t="shared" ref="F79:G81" si="15">F78</f>
        <v>293.60000000000002</v>
      </c>
      <c r="G79" s="79">
        <f t="shared" si="15"/>
        <v>4.6000000000000005</v>
      </c>
      <c r="H79" s="111">
        <f t="shared" si="1"/>
        <v>298.20000000000005</v>
      </c>
      <c r="I79" s="77">
        <f t="shared" ref="I79:J81" si="16">I78</f>
        <v>445.8</v>
      </c>
      <c r="J79" s="79">
        <f t="shared" si="16"/>
        <v>7</v>
      </c>
      <c r="K79" s="77">
        <f t="shared" si="2"/>
        <v>452.8</v>
      </c>
      <c r="L79" s="77">
        <f t="shared" ref="L79:M81" si="17">L78</f>
        <v>445.8</v>
      </c>
      <c r="M79" s="79">
        <f t="shared" si="17"/>
        <v>7</v>
      </c>
      <c r="N79" s="111">
        <f t="shared" si="3"/>
        <v>452.8</v>
      </c>
      <c r="O79" s="77">
        <f t="shared" ref="O79:P81" si="18">O78</f>
        <v>489.6</v>
      </c>
      <c r="P79" s="79">
        <f t="shared" si="18"/>
        <v>7.7</v>
      </c>
      <c r="Q79" s="111">
        <f t="shared" si="4"/>
        <v>497.3</v>
      </c>
      <c r="R79" s="77">
        <f t="shared" ref="R79:S81" si="19">R78</f>
        <v>584.20000000000005</v>
      </c>
      <c r="S79" s="79">
        <f t="shared" si="19"/>
        <v>9.2000000000000011</v>
      </c>
      <c r="T79" s="111">
        <f t="shared" si="5"/>
        <v>593.40000000000009</v>
      </c>
      <c r="U79" s="77">
        <f t="shared" ref="U79:X83" si="20">U78</f>
        <v>143</v>
      </c>
      <c r="V79" s="79">
        <f t="shared" si="20"/>
        <v>250</v>
      </c>
      <c r="W79" s="110">
        <f t="shared" si="20"/>
        <v>0.5</v>
      </c>
      <c r="X79" s="108">
        <f t="shared" si="20"/>
        <v>0.6</v>
      </c>
      <c r="Y79" s="81">
        <f t="shared" si="13"/>
        <v>22</v>
      </c>
      <c r="Z79" s="81">
        <f t="shared" si="13"/>
        <v>22</v>
      </c>
    </row>
    <row r="80" spans="1:26" x14ac:dyDescent="0.25">
      <c r="A80" s="169">
        <v>43282</v>
      </c>
      <c r="B80" s="170">
        <v>43362</v>
      </c>
      <c r="C80" s="860">
        <f>C79</f>
        <v>244.10000000000002</v>
      </c>
      <c r="D80" s="172">
        <f t="shared" si="14"/>
        <v>3.9000000000000004</v>
      </c>
      <c r="E80" s="189">
        <f t="shared" si="0"/>
        <v>248.00000000000003</v>
      </c>
      <c r="F80" s="188">
        <f t="shared" si="15"/>
        <v>293.60000000000002</v>
      </c>
      <c r="G80" s="172">
        <f t="shared" si="15"/>
        <v>4.6000000000000005</v>
      </c>
      <c r="H80" s="189">
        <f t="shared" si="1"/>
        <v>298.20000000000005</v>
      </c>
      <c r="I80" s="188">
        <f t="shared" si="16"/>
        <v>445.8</v>
      </c>
      <c r="J80" s="172">
        <f t="shared" si="16"/>
        <v>7</v>
      </c>
      <c r="K80" s="188">
        <f t="shared" si="2"/>
        <v>452.8</v>
      </c>
      <c r="L80" s="188">
        <f t="shared" si="17"/>
        <v>445.8</v>
      </c>
      <c r="M80" s="172">
        <f t="shared" si="17"/>
        <v>7</v>
      </c>
      <c r="N80" s="189">
        <f t="shared" si="3"/>
        <v>452.8</v>
      </c>
      <c r="O80" s="188">
        <f t="shared" si="18"/>
        <v>489.6</v>
      </c>
      <c r="P80" s="172">
        <f t="shared" si="18"/>
        <v>7.7</v>
      </c>
      <c r="Q80" s="189">
        <f t="shared" si="4"/>
        <v>497.3</v>
      </c>
      <c r="R80" s="188">
        <f t="shared" si="19"/>
        <v>584.20000000000005</v>
      </c>
      <c r="S80" s="172">
        <f t="shared" si="19"/>
        <v>9.2000000000000011</v>
      </c>
      <c r="T80" s="189">
        <f t="shared" si="5"/>
        <v>593.40000000000009</v>
      </c>
      <c r="U80" s="188">
        <f t="shared" si="20"/>
        <v>143</v>
      </c>
      <c r="V80" s="172">
        <f t="shared" si="20"/>
        <v>250</v>
      </c>
      <c r="W80" s="198">
        <f t="shared" si="20"/>
        <v>0.5</v>
      </c>
      <c r="X80" s="190">
        <f t="shared" si="20"/>
        <v>0.6</v>
      </c>
      <c r="Y80" s="197">
        <f t="shared" si="13"/>
        <v>22</v>
      </c>
      <c r="Z80" s="197">
        <f t="shared" si="13"/>
        <v>22</v>
      </c>
    </row>
    <row r="81" spans="1:26" x14ac:dyDescent="0.25">
      <c r="A81" s="165">
        <v>43363</v>
      </c>
      <c r="B81" s="166">
        <v>43465</v>
      </c>
      <c r="C81" s="33">
        <f>C80</f>
        <v>244.10000000000002</v>
      </c>
      <c r="D81" s="75">
        <f t="shared" si="14"/>
        <v>3.9000000000000004</v>
      </c>
      <c r="E81" s="107">
        <f t="shared" si="0"/>
        <v>248.00000000000003</v>
      </c>
      <c r="F81" s="33">
        <f t="shared" si="15"/>
        <v>293.60000000000002</v>
      </c>
      <c r="G81" s="75">
        <f t="shared" si="15"/>
        <v>4.6000000000000005</v>
      </c>
      <c r="H81" s="107">
        <f t="shared" si="1"/>
        <v>298.20000000000005</v>
      </c>
      <c r="I81" s="33">
        <f t="shared" si="16"/>
        <v>445.8</v>
      </c>
      <c r="J81" s="75">
        <f t="shared" si="16"/>
        <v>7</v>
      </c>
      <c r="K81" s="33">
        <f t="shared" si="2"/>
        <v>452.8</v>
      </c>
      <c r="L81" s="33">
        <f t="shared" si="17"/>
        <v>445.8</v>
      </c>
      <c r="M81" s="75">
        <f t="shared" si="17"/>
        <v>7</v>
      </c>
      <c r="N81" s="107">
        <f t="shared" si="3"/>
        <v>452.8</v>
      </c>
      <c r="O81" s="33">
        <f t="shared" si="18"/>
        <v>489.6</v>
      </c>
      <c r="P81" s="75">
        <f t="shared" si="18"/>
        <v>7.7</v>
      </c>
      <c r="Q81" s="107">
        <f t="shared" si="4"/>
        <v>497.3</v>
      </c>
      <c r="R81" s="33">
        <f t="shared" si="19"/>
        <v>584.20000000000005</v>
      </c>
      <c r="S81" s="75">
        <f t="shared" si="19"/>
        <v>9.2000000000000011</v>
      </c>
      <c r="T81" s="107">
        <f t="shared" si="5"/>
        <v>593.40000000000009</v>
      </c>
      <c r="U81" s="33">
        <f t="shared" si="20"/>
        <v>143</v>
      </c>
      <c r="V81" s="75">
        <f t="shared" si="20"/>
        <v>250</v>
      </c>
      <c r="W81" s="106">
        <f t="shared" si="20"/>
        <v>0.5</v>
      </c>
      <c r="X81" s="104">
        <f t="shared" si="20"/>
        <v>0.6</v>
      </c>
      <c r="Y81" s="15">
        <f t="shared" si="13"/>
        <v>22</v>
      </c>
      <c r="Z81" s="15">
        <f t="shared" si="13"/>
        <v>22</v>
      </c>
    </row>
    <row r="82" spans="1:26" x14ac:dyDescent="0.25">
      <c r="A82" s="165">
        <v>43466</v>
      </c>
      <c r="B82" s="166">
        <v>43543</v>
      </c>
      <c r="C82" s="33">
        <f>IndexAmt(C81,"peCpiFp",$A80,0.1,12)</f>
        <v>249</v>
      </c>
      <c r="D82" s="75">
        <f t="shared" ref="D82:D91" si="21">D81</f>
        <v>3.9000000000000004</v>
      </c>
      <c r="E82" s="107">
        <f t="shared" si="0"/>
        <v>252.9</v>
      </c>
      <c r="F82" s="33">
        <f>IndexAmt(F81,"peCpiFp",$A80,0.1,12)</f>
        <v>299.5</v>
      </c>
      <c r="G82" s="75">
        <f>G81</f>
        <v>4.6000000000000005</v>
      </c>
      <c r="H82" s="107">
        <f t="shared" si="1"/>
        <v>304.10000000000002</v>
      </c>
      <c r="I82" s="33">
        <f>IndexAmt(I81,"peCpiFp",$A80,0.1,12)</f>
        <v>454.70000000000005</v>
      </c>
      <c r="J82" s="75">
        <f>J81</f>
        <v>7</v>
      </c>
      <c r="K82" s="33">
        <f t="shared" si="2"/>
        <v>461.70000000000005</v>
      </c>
      <c r="L82" s="33">
        <f>IndexAmt(L81,"peCpiFp",$A80,0.1,12)</f>
        <v>454.70000000000005</v>
      </c>
      <c r="M82" s="75">
        <f>M81</f>
        <v>7</v>
      </c>
      <c r="N82" s="107">
        <f t="shared" si="3"/>
        <v>461.70000000000005</v>
      </c>
      <c r="O82" s="33">
        <f>IndexAmt(O81,"peCpiFp",$A80,0.1,12)</f>
        <v>499.40000000000003</v>
      </c>
      <c r="P82" s="75">
        <f>P81</f>
        <v>7.7</v>
      </c>
      <c r="Q82" s="107">
        <f t="shared" si="4"/>
        <v>507.1</v>
      </c>
      <c r="R82" s="33">
        <f>IndexAmt(R81,"peCpiFp",$A80,0.1,12)</f>
        <v>595.9</v>
      </c>
      <c r="S82" s="75">
        <f>S81</f>
        <v>9.2000000000000011</v>
      </c>
      <c r="T82" s="107">
        <f t="shared" si="5"/>
        <v>605.1</v>
      </c>
      <c r="U82" s="33">
        <f t="shared" si="20"/>
        <v>143</v>
      </c>
      <c r="V82" s="75">
        <f t="shared" si="20"/>
        <v>250</v>
      </c>
      <c r="W82" s="106">
        <f t="shared" ref="W82:W91" si="22">W81</f>
        <v>0.5</v>
      </c>
      <c r="X82" s="104">
        <f t="shared" ref="X82:X91" si="23">X81</f>
        <v>0.6</v>
      </c>
      <c r="Y82" s="15">
        <f t="shared" si="13"/>
        <v>22</v>
      </c>
      <c r="Z82" s="15">
        <f t="shared" si="13"/>
        <v>22</v>
      </c>
    </row>
    <row r="83" spans="1:26" ht="15.75" thickBot="1" x14ac:dyDescent="0.3">
      <c r="A83" s="167">
        <v>43544</v>
      </c>
      <c r="B83" s="168">
        <v>43646</v>
      </c>
      <c r="C83" s="77">
        <f>C82</f>
        <v>249</v>
      </c>
      <c r="D83" s="79">
        <f t="shared" si="21"/>
        <v>3.9000000000000004</v>
      </c>
      <c r="E83" s="111">
        <f t="shared" si="0"/>
        <v>252.9</v>
      </c>
      <c r="F83" s="77">
        <f t="shared" ref="F83:G85" si="24">F82</f>
        <v>299.5</v>
      </c>
      <c r="G83" s="79">
        <f t="shared" si="24"/>
        <v>4.6000000000000005</v>
      </c>
      <c r="H83" s="111">
        <f t="shared" si="1"/>
        <v>304.10000000000002</v>
      </c>
      <c r="I83" s="77">
        <f t="shared" ref="I83:J85" si="25">I82</f>
        <v>454.70000000000005</v>
      </c>
      <c r="J83" s="79">
        <f t="shared" si="25"/>
        <v>7</v>
      </c>
      <c r="K83" s="77">
        <f t="shared" si="2"/>
        <v>461.70000000000005</v>
      </c>
      <c r="L83" s="77">
        <f t="shared" ref="L83:M85" si="26">L82</f>
        <v>454.70000000000005</v>
      </c>
      <c r="M83" s="79">
        <f t="shared" si="26"/>
        <v>7</v>
      </c>
      <c r="N83" s="111">
        <f t="shared" si="3"/>
        <v>461.70000000000005</v>
      </c>
      <c r="O83" s="77">
        <f t="shared" ref="O83:P85" si="27">O82</f>
        <v>499.40000000000003</v>
      </c>
      <c r="P83" s="79">
        <f t="shared" si="27"/>
        <v>7.7</v>
      </c>
      <c r="Q83" s="111">
        <f t="shared" si="4"/>
        <v>507.1</v>
      </c>
      <c r="R83" s="77">
        <f t="shared" ref="R83:S85" si="28">R82</f>
        <v>595.9</v>
      </c>
      <c r="S83" s="79">
        <f t="shared" si="28"/>
        <v>9.2000000000000011</v>
      </c>
      <c r="T83" s="111">
        <f t="shared" si="5"/>
        <v>605.1</v>
      </c>
      <c r="U83" s="33">
        <f t="shared" si="20"/>
        <v>143</v>
      </c>
      <c r="V83" s="79">
        <f t="shared" ref="U83:V86" si="29">V82</f>
        <v>250</v>
      </c>
      <c r="W83" s="110">
        <f t="shared" si="22"/>
        <v>0.5</v>
      </c>
      <c r="X83" s="108">
        <f t="shared" si="23"/>
        <v>0.6</v>
      </c>
      <c r="Y83" s="81">
        <f t="shared" si="13"/>
        <v>22</v>
      </c>
      <c r="Z83" s="81">
        <f t="shared" si="13"/>
        <v>22</v>
      </c>
    </row>
    <row r="84" spans="1:26" x14ac:dyDescent="0.25">
      <c r="A84" s="169">
        <v>43647</v>
      </c>
      <c r="B84" s="170">
        <v>43727</v>
      </c>
      <c r="C84" s="860">
        <f>C83</f>
        <v>249</v>
      </c>
      <c r="D84" s="172">
        <f t="shared" si="21"/>
        <v>3.9000000000000004</v>
      </c>
      <c r="E84" s="189">
        <f t="shared" si="0"/>
        <v>252.9</v>
      </c>
      <c r="F84" s="188">
        <f t="shared" si="24"/>
        <v>299.5</v>
      </c>
      <c r="G84" s="172">
        <f t="shared" si="24"/>
        <v>4.6000000000000005</v>
      </c>
      <c r="H84" s="189">
        <f t="shared" si="1"/>
        <v>304.10000000000002</v>
      </c>
      <c r="I84" s="188">
        <f t="shared" si="25"/>
        <v>454.70000000000005</v>
      </c>
      <c r="J84" s="172">
        <f t="shared" si="25"/>
        <v>7</v>
      </c>
      <c r="K84" s="188">
        <f t="shared" si="2"/>
        <v>461.70000000000005</v>
      </c>
      <c r="L84" s="188">
        <f t="shared" si="26"/>
        <v>454.70000000000005</v>
      </c>
      <c r="M84" s="172">
        <f t="shared" si="26"/>
        <v>7</v>
      </c>
      <c r="N84" s="189">
        <f t="shared" si="3"/>
        <v>461.70000000000005</v>
      </c>
      <c r="O84" s="188">
        <f t="shared" si="27"/>
        <v>499.40000000000003</v>
      </c>
      <c r="P84" s="172">
        <f t="shared" si="27"/>
        <v>7.7</v>
      </c>
      <c r="Q84" s="189">
        <f t="shared" si="4"/>
        <v>507.1</v>
      </c>
      <c r="R84" s="188">
        <f t="shared" si="28"/>
        <v>595.9</v>
      </c>
      <c r="S84" s="172">
        <f t="shared" si="28"/>
        <v>9.2000000000000011</v>
      </c>
      <c r="T84" s="189">
        <f t="shared" si="5"/>
        <v>605.1</v>
      </c>
      <c r="U84" s="188">
        <f t="shared" si="29"/>
        <v>143</v>
      </c>
      <c r="V84" s="172">
        <f t="shared" si="29"/>
        <v>250</v>
      </c>
      <c r="W84" s="198">
        <f t="shared" si="22"/>
        <v>0.5</v>
      </c>
      <c r="X84" s="190">
        <f t="shared" si="23"/>
        <v>0.6</v>
      </c>
      <c r="Y84" s="197">
        <f t="shared" si="13"/>
        <v>22</v>
      </c>
      <c r="Z84" s="197">
        <f t="shared" si="13"/>
        <v>22</v>
      </c>
    </row>
    <row r="85" spans="1:26" x14ac:dyDescent="0.25">
      <c r="A85" s="165">
        <v>43728</v>
      </c>
      <c r="B85" s="166">
        <v>43830</v>
      </c>
      <c r="C85" s="33">
        <f>C84</f>
        <v>249</v>
      </c>
      <c r="D85" s="75">
        <f t="shared" si="21"/>
        <v>3.9000000000000004</v>
      </c>
      <c r="E85" s="107">
        <f t="shared" si="0"/>
        <v>252.9</v>
      </c>
      <c r="F85" s="33">
        <f t="shared" si="24"/>
        <v>299.5</v>
      </c>
      <c r="G85" s="75">
        <f t="shared" si="24"/>
        <v>4.6000000000000005</v>
      </c>
      <c r="H85" s="107">
        <f t="shared" si="1"/>
        <v>304.10000000000002</v>
      </c>
      <c r="I85" s="33">
        <f t="shared" si="25"/>
        <v>454.70000000000005</v>
      </c>
      <c r="J85" s="75">
        <f t="shared" si="25"/>
        <v>7</v>
      </c>
      <c r="K85" s="33">
        <f t="shared" si="2"/>
        <v>461.70000000000005</v>
      </c>
      <c r="L85" s="33">
        <f t="shared" si="26"/>
        <v>454.70000000000005</v>
      </c>
      <c r="M85" s="75">
        <f t="shared" si="26"/>
        <v>7</v>
      </c>
      <c r="N85" s="107">
        <f t="shared" si="3"/>
        <v>461.70000000000005</v>
      </c>
      <c r="O85" s="33">
        <f t="shared" si="27"/>
        <v>499.40000000000003</v>
      </c>
      <c r="P85" s="75">
        <f t="shared" si="27"/>
        <v>7.7</v>
      </c>
      <c r="Q85" s="107">
        <f t="shared" si="4"/>
        <v>507.1</v>
      </c>
      <c r="R85" s="33">
        <f t="shared" si="28"/>
        <v>595.9</v>
      </c>
      <c r="S85" s="75">
        <f t="shared" si="28"/>
        <v>9.2000000000000011</v>
      </c>
      <c r="T85" s="107">
        <f t="shared" si="5"/>
        <v>605.1</v>
      </c>
      <c r="U85" s="33">
        <f t="shared" si="29"/>
        <v>143</v>
      </c>
      <c r="V85" s="75">
        <f t="shared" si="29"/>
        <v>250</v>
      </c>
      <c r="W85" s="106">
        <f t="shared" si="22"/>
        <v>0.5</v>
      </c>
      <c r="X85" s="104">
        <f t="shared" si="23"/>
        <v>0.6</v>
      </c>
      <c r="Y85" s="15">
        <f t="shared" si="13"/>
        <v>22</v>
      </c>
      <c r="Z85" s="15">
        <f t="shared" si="13"/>
        <v>22</v>
      </c>
    </row>
    <row r="86" spans="1:26" x14ac:dyDescent="0.25">
      <c r="A86" s="165">
        <v>43831</v>
      </c>
      <c r="B86" s="166">
        <v>43909</v>
      </c>
      <c r="C86" s="33">
        <f>IndexAmt(C85,"peCpiFp",$A84,0.1,12)</f>
        <v>254.5</v>
      </c>
      <c r="D86" s="75">
        <f t="shared" si="21"/>
        <v>3.9000000000000004</v>
      </c>
      <c r="E86" s="107">
        <f t="shared" si="0"/>
        <v>258.39999999999998</v>
      </c>
      <c r="F86" s="33">
        <f>IndexAmt(F85,"peCpiFp",$A84,0.1,12)</f>
        <v>306.10000000000002</v>
      </c>
      <c r="G86" s="75">
        <f>G85</f>
        <v>4.6000000000000005</v>
      </c>
      <c r="H86" s="107">
        <f t="shared" si="1"/>
        <v>310.70000000000005</v>
      </c>
      <c r="I86" s="33">
        <f>IndexAmt(I85,"peCpiFp",$A84,0.1,12)</f>
        <v>464.70000000000005</v>
      </c>
      <c r="J86" s="75">
        <f>J85</f>
        <v>7</v>
      </c>
      <c r="K86" s="33">
        <f t="shared" si="2"/>
        <v>471.70000000000005</v>
      </c>
      <c r="L86" s="33">
        <f>IndexAmt(L85,"peCpiFp",$A84,0.1,12)</f>
        <v>464.70000000000005</v>
      </c>
      <c r="M86" s="75">
        <f>M85</f>
        <v>7</v>
      </c>
      <c r="N86" s="107">
        <f t="shared" si="3"/>
        <v>471.70000000000005</v>
      </c>
      <c r="O86" s="33">
        <f>IndexAmt(O85,"peCpiFp",$A84,0.1,12)</f>
        <v>510.40000000000003</v>
      </c>
      <c r="P86" s="75">
        <f>P85</f>
        <v>7.7</v>
      </c>
      <c r="Q86" s="107">
        <f t="shared" si="4"/>
        <v>518.1</v>
      </c>
      <c r="R86" s="33">
        <f>IndexAmt(R85,"peCpiFp",$A84,0.1,12)</f>
        <v>609</v>
      </c>
      <c r="S86" s="75">
        <f>S85</f>
        <v>9.2000000000000011</v>
      </c>
      <c r="T86" s="107">
        <f t="shared" si="5"/>
        <v>618.20000000000005</v>
      </c>
      <c r="U86" s="33">
        <f t="shared" si="29"/>
        <v>143</v>
      </c>
      <c r="V86" s="75">
        <f t="shared" si="29"/>
        <v>250</v>
      </c>
      <c r="W86" s="106">
        <f t="shared" si="22"/>
        <v>0.5</v>
      </c>
      <c r="X86" s="104">
        <f t="shared" si="23"/>
        <v>0.6</v>
      </c>
      <c r="Y86" s="15">
        <f t="shared" si="13"/>
        <v>22</v>
      </c>
      <c r="Z86" s="15">
        <f t="shared" si="13"/>
        <v>22</v>
      </c>
    </row>
    <row r="87" spans="1:26" ht="15.75" thickBot="1" x14ac:dyDescent="0.3">
      <c r="A87" s="167">
        <v>43910</v>
      </c>
      <c r="B87" s="168">
        <v>44012</v>
      </c>
      <c r="C87" s="77">
        <f>C86</f>
        <v>254.5</v>
      </c>
      <c r="D87" s="79">
        <f t="shared" si="21"/>
        <v>3.9000000000000004</v>
      </c>
      <c r="E87" s="111">
        <f t="shared" si="0"/>
        <v>258.39999999999998</v>
      </c>
      <c r="F87" s="77">
        <f t="shared" ref="F87:G91" si="30">F86</f>
        <v>306.10000000000002</v>
      </c>
      <c r="G87" s="79">
        <f t="shared" si="30"/>
        <v>4.6000000000000005</v>
      </c>
      <c r="H87" s="111">
        <f t="shared" si="1"/>
        <v>310.70000000000005</v>
      </c>
      <c r="I87" s="77">
        <f t="shared" ref="I87:J89" si="31">I86</f>
        <v>464.70000000000005</v>
      </c>
      <c r="J87" s="79">
        <f t="shared" si="31"/>
        <v>7</v>
      </c>
      <c r="K87" s="77">
        <f t="shared" si="2"/>
        <v>471.70000000000005</v>
      </c>
      <c r="L87" s="77">
        <f t="shared" ref="L87:M89" si="32">L86</f>
        <v>464.70000000000005</v>
      </c>
      <c r="M87" s="79">
        <f t="shared" si="32"/>
        <v>7</v>
      </c>
      <c r="N87" s="111">
        <f t="shared" si="3"/>
        <v>471.70000000000005</v>
      </c>
      <c r="O87" s="77">
        <f t="shared" ref="O87:P89" si="33">O86</f>
        <v>510.40000000000003</v>
      </c>
      <c r="P87" s="79">
        <f t="shared" si="33"/>
        <v>7.7</v>
      </c>
      <c r="Q87" s="111">
        <f t="shared" si="4"/>
        <v>518.1</v>
      </c>
      <c r="R87" s="77">
        <f t="shared" ref="R87:S89" si="34">R86</f>
        <v>609</v>
      </c>
      <c r="S87" s="79">
        <f t="shared" si="34"/>
        <v>9.2000000000000011</v>
      </c>
      <c r="T87" s="111">
        <f t="shared" si="5"/>
        <v>618.20000000000005</v>
      </c>
      <c r="U87" s="77">
        <f t="shared" ref="U87:V91" si="35">U86</f>
        <v>143</v>
      </c>
      <c r="V87" s="79">
        <f t="shared" si="35"/>
        <v>250</v>
      </c>
      <c r="W87" s="110">
        <f t="shared" si="22"/>
        <v>0.5</v>
      </c>
      <c r="X87" s="108">
        <f t="shared" si="23"/>
        <v>0.6</v>
      </c>
      <c r="Y87" s="81">
        <f t="shared" si="13"/>
        <v>22</v>
      </c>
      <c r="Z87" s="81">
        <f t="shared" si="13"/>
        <v>22</v>
      </c>
    </row>
    <row r="88" spans="1:26" x14ac:dyDescent="0.25">
      <c r="A88" s="169">
        <v>44013</v>
      </c>
      <c r="B88" s="170">
        <v>44093</v>
      </c>
      <c r="C88" s="860">
        <f>C87</f>
        <v>254.5</v>
      </c>
      <c r="D88" s="172">
        <f t="shared" si="21"/>
        <v>3.9000000000000004</v>
      </c>
      <c r="E88" s="189">
        <f t="shared" si="0"/>
        <v>258.39999999999998</v>
      </c>
      <c r="F88" s="188">
        <f t="shared" si="30"/>
        <v>306.10000000000002</v>
      </c>
      <c r="G88" s="172">
        <f t="shared" si="30"/>
        <v>4.6000000000000005</v>
      </c>
      <c r="H88" s="189">
        <f t="shared" si="1"/>
        <v>310.70000000000005</v>
      </c>
      <c r="I88" s="188">
        <f t="shared" si="31"/>
        <v>464.70000000000005</v>
      </c>
      <c r="J88" s="172">
        <f t="shared" si="31"/>
        <v>7</v>
      </c>
      <c r="K88" s="188">
        <f t="shared" si="2"/>
        <v>471.70000000000005</v>
      </c>
      <c r="L88" s="188">
        <f t="shared" si="32"/>
        <v>464.70000000000005</v>
      </c>
      <c r="M88" s="172">
        <f t="shared" si="32"/>
        <v>7</v>
      </c>
      <c r="N88" s="189">
        <f t="shared" si="3"/>
        <v>471.70000000000005</v>
      </c>
      <c r="O88" s="188">
        <f t="shared" si="33"/>
        <v>510.40000000000003</v>
      </c>
      <c r="P88" s="172">
        <f t="shared" si="33"/>
        <v>7.7</v>
      </c>
      <c r="Q88" s="189">
        <f t="shared" si="4"/>
        <v>518.1</v>
      </c>
      <c r="R88" s="188">
        <f t="shared" si="34"/>
        <v>609</v>
      </c>
      <c r="S88" s="172">
        <f t="shared" si="34"/>
        <v>9.2000000000000011</v>
      </c>
      <c r="T88" s="189">
        <f t="shared" si="5"/>
        <v>618.20000000000005</v>
      </c>
      <c r="U88" s="188">
        <f t="shared" si="35"/>
        <v>143</v>
      </c>
      <c r="V88" s="172">
        <f t="shared" si="35"/>
        <v>250</v>
      </c>
      <c r="W88" s="198">
        <f t="shared" si="22"/>
        <v>0.5</v>
      </c>
      <c r="X88" s="190">
        <f t="shared" si="23"/>
        <v>0.6</v>
      </c>
      <c r="Y88" s="197">
        <f t="shared" si="13"/>
        <v>22</v>
      </c>
      <c r="Z88" s="197">
        <f t="shared" si="13"/>
        <v>22</v>
      </c>
    </row>
    <row r="89" spans="1:26" x14ac:dyDescent="0.25">
      <c r="A89" s="165">
        <v>44094</v>
      </c>
      <c r="B89" s="166">
        <v>44196</v>
      </c>
      <c r="C89" s="33">
        <f>C88</f>
        <v>254.5</v>
      </c>
      <c r="D89" s="75">
        <f t="shared" si="21"/>
        <v>3.9000000000000004</v>
      </c>
      <c r="E89" s="107">
        <f t="shared" si="0"/>
        <v>258.39999999999998</v>
      </c>
      <c r="F89" s="33">
        <f t="shared" si="30"/>
        <v>306.10000000000002</v>
      </c>
      <c r="G89" s="75">
        <f t="shared" si="30"/>
        <v>4.6000000000000005</v>
      </c>
      <c r="H89" s="107">
        <f t="shared" si="1"/>
        <v>310.70000000000005</v>
      </c>
      <c r="I89" s="33">
        <f t="shared" si="31"/>
        <v>464.70000000000005</v>
      </c>
      <c r="J89" s="75">
        <f t="shared" si="31"/>
        <v>7</v>
      </c>
      <c r="K89" s="33">
        <f t="shared" si="2"/>
        <v>471.70000000000005</v>
      </c>
      <c r="L89" s="33">
        <f t="shared" si="32"/>
        <v>464.70000000000005</v>
      </c>
      <c r="M89" s="75">
        <f t="shared" si="32"/>
        <v>7</v>
      </c>
      <c r="N89" s="107">
        <f t="shared" si="3"/>
        <v>471.70000000000005</v>
      </c>
      <c r="O89" s="33">
        <f t="shared" si="33"/>
        <v>510.40000000000003</v>
      </c>
      <c r="P89" s="75">
        <f t="shared" si="33"/>
        <v>7.7</v>
      </c>
      <c r="Q89" s="107">
        <f t="shared" si="4"/>
        <v>518.1</v>
      </c>
      <c r="R89" s="33">
        <f t="shared" si="34"/>
        <v>609</v>
      </c>
      <c r="S89" s="75">
        <f t="shared" si="34"/>
        <v>9.2000000000000011</v>
      </c>
      <c r="T89" s="107">
        <f t="shared" si="5"/>
        <v>618.20000000000005</v>
      </c>
      <c r="U89" s="33">
        <f t="shared" si="35"/>
        <v>143</v>
      </c>
      <c r="V89" s="75">
        <f t="shared" si="35"/>
        <v>250</v>
      </c>
      <c r="W89" s="106">
        <f t="shared" si="22"/>
        <v>0.5</v>
      </c>
      <c r="X89" s="104">
        <f t="shared" si="23"/>
        <v>0.6</v>
      </c>
      <c r="Y89" s="15">
        <f t="shared" si="13"/>
        <v>22</v>
      </c>
      <c r="Z89" s="15">
        <f t="shared" si="13"/>
        <v>22</v>
      </c>
    </row>
    <row r="90" spans="1:26" x14ac:dyDescent="0.25">
      <c r="A90" s="165">
        <v>44197</v>
      </c>
      <c r="B90" s="166">
        <v>44274</v>
      </c>
      <c r="C90" s="33">
        <f>IndexAmt(C89,"peCpiFp",$A88,0.1,12)</f>
        <v>260.90000000000003</v>
      </c>
      <c r="D90" s="75">
        <f t="shared" si="21"/>
        <v>3.9000000000000004</v>
      </c>
      <c r="E90" s="107">
        <f t="shared" si="0"/>
        <v>264.8</v>
      </c>
      <c r="F90" s="33">
        <f>IndexAmt(F89,"peCpiFp",$A88,0.1,12)</f>
        <v>313.8</v>
      </c>
      <c r="G90" s="75">
        <f>G89</f>
        <v>4.6000000000000005</v>
      </c>
      <c r="H90" s="107">
        <f t="shared" si="1"/>
        <v>318.40000000000003</v>
      </c>
      <c r="I90" s="33">
        <f>IndexAmt(I89,"peCpiFp",$A88,0.1,12)</f>
        <v>476.3</v>
      </c>
      <c r="J90" s="75">
        <f>J89</f>
        <v>7</v>
      </c>
      <c r="K90" s="33">
        <f t="shared" si="2"/>
        <v>483.3</v>
      </c>
      <c r="L90" s="33">
        <f>IndexAmt(L89,"peCpiFp",$A88,0.1,12)</f>
        <v>476.3</v>
      </c>
      <c r="M90" s="75">
        <f>M89</f>
        <v>7</v>
      </c>
      <c r="N90" s="107">
        <f t="shared" si="3"/>
        <v>483.3</v>
      </c>
      <c r="O90" s="33">
        <f>IndexAmt(O89,"peCpiFp",$A88,0.1,12)</f>
        <v>523.20000000000005</v>
      </c>
      <c r="P90" s="75">
        <f>P89</f>
        <v>7.7</v>
      </c>
      <c r="Q90" s="107">
        <f t="shared" si="4"/>
        <v>530.90000000000009</v>
      </c>
      <c r="R90" s="33">
        <f>IndexAmt(R89,"peCpiFp",$A88,0.1,12)</f>
        <v>624.20000000000005</v>
      </c>
      <c r="S90" s="75">
        <f>S89</f>
        <v>9.2000000000000011</v>
      </c>
      <c r="T90" s="107">
        <f t="shared" si="5"/>
        <v>633.40000000000009</v>
      </c>
      <c r="U90" s="33">
        <f t="shared" si="35"/>
        <v>143</v>
      </c>
      <c r="V90" s="75">
        <f t="shared" si="35"/>
        <v>250</v>
      </c>
      <c r="W90" s="106">
        <f t="shared" si="22"/>
        <v>0.5</v>
      </c>
      <c r="X90" s="104">
        <f t="shared" si="23"/>
        <v>0.6</v>
      </c>
      <c r="Y90" s="15">
        <f t="shared" si="13"/>
        <v>22</v>
      </c>
      <c r="Z90" s="15">
        <f t="shared" si="13"/>
        <v>22</v>
      </c>
    </row>
    <row r="91" spans="1:26" ht="15.75" thickBot="1" x14ac:dyDescent="0.3">
      <c r="A91" s="167">
        <v>44275</v>
      </c>
      <c r="B91" s="168">
        <v>44377</v>
      </c>
      <c r="C91" s="77">
        <f>C90</f>
        <v>260.90000000000003</v>
      </c>
      <c r="D91" s="79">
        <f t="shared" si="21"/>
        <v>3.9000000000000004</v>
      </c>
      <c r="E91" s="111">
        <f t="shared" si="0"/>
        <v>264.8</v>
      </c>
      <c r="F91" s="77">
        <f t="shared" si="30"/>
        <v>313.8</v>
      </c>
      <c r="G91" s="79">
        <f t="shared" si="30"/>
        <v>4.6000000000000005</v>
      </c>
      <c r="H91" s="111">
        <f t="shared" si="1"/>
        <v>318.40000000000003</v>
      </c>
      <c r="I91" s="77">
        <f>I90</f>
        <v>476.3</v>
      </c>
      <c r="J91" s="79">
        <f>J90</f>
        <v>7</v>
      </c>
      <c r="K91" s="77">
        <f t="shared" si="2"/>
        <v>483.3</v>
      </c>
      <c r="L91" s="77">
        <f>L90</f>
        <v>476.3</v>
      </c>
      <c r="M91" s="79">
        <f>M90</f>
        <v>7</v>
      </c>
      <c r="N91" s="111">
        <f t="shared" si="3"/>
        <v>483.3</v>
      </c>
      <c r="O91" s="77">
        <f>O90</f>
        <v>523.20000000000005</v>
      </c>
      <c r="P91" s="79">
        <f>P90</f>
        <v>7.7</v>
      </c>
      <c r="Q91" s="111">
        <f t="shared" si="4"/>
        <v>530.90000000000009</v>
      </c>
      <c r="R91" s="77">
        <f>R90</f>
        <v>624.20000000000005</v>
      </c>
      <c r="S91" s="79">
        <f>S90</f>
        <v>9.2000000000000011</v>
      </c>
      <c r="T91" s="111">
        <f t="shared" si="5"/>
        <v>633.40000000000009</v>
      </c>
      <c r="U91" s="77">
        <f t="shared" si="35"/>
        <v>143</v>
      </c>
      <c r="V91" s="79">
        <f t="shared" si="35"/>
        <v>250</v>
      </c>
      <c r="W91" s="110">
        <f t="shared" si="22"/>
        <v>0.5</v>
      </c>
      <c r="X91" s="108">
        <f t="shared" si="23"/>
        <v>0.6</v>
      </c>
      <c r="Y91" s="81">
        <f t="shared" si="13"/>
        <v>22</v>
      </c>
      <c r="Z91" s="81">
        <f t="shared" si="13"/>
        <v>22</v>
      </c>
    </row>
  </sheetData>
  <customSheetViews>
    <customSheetView guid="{E49C2F27-B0B9-497E-BEC0-5B59561292FE}" scale="90">
      <pane xSplit="2" ySplit="7" topLeftCell="P59" activePane="bottomRight" state="frozen"/>
      <selection pane="bottomRight" activeCell="AB68" sqref="AB68"/>
      <pageMargins left="0.7" right="0.7" top="0.75" bottom="0.75" header="0.3" footer="0.3"/>
      <pageSetup paperSize="9" orientation="portrait" r:id="rId1"/>
    </customSheetView>
    <customSheetView guid="{A5953138-1481-4137-BEAD-32FA4FDF03E6}" scale="90">
      <pane xSplit="2" ySplit="7" topLeftCell="C59" activePane="bottomRight" state="frozen"/>
      <selection pane="bottomRight" activeCell="AB68" sqref="AB68"/>
      <pageMargins left="0.7" right="0.7" top="0.75" bottom="0.75" header="0.3" footer="0.3"/>
      <pageSetup paperSize="9" orientation="portrait" r:id="rId2"/>
    </customSheetView>
    <customSheetView guid="{2A1F94CA-1A34-4418-88FD-EABF7586C2B2}" scale="90">
      <pane xSplit="2" ySplit="7" topLeftCell="C59" activePane="bottomRight" state="frozen"/>
      <selection pane="bottomRight" activeCell="C74" sqref="C74"/>
      <pageMargins left="0.7" right="0.7" top="0.75" bottom="0.75" header="0.3" footer="0.3"/>
      <pageSetup paperSize="9" orientation="portrait" r:id="rId3"/>
    </customSheetView>
  </customSheetViews>
  <mergeCells count="31">
    <mergeCell ref="N5:N6"/>
    <mergeCell ref="U4:V5"/>
    <mergeCell ref="W4:X5"/>
    <mergeCell ref="A1:B3"/>
    <mergeCell ref="C1:T2"/>
    <mergeCell ref="U1:X1"/>
    <mergeCell ref="U2:X3"/>
    <mergeCell ref="C3:H3"/>
    <mergeCell ref="F5:G5"/>
    <mergeCell ref="I3:K4"/>
    <mergeCell ref="L3:N4"/>
    <mergeCell ref="O3:Q4"/>
    <mergeCell ref="R3:T4"/>
    <mergeCell ref="R5:S5"/>
    <mergeCell ref="T5:T6"/>
    <mergeCell ref="H4:H6"/>
    <mergeCell ref="C5:D5"/>
    <mergeCell ref="I5:J5"/>
    <mergeCell ref="K5:K6"/>
    <mergeCell ref="L5:M5"/>
    <mergeCell ref="A4:A6"/>
    <mergeCell ref="B4:B6"/>
    <mergeCell ref="C4:D4"/>
    <mergeCell ref="E4:E6"/>
    <mergeCell ref="F4:G4"/>
    <mergeCell ref="Y2:Y3"/>
    <mergeCell ref="Z2:Z3"/>
    <mergeCell ref="Y4:Y6"/>
    <mergeCell ref="Z4:Z6"/>
    <mergeCell ref="O5:P5"/>
    <mergeCell ref="Q5:Q6"/>
  </mergeCells>
  <pageMargins left="0.7" right="0.7" top="0.75" bottom="0.75" header="0.3" footer="0.3"/>
  <pageSetup paperSize="9" orientation="portrait" r:id="rId4"/>
  <legacyDrawing r:id="rId5"/>
</worksheet>
</file>

<file path=xl/worksheets/sheet2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600-000000000000}">
  <sheetPr codeName="Sheet53">
    <tabColor rgb="FF00B0F0"/>
  </sheetPr>
  <dimension ref="A1:Z28"/>
  <sheetViews>
    <sheetView workbookViewId="0">
      <selection activeCell="A24" sqref="A24:XFD24"/>
    </sheetView>
  </sheetViews>
  <sheetFormatPr defaultRowHeight="15" x14ac:dyDescent="0.25"/>
  <cols>
    <col min="1" max="2" width="17.7109375" style="193" customWidth="1"/>
    <col min="3" max="3" width="16.7109375" style="19" customWidth="1"/>
    <col min="4" max="4" width="16.85546875" style="19" customWidth="1"/>
    <col min="5" max="5" width="18.28515625" style="19" customWidth="1"/>
    <col min="6" max="6" width="17.28515625" style="19" customWidth="1"/>
    <col min="7" max="10" width="17" style="19" customWidth="1"/>
    <col min="11" max="11" width="16.5703125" style="19" customWidth="1"/>
    <col min="12" max="12" width="15.7109375" style="71" customWidth="1"/>
    <col min="13" max="13" width="15.7109375" style="19" customWidth="1"/>
    <col min="14" max="14" width="12.85546875" style="19" bestFit="1" customWidth="1"/>
    <col min="15" max="17" width="18.28515625" style="19" bestFit="1" customWidth="1"/>
    <col min="18" max="18" width="17.85546875" style="19" customWidth="1"/>
    <col min="19" max="19" width="18.140625" style="19" customWidth="1"/>
    <col min="20" max="20" width="18.28515625" style="19" bestFit="1" customWidth="1"/>
    <col min="21" max="22" width="23.5703125" style="19" bestFit="1" customWidth="1"/>
    <col min="23" max="24" width="23.5703125" style="63" bestFit="1" customWidth="1"/>
    <col min="25" max="25" width="23.5703125" style="19" bestFit="1" customWidth="1"/>
    <col min="26" max="26" width="22.42578125" style="502" bestFit="1" customWidth="1"/>
    <col min="27" max="16384" width="9.140625" style="502"/>
  </cols>
  <sheetData>
    <row r="1" spans="1:26" ht="15" customHeight="1" thickBot="1" x14ac:dyDescent="0.3">
      <c r="A1" s="1164" t="s">
        <v>13</v>
      </c>
      <c r="B1" s="1165"/>
      <c r="C1" s="1318" t="s">
        <v>108</v>
      </c>
      <c r="D1" s="1319"/>
      <c r="E1" s="1319"/>
      <c r="F1" s="1319"/>
      <c r="G1" s="1319"/>
      <c r="H1" s="1319"/>
      <c r="I1" s="1319"/>
      <c r="J1" s="1319"/>
      <c r="K1" s="1319"/>
      <c r="L1" s="1319"/>
      <c r="M1" s="1319"/>
      <c r="N1" s="1319"/>
      <c r="O1" s="1319"/>
      <c r="P1" s="1319"/>
      <c r="Q1" s="1319"/>
      <c r="R1" s="1319"/>
      <c r="S1" s="1319"/>
      <c r="T1" s="1320"/>
      <c r="U1" s="1161"/>
      <c r="V1" s="1161"/>
      <c r="W1" s="1161"/>
      <c r="X1" s="1162"/>
      <c r="Y1" s="748"/>
      <c r="Z1" s="748"/>
    </row>
    <row r="2" spans="1:26" ht="15.75" customHeight="1" thickBot="1" x14ac:dyDescent="0.3">
      <c r="A2" s="1215"/>
      <c r="B2" s="1236"/>
      <c r="C2" s="1321"/>
      <c r="D2" s="1322"/>
      <c r="E2" s="1322"/>
      <c r="F2" s="1322"/>
      <c r="G2" s="1322"/>
      <c r="H2" s="1322"/>
      <c r="I2" s="1322"/>
      <c r="J2" s="1322"/>
      <c r="K2" s="1322"/>
      <c r="L2" s="1322"/>
      <c r="M2" s="1322"/>
      <c r="N2" s="1322"/>
      <c r="O2" s="1322"/>
      <c r="P2" s="1322"/>
      <c r="Q2" s="1322"/>
      <c r="R2" s="1322"/>
      <c r="S2" s="1322"/>
      <c r="T2" s="1323"/>
      <c r="U2" s="1164" t="s">
        <v>228</v>
      </c>
      <c r="V2" s="1214"/>
      <c r="W2" s="1214"/>
      <c r="X2" s="1165"/>
      <c r="Y2" s="98" t="s">
        <v>42</v>
      </c>
      <c r="Z2" s="98" t="s">
        <v>597</v>
      </c>
    </row>
    <row r="3" spans="1:26" ht="15.75" customHeight="1" thickBot="1" x14ac:dyDescent="0.3">
      <c r="A3" s="1215"/>
      <c r="B3" s="1236"/>
      <c r="C3" s="1299" t="s">
        <v>221</v>
      </c>
      <c r="D3" s="1300"/>
      <c r="E3" s="1300"/>
      <c r="F3" s="1300"/>
      <c r="G3" s="1300"/>
      <c r="H3" s="1300"/>
      <c r="I3" s="1306" t="s">
        <v>224</v>
      </c>
      <c r="J3" s="1307"/>
      <c r="K3" s="1308"/>
      <c r="L3" s="1306" t="s">
        <v>222</v>
      </c>
      <c r="M3" s="1307"/>
      <c r="N3" s="1308"/>
      <c r="O3" s="1306" t="s">
        <v>223</v>
      </c>
      <c r="P3" s="1307"/>
      <c r="Q3" s="1308"/>
      <c r="R3" s="1306" t="s">
        <v>54</v>
      </c>
      <c r="S3" s="1307"/>
      <c r="T3" s="1308"/>
      <c r="U3" s="1166"/>
      <c r="V3" s="1217"/>
      <c r="W3" s="1217"/>
      <c r="X3" s="1167"/>
      <c r="Y3" s="1157" t="s">
        <v>228</v>
      </c>
      <c r="Z3" s="1157" t="s">
        <v>598</v>
      </c>
    </row>
    <row r="4" spans="1:26" ht="15.75" customHeight="1" thickBot="1" x14ac:dyDescent="0.3">
      <c r="A4" s="1312" t="s">
        <v>16</v>
      </c>
      <c r="B4" s="1314" t="s">
        <v>17</v>
      </c>
      <c r="C4" s="1208" t="s">
        <v>109</v>
      </c>
      <c r="D4" s="1316"/>
      <c r="E4" s="1224" t="s">
        <v>33</v>
      </c>
      <c r="F4" s="1208" t="s">
        <v>110</v>
      </c>
      <c r="G4" s="1317"/>
      <c r="H4" s="1224" t="s">
        <v>33</v>
      </c>
      <c r="I4" s="1310"/>
      <c r="J4" s="1310"/>
      <c r="K4" s="1311"/>
      <c r="L4" s="1309"/>
      <c r="M4" s="1310"/>
      <c r="N4" s="1311"/>
      <c r="O4" s="1309"/>
      <c r="P4" s="1310"/>
      <c r="Q4" s="1311"/>
      <c r="R4" s="1309"/>
      <c r="S4" s="1310"/>
      <c r="T4" s="1311"/>
      <c r="U4" s="1301" t="s">
        <v>227</v>
      </c>
      <c r="V4" s="1302"/>
      <c r="W4" s="1260" t="s">
        <v>158</v>
      </c>
      <c r="X4" s="1262"/>
      <c r="Y4" s="1158"/>
      <c r="Z4" s="1158"/>
    </row>
    <row r="5" spans="1:26" ht="15.75" customHeight="1" thickBot="1" x14ac:dyDescent="0.3">
      <c r="A5" s="1312"/>
      <c r="B5" s="1314"/>
      <c r="C5" s="1229" t="s">
        <v>188</v>
      </c>
      <c r="D5" s="1249"/>
      <c r="E5" s="1225" t="s">
        <v>33</v>
      </c>
      <c r="F5" s="1229" t="s">
        <v>188</v>
      </c>
      <c r="G5" s="1317"/>
      <c r="H5" s="1225" t="s">
        <v>33</v>
      </c>
      <c r="I5" s="1229" t="s">
        <v>188</v>
      </c>
      <c r="J5" s="1247"/>
      <c r="K5" s="1224" t="s">
        <v>33</v>
      </c>
      <c r="L5" s="1229" t="s">
        <v>188</v>
      </c>
      <c r="M5" s="1247"/>
      <c r="N5" s="1305" t="s">
        <v>33</v>
      </c>
      <c r="O5" s="1229" t="s">
        <v>188</v>
      </c>
      <c r="P5" s="1249"/>
      <c r="Q5" s="1305" t="s">
        <v>33</v>
      </c>
      <c r="R5" s="1229" t="s">
        <v>188</v>
      </c>
      <c r="S5" s="1249"/>
      <c r="T5" s="1305" t="s">
        <v>33</v>
      </c>
      <c r="U5" s="1303"/>
      <c r="V5" s="1304"/>
      <c r="W5" s="1263"/>
      <c r="X5" s="1265"/>
      <c r="Y5" s="1158"/>
      <c r="Z5" s="1158"/>
    </row>
    <row r="6" spans="1:26" ht="15.75" thickBot="1" x14ac:dyDescent="0.3">
      <c r="A6" s="1313"/>
      <c r="B6" s="1315"/>
      <c r="C6" s="182" t="s">
        <v>212</v>
      </c>
      <c r="D6" s="183" t="s">
        <v>606</v>
      </c>
      <c r="E6" s="1226"/>
      <c r="F6" s="182" t="s">
        <v>212</v>
      </c>
      <c r="G6" s="183" t="s">
        <v>606</v>
      </c>
      <c r="H6" s="1226"/>
      <c r="I6" s="182" t="s">
        <v>212</v>
      </c>
      <c r="J6" s="183" t="s">
        <v>606</v>
      </c>
      <c r="K6" s="1226"/>
      <c r="L6" s="182" t="s">
        <v>212</v>
      </c>
      <c r="M6" s="183" t="s">
        <v>606</v>
      </c>
      <c r="N6" s="1234"/>
      <c r="O6" s="182" t="s">
        <v>212</v>
      </c>
      <c r="P6" s="183" t="s">
        <v>606</v>
      </c>
      <c r="Q6" s="1234"/>
      <c r="R6" s="182" t="s">
        <v>212</v>
      </c>
      <c r="S6" s="183" t="s">
        <v>606</v>
      </c>
      <c r="T6" s="1234"/>
      <c r="U6" s="182" t="s">
        <v>156</v>
      </c>
      <c r="V6" s="183" t="s">
        <v>157</v>
      </c>
      <c r="W6" s="206" t="s">
        <v>156</v>
      </c>
      <c r="X6" s="207" t="s">
        <v>157</v>
      </c>
      <c r="Y6" s="1159"/>
      <c r="Z6" s="1159"/>
    </row>
    <row r="7" spans="1:26" ht="15.75" thickBot="1" x14ac:dyDescent="0.3">
      <c r="A7" s="713" t="s">
        <v>550</v>
      </c>
      <c r="B7" s="714" t="s">
        <v>551</v>
      </c>
      <c r="C7" s="55" t="s">
        <v>416</v>
      </c>
      <c r="D7" s="56" t="s">
        <v>629</v>
      </c>
      <c r="E7" s="184" t="s">
        <v>786</v>
      </c>
      <c r="F7" s="55" t="s">
        <v>417</v>
      </c>
      <c r="G7" s="56" t="s">
        <v>630</v>
      </c>
      <c r="H7" s="184" t="s">
        <v>787</v>
      </c>
      <c r="I7" s="55" t="s">
        <v>418</v>
      </c>
      <c r="J7" s="56" t="s">
        <v>631</v>
      </c>
      <c r="K7" s="184" t="s">
        <v>788</v>
      </c>
      <c r="L7" s="55" t="s">
        <v>580</v>
      </c>
      <c r="M7" s="56" t="s">
        <v>632</v>
      </c>
      <c r="N7" s="184" t="s">
        <v>789</v>
      </c>
      <c r="O7" s="55" t="s">
        <v>581</v>
      </c>
      <c r="P7" s="56" t="s">
        <v>633</v>
      </c>
      <c r="Q7" s="184" t="s">
        <v>790</v>
      </c>
      <c r="R7" s="55" t="s">
        <v>419</v>
      </c>
      <c r="S7" s="56" t="s">
        <v>634</v>
      </c>
      <c r="T7" s="184" t="s">
        <v>791</v>
      </c>
      <c r="U7" s="55" t="s">
        <v>420</v>
      </c>
      <c r="V7" s="56" t="s">
        <v>421</v>
      </c>
      <c r="W7" s="208" t="s">
        <v>422</v>
      </c>
      <c r="X7" s="186" t="s">
        <v>423</v>
      </c>
      <c r="Y7" s="82" t="s">
        <v>424</v>
      </c>
      <c r="Z7" s="84" t="s">
        <v>600</v>
      </c>
    </row>
    <row r="8" spans="1:26" x14ac:dyDescent="0.25">
      <c r="A8" s="161">
        <v>36708</v>
      </c>
      <c r="B8" s="162">
        <v>37072</v>
      </c>
      <c r="C8" s="18">
        <f t="shared" ref="C8:L17" si="0">AnnualAverage($A8,C$7,YouthUnemploymentParms,YouthUnemploymentDates,YouthUnemploymentNames)</f>
        <v>156.35000000000002</v>
      </c>
      <c r="D8" s="60">
        <f t="shared" si="0"/>
        <v>0</v>
      </c>
      <c r="E8" s="92">
        <f t="shared" si="0"/>
        <v>156.35000000000002</v>
      </c>
      <c r="F8" s="18">
        <f t="shared" si="0"/>
        <v>187.95</v>
      </c>
      <c r="G8" s="60">
        <f t="shared" si="0"/>
        <v>0</v>
      </c>
      <c r="H8" s="92">
        <f t="shared" si="0"/>
        <v>187.95</v>
      </c>
      <c r="I8" s="18">
        <f t="shared" si="0"/>
        <v>285.60000000000002</v>
      </c>
      <c r="J8" s="60">
        <f t="shared" si="0"/>
        <v>0</v>
      </c>
      <c r="K8" s="92">
        <f t="shared" si="0"/>
        <v>285.60000000000002</v>
      </c>
      <c r="L8" s="18">
        <f t="shared" si="0"/>
        <v>285.60000000000002</v>
      </c>
      <c r="M8" s="60">
        <f t="shared" ref="M8:Z23" si="1">AnnualAverage($A8,M$7,YouthUnemploymentParms,YouthUnemploymentDates,YouthUnemploymentNames)</f>
        <v>0</v>
      </c>
      <c r="N8" s="92">
        <f t="shared" si="1"/>
        <v>285.60000000000002</v>
      </c>
      <c r="O8" s="18">
        <f t="shared" si="1"/>
        <v>313.64999999999998</v>
      </c>
      <c r="P8" s="60">
        <f t="shared" si="1"/>
        <v>0</v>
      </c>
      <c r="Q8" s="92">
        <f t="shared" si="1"/>
        <v>313.64999999999998</v>
      </c>
      <c r="R8" s="18">
        <f t="shared" si="1"/>
        <v>374.20000000000005</v>
      </c>
      <c r="S8" s="60">
        <f t="shared" si="1"/>
        <v>0</v>
      </c>
      <c r="T8" s="92">
        <f t="shared" si="1"/>
        <v>374.20000000000005</v>
      </c>
      <c r="U8" s="18">
        <f t="shared" si="1"/>
        <v>62</v>
      </c>
      <c r="V8" s="60">
        <f t="shared" si="1"/>
        <v>142</v>
      </c>
      <c r="W8" s="58">
        <f t="shared" si="1"/>
        <v>0.5</v>
      </c>
      <c r="X8" s="57">
        <f t="shared" si="1"/>
        <v>0.7</v>
      </c>
      <c r="Y8" s="659">
        <f t="shared" si="1"/>
        <v>21</v>
      </c>
      <c r="Z8" s="502">
        <f t="shared" si="1"/>
        <v>21</v>
      </c>
    </row>
    <row r="9" spans="1:26" x14ac:dyDescent="0.25">
      <c r="A9" s="163">
        <v>37073</v>
      </c>
      <c r="B9" s="164">
        <v>37437</v>
      </c>
      <c r="C9" s="17">
        <f t="shared" si="0"/>
        <v>161.94999999999999</v>
      </c>
      <c r="D9" s="35">
        <f t="shared" si="0"/>
        <v>0</v>
      </c>
      <c r="E9" s="93">
        <f t="shared" si="0"/>
        <v>161.94999999999999</v>
      </c>
      <c r="F9" s="17">
        <f t="shared" si="0"/>
        <v>194.75</v>
      </c>
      <c r="G9" s="35">
        <f t="shared" si="0"/>
        <v>0</v>
      </c>
      <c r="H9" s="93">
        <f t="shared" si="0"/>
        <v>194.75</v>
      </c>
      <c r="I9" s="17">
        <f t="shared" si="0"/>
        <v>295.89999999999998</v>
      </c>
      <c r="J9" s="35">
        <f t="shared" si="0"/>
        <v>0</v>
      </c>
      <c r="K9" s="93">
        <f t="shared" si="0"/>
        <v>295.89999999999998</v>
      </c>
      <c r="L9" s="17">
        <f t="shared" si="0"/>
        <v>295.89999999999998</v>
      </c>
      <c r="M9" s="35">
        <f t="shared" si="1"/>
        <v>0</v>
      </c>
      <c r="N9" s="93">
        <f t="shared" si="1"/>
        <v>295.89999999999998</v>
      </c>
      <c r="O9" s="17">
        <f t="shared" si="1"/>
        <v>324.95000000000005</v>
      </c>
      <c r="P9" s="35">
        <f t="shared" si="1"/>
        <v>0</v>
      </c>
      <c r="Q9" s="93">
        <f t="shared" si="1"/>
        <v>324.95000000000005</v>
      </c>
      <c r="R9" s="17">
        <f t="shared" si="1"/>
        <v>387.70000000000005</v>
      </c>
      <c r="S9" s="35">
        <f t="shared" si="1"/>
        <v>0</v>
      </c>
      <c r="T9" s="93">
        <f t="shared" si="1"/>
        <v>387.70000000000005</v>
      </c>
      <c r="U9" s="17">
        <f t="shared" si="1"/>
        <v>62</v>
      </c>
      <c r="V9" s="35">
        <f t="shared" si="1"/>
        <v>142</v>
      </c>
      <c r="W9" s="62">
        <f t="shared" si="1"/>
        <v>0.5</v>
      </c>
      <c r="X9" s="61">
        <f t="shared" si="1"/>
        <v>0.7</v>
      </c>
      <c r="Y9" s="660">
        <f t="shared" si="1"/>
        <v>21</v>
      </c>
      <c r="Z9" s="697">
        <f t="shared" si="1"/>
        <v>21</v>
      </c>
    </row>
    <row r="10" spans="1:26" x14ac:dyDescent="0.25">
      <c r="A10" s="163">
        <v>37438</v>
      </c>
      <c r="B10" s="164">
        <v>37802</v>
      </c>
      <c r="C10" s="17">
        <f t="shared" si="0"/>
        <v>167.39999999999998</v>
      </c>
      <c r="D10" s="35">
        <f t="shared" si="0"/>
        <v>0</v>
      </c>
      <c r="E10" s="93">
        <f t="shared" si="0"/>
        <v>167.39999999999998</v>
      </c>
      <c r="F10" s="17">
        <f t="shared" si="0"/>
        <v>201.39999999999998</v>
      </c>
      <c r="G10" s="35">
        <f t="shared" si="0"/>
        <v>0</v>
      </c>
      <c r="H10" s="93">
        <f t="shared" si="0"/>
        <v>201.39999999999998</v>
      </c>
      <c r="I10" s="17">
        <f t="shared" si="0"/>
        <v>305.89999999999998</v>
      </c>
      <c r="J10" s="35">
        <f t="shared" si="0"/>
        <v>0</v>
      </c>
      <c r="K10" s="93">
        <f t="shared" si="0"/>
        <v>305.89999999999998</v>
      </c>
      <c r="L10" s="17">
        <f t="shared" si="0"/>
        <v>305.89999999999998</v>
      </c>
      <c r="M10" s="35">
        <f t="shared" si="1"/>
        <v>0</v>
      </c>
      <c r="N10" s="93">
        <f t="shared" si="1"/>
        <v>305.89999999999998</v>
      </c>
      <c r="O10" s="17">
        <f t="shared" si="1"/>
        <v>335.95000000000005</v>
      </c>
      <c r="P10" s="35">
        <f t="shared" si="1"/>
        <v>0</v>
      </c>
      <c r="Q10" s="93">
        <f t="shared" si="1"/>
        <v>335.95000000000005</v>
      </c>
      <c r="R10" s="17">
        <f t="shared" si="1"/>
        <v>400.85</v>
      </c>
      <c r="S10" s="35">
        <f t="shared" si="1"/>
        <v>0</v>
      </c>
      <c r="T10" s="93">
        <f t="shared" si="1"/>
        <v>400.85</v>
      </c>
      <c r="U10" s="17">
        <f t="shared" si="1"/>
        <v>62</v>
      </c>
      <c r="V10" s="35">
        <f t="shared" si="1"/>
        <v>142</v>
      </c>
      <c r="W10" s="62">
        <f t="shared" si="1"/>
        <v>0.5</v>
      </c>
      <c r="X10" s="61">
        <f t="shared" si="1"/>
        <v>0.7</v>
      </c>
      <c r="Y10" s="660">
        <f t="shared" si="1"/>
        <v>21</v>
      </c>
      <c r="Z10" s="697">
        <f t="shared" si="1"/>
        <v>21</v>
      </c>
    </row>
    <row r="11" spans="1:26" x14ac:dyDescent="0.25">
      <c r="A11" s="163">
        <v>37803</v>
      </c>
      <c r="B11" s="164">
        <v>38168</v>
      </c>
      <c r="C11" s="17">
        <f t="shared" si="0"/>
        <v>172</v>
      </c>
      <c r="D11" s="35">
        <f t="shared" si="0"/>
        <v>0</v>
      </c>
      <c r="E11" s="93">
        <f t="shared" si="0"/>
        <v>172</v>
      </c>
      <c r="F11" s="17">
        <f t="shared" si="0"/>
        <v>206.95</v>
      </c>
      <c r="G11" s="35">
        <f t="shared" si="0"/>
        <v>0</v>
      </c>
      <c r="H11" s="93">
        <f t="shared" si="0"/>
        <v>206.95</v>
      </c>
      <c r="I11" s="17">
        <f t="shared" si="0"/>
        <v>314.3</v>
      </c>
      <c r="J11" s="35">
        <f t="shared" si="0"/>
        <v>0</v>
      </c>
      <c r="K11" s="93">
        <f t="shared" si="0"/>
        <v>314.3</v>
      </c>
      <c r="L11" s="17">
        <f t="shared" si="0"/>
        <v>314.3</v>
      </c>
      <c r="M11" s="35">
        <f t="shared" si="1"/>
        <v>0</v>
      </c>
      <c r="N11" s="93">
        <f t="shared" si="1"/>
        <v>314.3</v>
      </c>
      <c r="O11" s="17">
        <f t="shared" si="1"/>
        <v>345.20000000000005</v>
      </c>
      <c r="P11" s="35">
        <f t="shared" si="1"/>
        <v>0</v>
      </c>
      <c r="Q11" s="93">
        <f t="shared" si="1"/>
        <v>345.20000000000005</v>
      </c>
      <c r="R11" s="17">
        <f t="shared" si="1"/>
        <v>411.9</v>
      </c>
      <c r="S11" s="35">
        <f t="shared" si="1"/>
        <v>0</v>
      </c>
      <c r="T11" s="93">
        <f t="shared" si="1"/>
        <v>411.9</v>
      </c>
      <c r="U11" s="17">
        <f t="shared" si="1"/>
        <v>62</v>
      </c>
      <c r="V11" s="35">
        <f t="shared" si="1"/>
        <v>142</v>
      </c>
      <c r="W11" s="62">
        <f t="shared" si="1"/>
        <v>0.5</v>
      </c>
      <c r="X11" s="61">
        <f t="shared" si="1"/>
        <v>0.7</v>
      </c>
      <c r="Y11" s="660">
        <f t="shared" si="1"/>
        <v>21</v>
      </c>
      <c r="Z11" s="697">
        <f t="shared" si="1"/>
        <v>21</v>
      </c>
    </row>
    <row r="12" spans="1:26" x14ac:dyDescent="0.25">
      <c r="A12" s="163">
        <v>38169</v>
      </c>
      <c r="B12" s="164">
        <v>38533</v>
      </c>
      <c r="C12" s="17">
        <f t="shared" si="0"/>
        <v>176.41851851851851</v>
      </c>
      <c r="D12" s="35">
        <f t="shared" si="0"/>
        <v>0</v>
      </c>
      <c r="E12" s="93">
        <f t="shared" si="0"/>
        <v>176.41851851851851</v>
      </c>
      <c r="F12" s="17">
        <f t="shared" si="0"/>
        <v>212.2037037037037</v>
      </c>
      <c r="G12" s="35">
        <f t="shared" si="0"/>
        <v>0</v>
      </c>
      <c r="H12" s="93">
        <f t="shared" si="0"/>
        <v>212.2037037037037</v>
      </c>
      <c r="I12" s="17">
        <f t="shared" si="0"/>
        <v>322.35185185185185</v>
      </c>
      <c r="J12" s="35">
        <f t="shared" si="0"/>
        <v>0</v>
      </c>
      <c r="K12" s="93">
        <f t="shared" si="0"/>
        <v>322.35185185185185</v>
      </c>
      <c r="L12" s="17">
        <f t="shared" si="0"/>
        <v>322.35185185185185</v>
      </c>
      <c r="M12" s="35">
        <f t="shared" si="1"/>
        <v>0</v>
      </c>
      <c r="N12" s="93">
        <f t="shared" si="1"/>
        <v>322.35185185185185</v>
      </c>
      <c r="O12" s="17">
        <f t="shared" si="1"/>
        <v>353.98888888888888</v>
      </c>
      <c r="P12" s="35">
        <f t="shared" si="1"/>
        <v>0</v>
      </c>
      <c r="Q12" s="93">
        <f t="shared" si="1"/>
        <v>353.98888888888888</v>
      </c>
      <c r="R12" s="17">
        <f t="shared" si="1"/>
        <v>422.40740740740739</v>
      </c>
      <c r="S12" s="35">
        <f t="shared" si="1"/>
        <v>0</v>
      </c>
      <c r="T12" s="93">
        <f t="shared" si="1"/>
        <v>422.40740740740739</v>
      </c>
      <c r="U12" s="17">
        <f t="shared" si="1"/>
        <v>62</v>
      </c>
      <c r="V12" s="35">
        <f t="shared" si="1"/>
        <v>142</v>
      </c>
      <c r="W12" s="62">
        <f t="shared" si="1"/>
        <v>0.5</v>
      </c>
      <c r="X12" s="61">
        <f t="shared" si="1"/>
        <v>0.7</v>
      </c>
      <c r="Y12" s="660">
        <f t="shared" si="1"/>
        <v>21</v>
      </c>
      <c r="Z12" s="697">
        <f t="shared" si="1"/>
        <v>21</v>
      </c>
    </row>
    <row r="13" spans="1:26" x14ac:dyDescent="0.25">
      <c r="A13" s="163">
        <v>38534</v>
      </c>
      <c r="B13" s="164">
        <v>38898</v>
      </c>
      <c r="C13" s="17">
        <f t="shared" si="0"/>
        <v>180.95</v>
      </c>
      <c r="D13" s="35">
        <f t="shared" si="0"/>
        <v>0</v>
      </c>
      <c r="E13" s="93">
        <f t="shared" si="0"/>
        <v>180.95</v>
      </c>
      <c r="F13" s="17">
        <f t="shared" si="0"/>
        <v>217.60000000000002</v>
      </c>
      <c r="G13" s="35">
        <f t="shared" si="0"/>
        <v>0</v>
      </c>
      <c r="H13" s="93">
        <f t="shared" si="0"/>
        <v>217.60000000000002</v>
      </c>
      <c r="I13" s="17">
        <f t="shared" si="0"/>
        <v>330.6</v>
      </c>
      <c r="J13" s="35">
        <f t="shared" si="0"/>
        <v>0</v>
      </c>
      <c r="K13" s="93">
        <f t="shared" si="0"/>
        <v>330.6</v>
      </c>
      <c r="L13" s="17">
        <f t="shared" si="0"/>
        <v>330.6</v>
      </c>
      <c r="M13" s="35">
        <f t="shared" si="1"/>
        <v>0</v>
      </c>
      <c r="N13" s="93">
        <f t="shared" si="1"/>
        <v>330.6</v>
      </c>
      <c r="O13" s="17">
        <f t="shared" si="1"/>
        <v>363</v>
      </c>
      <c r="P13" s="35">
        <f t="shared" si="1"/>
        <v>0</v>
      </c>
      <c r="Q13" s="93">
        <f t="shared" si="1"/>
        <v>363</v>
      </c>
      <c r="R13" s="17">
        <f t="shared" si="1"/>
        <v>433.15</v>
      </c>
      <c r="S13" s="35">
        <f t="shared" si="1"/>
        <v>0</v>
      </c>
      <c r="T13" s="93">
        <f t="shared" si="1"/>
        <v>433.15</v>
      </c>
      <c r="U13" s="17">
        <f t="shared" si="1"/>
        <v>62</v>
      </c>
      <c r="V13" s="35">
        <f t="shared" si="1"/>
        <v>142</v>
      </c>
      <c r="W13" s="62">
        <f t="shared" si="1"/>
        <v>0.5</v>
      </c>
      <c r="X13" s="61">
        <f t="shared" si="1"/>
        <v>0.7</v>
      </c>
      <c r="Y13" s="660">
        <f t="shared" si="1"/>
        <v>21</v>
      </c>
      <c r="Z13" s="697">
        <f t="shared" si="1"/>
        <v>21</v>
      </c>
    </row>
    <row r="14" spans="1:26" x14ac:dyDescent="0.25">
      <c r="A14" s="163">
        <v>38899</v>
      </c>
      <c r="B14" s="164">
        <v>39263</v>
      </c>
      <c r="C14" s="17">
        <f t="shared" si="0"/>
        <v>186.85</v>
      </c>
      <c r="D14" s="35">
        <f t="shared" si="0"/>
        <v>0</v>
      </c>
      <c r="E14" s="93">
        <f t="shared" si="0"/>
        <v>186.85</v>
      </c>
      <c r="F14" s="17">
        <f t="shared" si="0"/>
        <v>224.7</v>
      </c>
      <c r="G14" s="35">
        <f t="shared" si="0"/>
        <v>0</v>
      </c>
      <c r="H14" s="93">
        <f t="shared" si="0"/>
        <v>224.7</v>
      </c>
      <c r="I14" s="17">
        <f t="shared" si="0"/>
        <v>341.4</v>
      </c>
      <c r="J14" s="35">
        <f t="shared" si="0"/>
        <v>0</v>
      </c>
      <c r="K14" s="93">
        <f t="shared" si="0"/>
        <v>341.4</v>
      </c>
      <c r="L14" s="17">
        <f t="shared" si="0"/>
        <v>341.4</v>
      </c>
      <c r="M14" s="35">
        <f t="shared" si="1"/>
        <v>0</v>
      </c>
      <c r="N14" s="93">
        <f t="shared" si="1"/>
        <v>341.4</v>
      </c>
      <c r="O14" s="17">
        <f t="shared" si="1"/>
        <v>374.85</v>
      </c>
      <c r="P14" s="35">
        <f t="shared" si="1"/>
        <v>0</v>
      </c>
      <c r="Q14" s="93">
        <f t="shared" si="1"/>
        <v>374.85</v>
      </c>
      <c r="R14" s="17">
        <f t="shared" si="1"/>
        <v>447.25</v>
      </c>
      <c r="S14" s="35">
        <f t="shared" si="1"/>
        <v>0</v>
      </c>
      <c r="T14" s="93">
        <f t="shared" si="1"/>
        <v>447.25</v>
      </c>
      <c r="U14" s="17">
        <f t="shared" si="1"/>
        <v>62</v>
      </c>
      <c r="V14" s="35">
        <f t="shared" si="1"/>
        <v>250</v>
      </c>
      <c r="W14" s="62">
        <f t="shared" si="1"/>
        <v>0.5</v>
      </c>
      <c r="X14" s="61">
        <f t="shared" si="1"/>
        <v>0.6</v>
      </c>
      <c r="Y14" s="660">
        <f t="shared" si="1"/>
        <v>21</v>
      </c>
      <c r="Z14" s="697">
        <f t="shared" si="1"/>
        <v>21</v>
      </c>
    </row>
    <row r="15" spans="1:26" x14ac:dyDescent="0.25">
      <c r="A15" s="163">
        <v>39264</v>
      </c>
      <c r="B15" s="164">
        <v>39629</v>
      </c>
      <c r="C15" s="17">
        <f t="shared" si="0"/>
        <v>192.5</v>
      </c>
      <c r="D15" s="35">
        <f t="shared" si="0"/>
        <v>0</v>
      </c>
      <c r="E15" s="93">
        <f t="shared" si="0"/>
        <v>192.5</v>
      </c>
      <c r="F15" s="17">
        <f t="shared" si="0"/>
        <v>231.5</v>
      </c>
      <c r="G15" s="35">
        <f t="shared" si="0"/>
        <v>0</v>
      </c>
      <c r="H15" s="93">
        <f t="shared" si="0"/>
        <v>231.5</v>
      </c>
      <c r="I15" s="17">
        <f t="shared" si="0"/>
        <v>351.75</v>
      </c>
      <c r="J15" s="35">
        <f t="shared" si="0"/>
        <v>0</v>
      </c>
      <c r="K15" s="93">
        <f t="shared" si="0"/>
        <v>351.75</v>
      </c>
      <c r="L15" s="17">
        <f t="shared" si="0"/>
        <v>351.75</v>
      </c>
      <c r="M15" s="35">
        <f t="shared" si="1"/>
        <v>0</v>
      </c>
      <c r="N15" s="93">
        <f t="shared" si="1"/>
        <v>351.75</v>
      </c>
      <c r="O15" s="17">
        <f t="shared" si="1"/>
        <v>386.2</v>
      </c>
      <c r="P15" s="35">
        <f t="shared" si="1"/>
        <v>0</v>
      </c>
      <c r="Q15" s="93">
        <f t="shared" si="1"/>
        <v>386.2</v>
      </c>
      <c r="R15" s="17">
        <f t="shared" si="1"/>
        <v>460.8</v>
      </c>
      <c r="S15" s="35">
        <f t="shared" si="1"/>
        <v>0</v>
      </c>
      <c r="T15" s="93">
        <f t="shared" si="1"/>
        <v>460.8</v>
      </c>
      <c r="U15" s="17">
        <f t="shared" si="1"/>
        <v>62</v>
      </c>
      <c r="V15" s="35">
        <f t="shared" si="1"/>
        <v>250</v>
      </c>
      <c r="W15" s="62">
        <f t="shared" si="1"/>
        <v>0.5</v>
      </c>
      <c r="X15" s="61">
        <f t="shared" si="1"/>
        <v>0.6</v>
      </c>
      <c r="Y15" s="660">
        <f t="shared" si="1"/>
        <v>21</v>
      </c>
      <c r="Z15" s="697">
        <f t="shared" si="1"/>
        <v>21</v>
      </c>
    </row>
    <row r="16" spans="1:26" x14ac:dyDescent="0.25">
      <c r="A16" s="163">
        <v>39630</v>
      </c>
      <c r="B16" s="164">
        <v>39994</v>
      </c>
      <c r="C16" s="17">
        <f t="shared" si="0"/>
        <v>198.9</v>
      </c>
      <c r="D16" s="35">
        <f t="shared" si="0"/>
        <v>0</v>
      </c>
      <c r="E16" s="93">
        <f t="shared" si="0"/>
        <v>198.9</v>
      </c>
      <c r="F16" s="17">
        <f t="shared" si="0"/>
        <v>239.15</v>
      </c>
      <c r="G16" s="35">
        <f t="shared" si="0"/>
        <v>0</v>
      </c>
      <c r="H16" s="93">
        <f t="shared" si="0"/>
        <v>239.15</v>
      </c>
      <c r="I16" s="17">
        <f t="shared" si="0"/>
        <v>363.4</v>
      </c>
      <c r="J16" s="35">
        <f t="shared" si="0"/>
        <v>0</v>
      </c>
      <c r="K16" s="93">
        <f t="shared" si="0"/>
        <v>363.4</v>
      </c>
      <c r="L16" s="17">
        <f t="shared" si="0"/>
        <v>363.4</v>
      </c>
      <c r="M16" s="35">
        <f t="shared" si="1"/>
        <v>0</v>
      </c>
      <c r="N16" s="93">
        <f t="shared" si="1"/>
        <v>363.4</v>
      </c>
      <c r="O16" s="17">
        <f t="shared" si="1"/>
        <v>399</v>
      </c>
      <c r="P16" s="35">
        <f t="shared" si="1"/>
        <v>0</v>
      </c>
      <c r="Q16" s="93">
        <f t="shared" si="1"/>
        <v>399</v>
      </c>
      <c r="R16" s="17">
        <f t="shared" si="1"/>
        <v>476.1</v>
      </c>
      <c r="S16" s="35">
        <f t="shared" si="1"/>
        <v>0</v>
      </c>
      <c r="T16" s="93">
        <f t="shared" si="1"/>
        <v>476.1</v>
      </c>
      <c r="U16" s="17">
        <f t="shared" si="1"/>
        <v>62</v>
      </c>
      <c r="V16" s="35">
        <f t="shared" si="1"/>
        <v>250</v>
      </c>
      <c r="W16" s="62">
        <f t="shared" si="1"/>
        <v>0.5</v>
      </c>
      <c r="X16" s="61">
        <f t="shared" si="1"/>
        <v>0.6</v>
      </c>
      <c r="Y16" s="660">
        <f t="shared" si="1"/>
        <v>21</v>
      </c>
      <c r="Z16" s="697">
        <f t="shared" si="1"/>
        <v>21</v>
      </c>
    </row>
    <row r="17" spans="1:26" x14ac:dyDescent="0.25">
      <c r="A17" s="163">
        <v>39995</v>
      </c>
      <c r="B17" s="164">
        <v>40359</v>
      </c>
      <c r="C17" s="17">
        <f t="shared" si="0"/>
        <v>204.8</v>
      </c>
      <c r="D17" s="35">
        <f t="shared" si="0"/>
        <v>0</v>
      </c>
      <c r="E17" s="93">
        <f t="shared" si="0"/>
        <v>204.8</v>
      </c>
      <c r="F17" s="17">
        <f t="shared" si="0"/>
        <v>246.25</v>
      </c>
      <c r="G17" s="35">
        <f t="shared" si="0"/>
        <v>0</v>
      </c>
      <c r="H17" s="93">
        <f t="shared" si="0"/>
        <v>246.25</v>
      </c>
      <c r="I17" s="17">
        <f t="shared" si="0"/>
        <v>374.2</v>
      </c>
      <c r="J17" s="35">
        <f t="shared" si="0"/>
        <v>0</v>
      </c>
      <c r="K17" s="93">
        <f t="shared" si="0"/>
        <v>374.2</v>
      </c>
      <c r="L17" s="17">
        <f t="shared" si="0"/>
        <v>374.2</v>
      </c>
      <c r="M17" s="35">
        <f t="shared" si="1"/>
        <v>0</v>
      </c>
      <c r="N17" s="93">
        <f t="shared" si="1"/>
        <v>374.2</v>
      </c>
      <c r="O17" s="17">
        <f t="shared" si="1"/>
        <v>410.85</v>
      </c>
      <c r="P17" s="35">
        <f t="shared" si="1"/>
        <v>0</v>
      </c>
      <c r="Q17" s="93">
        <f t="shared" si="1"/>
        <v>410.85</v>
      </c>
      <c r="R17" s="17">
        <f t="shared" si="1"/>
        <v>490.25</v>
      </c>
      <c r="S17" s="35">
        <f t="shared" si="1"/>
        <v>0</v>
      </c>
      <c r="T17" s="93">
        <f t="shared" si="1"/>
        <v>490.25</v>
      </c>
      <c r="U17" s="17">
        <f t="shared" si="1"/>
        <v>62</v>
      </c>
      <c r="V17" s="35">
        <f t="shared" si="1"/>
        <v>250</v>
      </c>
      <c r="W17" s="62">
        <f t="shared" si="1"/>
        <v>0.5</v>
      </c>
      <c r="X17" s="61">
        <f t="shared" si="1"/>
        <v>0.6</v>
      </c>
      <c r="Y17" s="660">
        <f t="shared" si="1"/>
        <v>21</v>
      </c>
      <c r="Z17" s="697">
        <f t="shared" si="1"/>
        <v>21</v>
      </c>
    </row>
    <row r="18" spans="1:26" x14ac:dyDescent="0.25">
      <c r="A18" s="163">
        <v>40360</v>
      </c>
      <c r="B18" s="164">
        <v>40724</v>
      </c>
      <c r="C18" s="17">
        <f t="shared" ref="C18:L27" si="2">AnnualAverage($A18,C$7,YouthUnemploymentParms,YouthUnemploymentDates,YouthUnemploymentNames)</f>
        <v>209.5</v>
      </c>
      <c r="D18" s="35">
        <f t="shared" si="2"/>
        <v>0</v>
      </c>
      <c r="E18" s="93">
        <f t="shared" si="2"/>
        <v>209.5</v>
      </c>
      <c r="F18" s="17">
        <f t="shared" si="2"/>
        <v>251.95</v>
      </c>
      <c r="G18" s="35">
        <f t="shared" si="2"/>
        <v>0</v>
      </c>
      <c r="H18" s="93">
        <f t="shared" si="2"/>
        <v>251.95</v>
      </c>
      <c r="I18" s="17">
        <f t="shared" si="2"/>
        <v>382.85</v>
      </c>
      <c r="J18" s="35">
        <f t="shared" si="2"/>
        <v>0</v>
      </c>
      <c r="K18" s="93">
        <f t="shared" si="2"/>
        <v>382.85</v>
      </c>
      <c r="L18" s="17">
        <f t="shared" si="2"/>
        <v>382.85</v>
      </c>
      <c r="M18" s="35">
        <f t="shared" ref="M18:Z28" si="3">AnnualAverage($A18,M$7,YouthUnemploymentParms,YouthUnemploymentDates,YouthUnemploymentNames)</f>
        <v>0</v>
      </c>
      <c r="N18" s="93">
        <f t="shared" si="3"/>
        <v>382.85</v>
      </c>
      <c r="O18" s="17">
        <f t="shared" si="3"/>
        <v>420.29999999999995</v>
      </c>
      <c r="P18" s="35">
        <f t="shared" si="3"/>
        <v>0</v>
      </c>
      <c r="Q18" s="93">
        <f t="shared" si="3"/>
        <v>420.29999999999995</v>
      </c>
      <c r="R18" s="17">
        <f t="shared" si="3"/>
        <v>501.54999999999995</v>
      </c>
      <c r="S18" s="35">
        <f t="shared" si="3"/>
        <v>0</v>
      </c>
      <c r="T18" s="93">
        <f t="shared" si="3"/>
        <v>501.54999999999995</v>
      </c>
      <c r="U18" s="17">
        <f t="shared" si="3"/>
        <v>62</v>
      </c>
      <c r="V18" s="35">
        <f t="shared" si="3"/>
        <v>250</v>
      </c>
      <c r="W18" s="62">
        <f t="shared" si="3"/>
        <v>0.5</v>
      </c>
      <c r="X18" s="61">
        <f t="shared" si="3"/>
        <v>0.6</v>
      </c>
      <c r="Y18" s="660">
        <f t="shared" si="3"/>
        <v>21</v>
      </c>
      <c r="Z18" s="697">
        <f t="shared" si="1"/>
        <v>21</v>
      </c>
    </row>
    <row r="19" spans="1:26" x14ac:dyDescent="0.25">
      <c r="A19" s="163">
        <v>40725</v>
      </c>
      <c r="B19" s="164">
        <v>41090</v>
      </c>
      <c r="C19" s="17">
        <f t="shared" si="2"/>
        <v>216.55</v>
      </c>
      <c r="D19" s="35">
        <f t="shared" si="2"/>
        <v>0</v>
      </c>
      <c r="E19" s="93">
        <f t="shared" si="2"/>
        <v>216.55</v>
      </c>
      <c r="F19" s="17">
        <f t="shared" si="2"/>
        <v>260.39999999999998</v>
      </c>
      <c r="G19" s="35">
        <f t="shared" si="2"/>
        <v>0</v>
      </c>
      <c r="H19" s="93">
        <f t="shared" si="2"/>
        <v>260.39999999999998</v>
      </c>
      <c r="I19" s="17">
        <f t="shared" si="2"/>
        <v>395.7</v>
      </c>
      <c r="J19" s="35">
        <f t="shared" si="2"/>
        <v>0</v>
      </c>
      <c r="K19" s="93">
        <f t="shared" si="2"/>
        <v>395.7</v>
      </c>
      <c r="L19" s="17">
        <f t="shared" si="2"/>
        <v>395.7</v>
      </c>
      <c r="M19" s="35">
        <f t="shared" si="3"/>
        <v>0</v>
      </c>
      <c r="N19" s="93">
        <f t="shared" si="3"/>
        <v>395.7</v>
      </c>
      <c r="O19" s="17">
        <f t="shared" si="3"/>
        <v>434.4</v>
      </c>
      <c r="P19" s="35">
        <f t="shared" si="3"/>
        <v>0</v>
      </c>
      <c r="Q19" s="93">
        <f t="shared" si="3"/>
        <v>434.4</v>
      </c>
      <c r="R19" s="17">
        <f t="shared" si="3"/>
        <v>518.35</v>
      </c>
      <c r="S19" s="35">
        <f t="shared" si="3"/>
        <v>0</v>
      </c>
      <c r="T19" s="93">
        <f t="shared" si="3"/>
        <v>518.35</v>
      </c>
      <c r="U19" s="17">
        <f t="shared" si="3"/>
        <v>62</v>
      </c>
      <c r="V19" s="35">
        <f t="shared" si="3"/>
        <v>250</v>
      </c>
      <c r="W19" s="62">
        <f t="shared" si="3"/>
        <v>0.5</v>
      </c>
      <c r="X19" s="61">
        <f t="shared" si="3"/>
        <v>0.6</v>
      </c>
      <c r="Y19" s="660">
        <f t="shared" si="3"/>
        <v>21</v>
      </c>
      <c r="Z19" s="697">
        <f t="shared" si="1"/>
        <v>21</v>
      </c>
    </row>
    <row r="20" spans="1:26" s="5" customFormat="1" x14ac:dyDescent="0.25">
      <c r="A20" s="496">
        <v>41091</v>
      </c>
      <c r="B20" s="497">
        <v>41455</v>
      </c>
      <c r="C20" s="375">
        <f t="shared" si="2"/>
        <v>221.7</v>
      </c>
      <c r="D20" s="374">
        <f t="shared" si="2"/>
        <v>0</v>
      </c>
      <c r="E20" s="373">
        <f t="shared" si="2"/>
        <v>221.7</v>
      </c>
      <c r="F20" s="375">
        <f t="shared" si="2"/>
        <v>266.60000000000002</v>
      </c>
      <c r="G20" s="374">
        <f t="shared" si="2"/>
        <v>0</v>
      </c>
      <c r="H20" s="373">
        <f t="shared" si="2"/>
        <v>266.60000000000002</v>
      </c>
      <c r="I20" s="375">
        <f t="shared" si="2"/>
        <v>405.1</v>
      </c>
      <c r="J20" s="374">
        <f t="shared" si="2"/>
        <v>0</v>
      </c>
      <c r="K20" s="373">
        <f t="shared" si="2"/>
        <v>405.1</v>
      </c>
      <c r="L20" s="375">
        <f t="shared" si="2"/>
        <v>405.1</v>
      </c>
      <c r="M20" s="374">
        <f t="shared" si="3"/>
        <v>0</v>
      </c>
      <c r="N20" s="373">
        <f t="shared" si="3"/>
        <v>405.1</v>
      </c>
      <c r="O20" s="375">
        <f t="shared" si="3"/>
        <v>444.75</v>
      </c>
      <c r="P20" s="374">
        <f t="shared" si="3"/>
        <v>0</v>
      </c>
      <c r="Q20" s="373">
        <f t="shared" si="3"/>
        <v>444.75</v>
      </c>
      <c r="R20" s="375">
        <f t="shared" si="3"/>
        <v>530.65</v>
      </c>
      <c r="S20" s="374">
        <f t="shared" si="3"/>
        <v>0</v>
      </c>
      <c r="T20" s="373">
        <f t="shared" si="3"/>
        <v>530.65</v>
      </c>
      <c r="U20" s="375">
        <f t="shared" si="3"/>
        <v>143</v>
      </c>
      <c r="V20" s="374">
        <f t="shared" si="3"/>
        <v>250</v>
      </c>
      <c r="W20" s="403">
        <f t="shared" si="3"/>
        <v>0.5</v>
      </c>
      <c r="X20" s="377">
        <f t="shared" si="3"/>
        <v>0.6</v>
      </c>
      <c r="Y20" s="717">
        <f t="shared" si="3"/>
        <v>22</v>
      </c>
      <c r="Z20" s="697">
        <f t="shared" si="1"/>
        <v>22</v>
      </c>
    </row>
    <row r="21" spans="1:26" s="5" customFormat="1" x14ac:dyDescent="0.25">
      <c r="A21" s="496">
        <v>41456</v>
      </c>
      <c r="B21" s="497">
        <v>41820</v>
      </c>
      <c r="C21" s="375">
        <f t="shared" si="2"/>
        <v>224.9</v>
      </c>
      <c r="D21" s="374">
        <f t="shared" si="2"/>
        <v>1.95</v>
      </c>
      <c r="E21" s="373">
        <f t="shared" si="2"/>
        <v>226.85</v>
      </c>
      <c r="F21" s="375">
        <f t="shared" si="2"/>
        <v>270.5</v>
      </c>
      <c r="G21" s="374">
        <f t="shared" si="2"/>
        <v>2.2999999999999998</v>
      </c>
      <c r="H21" s="373">
        <f t="shared" si="2"/>
        <v>272.79999999999995</v>
      </c>
      <c r="I21" s="375">
        <f t="shared" si="2"/>
        <v>410.95</v>
      </c>
      <c r="J21" s="374">
        <f t="shared" si="2"/>
        <v>3.5</v>
      </c>
      <c r="K21" s="373">
        <f t="shared" si="2"/>
        <v>414.45</v>
      </c>
      <c r="L21" s="375">
        <f t="shared" si="2"/>
        <v>410.95</v>
      </c>
      <c r="M21" s="374">
        <f t="shared" si="3"/>
        <v>3.5</v>
      </c>
      <c r="N21" s="373">
        <f t="shared" si="3"/>
        <v>414.45</v>
      </c>
      <c r="O21" s="375">
        <f t="shared" si="3"/>
        <v>451.2</v>
      </c>
      <c r="P21" s="374">
        <f t="shared" si="3"/>
        <v>3.85</v>
      </c>
      <c r="Q21" s="373">
        <f t="shared" si="3"/>
        <v>455.04999999999995</v>
      </c>
      <c r="R21" s="375">
        <f t="shared" si="3"/>
        <v>538.34999999999991</v>
      </c>
      <c r="S21" s="374">
        <f t="shared" si="3"/>
        <v>4.5999999999999996</v>
      </c>
      <c r="T21" s="373">
        <f t="shared" si="3"/>
        <v>542.95000000000005</v>
      </c>
      <c r="U21" s="375">
        <f t="shared" si="3"/>
        <v>143</v>
      </c>
      <c r="V21" s="374">
        <f t="shared" si="3"/>
        <v>250</v>
      </c>
      <c r="W21" s="403">
        <f t="shared" si="3"/>
        <v>0.5</v>
      </c>
      <c r="X21" s="377">
        <f t="shared" si="3"/>
        <v>0.6</v>
      </c>
      <c r="Y21" s="717">
        <f t="shared" si="3"/>
        <v>22</v>
      </c>
      <c r="Z21" s="697">
        <f t="shared" si="1"/>
        <v>22</v>
      </c>
    </row>
    <row r="22" spans="1:26" x14ac:dyDescent="0.25">
      <c r="A22" s="496">
        <v>41821</v>
      </c>
      <c r="B22" s="497">
        <v>42185</v>
      </c>
      <c r="C22" s="375">
        <f t="shared" si="2"/>
        <v>230.2</v>
      </c>
      <c r="D22" s="374">
        <f t="shared" si="2"/>
        <v>3.9</v>
      </c>
      <c r="E22" s="373">
        <f t="shared" si="2"/>
        <v>234.1</v>
      </c>
      <c r="F22" s="375">
        <f t="shared" si="2"/>
        <v>276.89999999999998</v>
      </c>
      <c r="G22" s="374">
        <f t="shared" si="2"/>
        <v>4.5999999999999996</v>
      </c>
      <c r="H22" s="373">
        <f t="shared" si="2"/>
        <v>281.5</v>
      </c>
      <c r="I22" s="375">
        <f t="shared" si="2"/>
        <v>420.6</v>
      </c>
      <c r="J22" s="374">
        <f t="shared" si="2"/>
        <v>7</v>
      </c>
      <c r="K22" s="373">
        <f t="shared" si="2"/>
        <v>427.6</v>
      </c>
      <c r="L22" s="375">
        <f t="shared" si="2"/>
        <v>420.6</v>
      </c>
      <c r="M22" s="374">
        <f t="shared" si="3"/>
        <v>7</v>
      </c>
      <c r="N22" s="373">
        <f t="shared" si="3"/>
        <v>427.6</v>
      </c>
      <c r="O22" s="375">
        <f t="shared" si="3"/>
        <v>461.85</v>
      </c>
      <c r="P22" s="374">
        <f t="shared" si="3"/>
        <v>7.7</v>
      </c>
      <c r="Q22" s="373">
        <f t="shared" si="3"/>
        <v>469.54999999999995</v>
      </c>
      <c r="R22" s="375">
        <f t="shared" si="3"/>
        <v>551.04999999999995</v>
      </c>
      <c r="S22" s="374">
        <f t="shared" si="3"/>
        <v>9.1999999999999993</v>
      </c>
      <c r="T22" s="373">
        <f t="shared" si="3"/>
        <v>560.25</v>
      </c>
      <c r="U22" s="375">
        <f t="shared" si="3"/>
        <v>143</v>
      </c>
      <c r="V22" s="374">
        <f t="shared" si="3"/>
        <v>250</v>
      </c>
      <c r="W22" s="403">
        <f t="shared" si="3"/>
        <v>0.5</v>
      </c>
      <c r="X22" s="377">
        <f t="shared" si="3"/>
        <v>0.6</v>
      </c>
      <c r="Y22" s="717">
        <f t="shared" si="3"/>
        <v>22</v>
      </c>
      <c r="Z22" s="5">
        <f t="shared" si="1"/>
        <v>22</v>
      </c>
    </row>
    <row r="23" spans="1:26" x14ac:dyDescent="0.25">
      <c r="A23" s="496">
        <v>42186</v>
      </c>
      <c r="B23" s="497">
        <v>42551</v>
      </c>
      <c r="C23" s="375">
        <f t="shared" si="2"/>
        <v>235.28518518518518</v>
      </c>
      <c r="D23" s="374">
        <f t="shared" si="2"/>
        <v>3.9</v>
      </c>
      <c r="E23" s="373">
        <f t="shared" si="2"/>
        <v>239.18518518518519</v>
      </c>
      <c r="F23" s="375">
        <f t="shared" si="2"/>
        <v>283.02222222222224</v>
      </c>
      <c r="G23" s="374">
        <f t="shared" si="2"/>
        <v>4.5999999999999996</v>
      </c>
      <c r="H23" s="373">
        <f t="shared" si="2"/>
        <v>287.62222222222226</v>
      </c>
      <c r="I23" s="375">
        <f t="shared" si="2"/>
        <v>429.8814814814815</v>
      </c>
      <c r="J23" s="374">
        <f t="shared" si="2"/>
        <v>7</v>
      </c>
      <c r="K23" s="373">
        <f t="shared" si="2"/>
        <v>436.8814814814815</v>
      </c>
      <c r="L23" s="375">
        <f t="shared" si="2"/>
        <v>429.8814814814815</v>
      </c>
      <c r="M23" s="374">
        <f t="shared" si="3"/>
        <v>7</v>
      </c>
      <c r="N23" s="373">
        <f t="shared" si="3"/>
        <v>436.8814814814815</v>
      </c>
      <c r="O23" s="375">
        <f t="shared" si="3"/>
        <v>472.07037037037037</v>
      </c>
      <c r="P23" s="374">
        <f t="shared" si="3"/>
        <v>7.7</v>
      </c>
      <c r="Q23" s="373">
        <f t="shared" si="3"/>
        <v>479.77037037037036</v>
      </c>
      <c r="R23" s="375">
        <f t="shared" si="3"/>
        <v>563.24444444444453</v>
      </c>
      <c r="S23" s="374">
        <f t="shared" si="3"/>
        <v>9.1999999999999993</v>
      </c>
      <c r="T23" s="373">
        <f t="shared" si="3"/>
        <v>572.44444444444446</v>
      </c>
      <c r="U23" s="375">
        <f t="shared" si="3"/>
        <v>143</v>
      </c>
      <c r="V23" s="374">
        <f t="shared" si="3"/>
        <v>250</v>
      </c>
      <c r="W23" s="403">
        <f t="shared" si="3"/>
        <v>0.5</v>
      </c>
      <c r="X23" s="377">
        <f t="shared" si="3"/>
        <v>0.6</v>
      </c>
      <c r="Y23" s="717">
        <f t="shared" si="3"/>
        <v>22</v>
      </c>
      <c r="Z23" s="5">
        <f t="shared" si="1"/>
        <v>22</v>
      </c>
    </row>
    <row r="24" spans="1:26" s="5" customFormat="1" x14ac:dyDescent="0.25">
      <c r="A24" s="496">
        <v>42552</v>
      </c>
      <c r="B24" s="497">
        <v>42916</v>
      </c>
      <c r="C24" s="375">
        <f t="shared" si="2"/>
        <v>238.3</v>
      </c>
      <c r="D24" s="374">
        <f t="shared" si="2"/>
        <v>3.9</v>
      </c>
      <c r="E24" s="373">
        <f t="shared" si="2"/>
        <v>242.2</v>
      </c>
      <c r="F24" s="375">
        <f t="shared" si="2"/>
        <v>286.64999999999998</v>
      </c>
      <c r="G24" s="374">
        <f t="shared" si="2"/>
        <v>4.5999999999999996</v>
      </c>
      <c r="H24" s="373">
        <f t="shared" si="2"/>
        <v>291.25</v>
      </c>
      <c r="I24" s="375">
        <f t="shared" si="2"/>
        <v>435.35</v>
      </c>
      <c r="J24" s="374">
        <f t="shared" si="2"/>
        <v>7</v>
      </c>
      <c r="K24" s="373">
        <f t="shared" si="2"/>
        <v>442.35</v>
      </c>
      <c r="L24" s="375">
        <f t="shared" si="2"/>
        <v>435.35</v>
      </c>
      <c r="M24" s="374">
        <f t="shared" si="3"/>
        <v>7</v>
      </c>
      <c r="N24" s="373">
        <f t="shared" si="3"/>
        <v>442.35</v>
      </c>
      <c r="O24" s="375">
        <f t="shared" si="3"/>
        <v>478.1</v>
      </c>
      <c r="P24" s="374">
        <f t="shared" si="3"/>
        <v>7.7</v>
      </c>
      <c r="Q24" s="373">
        <f t="shared" si="3"/>
        <v>485.79999999999995</v>
      </c>
      <c r="R24" s="375">
        <f t="shared" si="3"/>
        <v>570.45000000000005</v>
      </c>
      <c r="S24" s="374">
        <f t="shared" si="3"/>
        <v>9.1999999999999993</v>
      </c>
      <c r="T24" s="373">
        <f t="shared" si="3"/>
        <v>579.65</v>
      </c>
      <c r="U24" s="375">
        <f t="shared" si="3"/>
        <v>143</v>
      </c>
      <c r="V24" s="374">
        <f t="shared" si="3"/>
        <v>250</v>
      </c>
      <c r="W24" s="403">
        <f t="shared" si="3"/>
        <v>0.5</v>
      </c>
      <c r="X24" s="377">
        <f t="shared" si="3"/>
        <v>0.6</v>
      </c>
      <c r="Y24" s="717">
        <f t="shared" si="3"/>
        <v>22</v>
      </c>
      <c r="Z24" s="5">
        <f t="shared" si="3"/>
        <v>22</v>
      </c>
    </row>
    <row r="25" spans="1:26" x14ac:dyDescent="0.25">
      <c r="A25" s="165">
        <v>42917</v>
      </c>
      <c r="B25" s="166">
        <v>43281</v>
      </c>
      <c r="C25" s="33">
        <f t="shared" si="2"/>
        <v>241.8</v>
      </c>
      <c r="D25" s="75">
        <f t="shared" si="2"/>
        <v>3.9</v>
      </c>
      <c r="E25" s="107">
        <f t="shared" si="2"/>
        <v>245.7</v>
      </c>
      <c r="F25" s="33">
        <f t="shared" si="2"/>
        <v>290.85000000000002</v>
      </c>
      <c r="G25" s="75">
        <f t="shared" si="2"/>
        <v>4.5999999999999996</v>
      </c>
      <c r="H25" s="107">
        <f t="shared" si="2"/>
        <v>295.45</v>
      </c>
      <c r="I25" s="33">
        <f t="shared" si="2"/>
        <v>441.65</v>
      </c>
      <c r="J25" s="75">
        <f t="shared" si="2"/>
        <v>7</v>
      </c>
      <c r="K25" s="107">
        <f t="shared" si="2"/>
        <v>448.65</v>
      </c>
      <c r="L25" s="33">
        <f t="shared" si="2"/>
        <v>441.65</v>
      </c>
      <c r="M25" s="75">
        <f t="shared" si="3"/>
        <v>7</v>
      </c>
      <c r="N25" s="107">
        <f t="shared" si="3"/>
        <v>448.65</v>
      </c>
      <c r="O25" s="33">
        <f t="shared" si="3"/>
        <v>485.05</v>
      </c>
      <c r="P25" s="75">
        <f t="shared" si="3"/>
        <v>7.7</v>
      </c>
      <c r="Q25" s="107">
        <f t="shared" si="3"/>
        <v>492.75</v>
      </c>
      <c r="R25" s="33">
        <f t="shared" si="3"/>
        <v>578.75</v>
      </c>
      <c r="S25" s="75">
        <f t="shared" si="3"/>
        <v>9.1999999999999993</v>
      </c>
      <c r="T25" s="107">
        <f t="shared" si="3"/>
        <v>587.95000000000005</v>
      </c>
      <c r="U25" s="33">
        <f t="shared" si="3"/>
        <v>143</v>
      </c>
      <c r="V25" s="75">
        <f t="shared" si="3"/>
        <v>250</v>
      </c>
      <c r="W25" s="106">
        <f t="shared" si="3"/>
        <v>0.5</v>
      </c>
      <c r="X25" s="104">
        <f t="shared" si="3"/>
        <v>0.6</v>
      </c>
      <c r="Y25" s="749">
        <f t="shared" si="3"/>
        <v>22</v>
      </c>
      <c r="Z25" s="806">
        <f t="shared" si="3"/>
        <v>22</v>
      </c>
    </row>
    <row r="26" spans="1:26" x14ac:dyDescent="0.25">
      <c r="A26" s="165">
        <v>43282</v>
      </c>
      <c r="B26" s="166">
        <v>43646</v>
      </c>
      <c r="C26" s="33">
        <f t="shared" si="2"/>
        <v>246.55</v>
      </c>
      <c r="D26" s="75">
        <f t="shared" si="2"/>
        <v>3.9</v>
      </c>
      <c r="E26" s="107">
        <f t="shared" si="2"/>
        <v>250.45</v>
      </c>
      <c r="F26" s="33">
        <f t="shared" si="2"/>
        <v>296.55</v>
      </c>
      <c r="G26" s="75">
        <f t="shared" si="2"/>
        <v>4.5999999999999996</v>
      </c>
      <c r="H26" s="107">
        <f t="shared" si="2"/>
        <v>301.14999999999998</v>
      </c>
      <c r="I26" s="33">
        <f t="shared" si="2"/>
        <v>450.25</v>
      </c>
      <c r="J26" s="75">
        <f t="shared" si="2"/>
        <v>7</v>
      </c>
      <c r="K26" s="107">
        <f t="shared" si="2"/>
        <v>457.25</v>
      </c>
      <c r="L26" s="33">
        <f t="shared" si="2"/>
        <v>450.25</v>
      </c>
      <c r="M26" s="75">
        <f t="shared" si="3"/>
        <v>7</v>
      </c>
      <c r="N26" s="107">
        <f t="shared" si="3"/>
        <v>457.25</v>
      </c>
      <c r="O26" s="33">
        <f t="shared" si="3"/>
        <v>494.5</v>
      </c>
      <c r="P26" s="75">
        <f t="shared" si="3"/>
        <v>7.7</v>
      </c>
      <c r="Q26" s="107">
        <f t="shared" si="3"/>
        <v>502.20000000000005</v>
      </c>
      <c r="R26" s="33">
        <f t="shared" si="3"/>
        <v>590.04999999999995</v>
      </c>
      <c r="S26" s="75">
        <f t="shared" si="3"/>
        <v>9.1999999999999993</v>
      </c>
      <c r="T26" s="107">
        <f t="shared" si="3"/>
        <v>599.25</v>
      </c>
      <c r="U26" s="33">
        <f t="shared" si="3"/>
        <v>143</v>
      </c>
      <c r="V26" s="75">
        <f t="shared" si="3"/>
        <v>250</v>
      </c>
      <c r="W26" s="106">
        <f t="shared" si="3"/>
        <v>0.5</v>
      </c>
      <c r="X26" s="104">
        <f t="shared" si="3"/>
        <v>0.6</v>
      </c>
      <c r="Y26" s="749">
        <f t="shared" si="3"/>
        <v>22</v>
      </c>
      <c r="Z26" s="806">
        <f t="shared" si="3"/>
        <v>22</v>
      </c>
    </row>
    <row r="27" spans="1:26" x14ac:dyDescent="0.25">
      <c r="A27" s="165">
        <v>43647</v>
      </c>
      <c r="B27" s="166">
        <v>44012</v>
      </c>
      <c r="C27" s="33">
        <f t="shared" si="2"/>
        <v>251.75</v>
      </c>
      <c r="D27" s="75">
        <f t="shared" si="2"/>
        <v>3.9</v>
      </c>
      <c r="E27" s="107">
        <f t="shared" si="2"/>
        <v>255.64999999999998</v>
      </c>
      <c r="F27" s="33">
        <f t="shared" si="2"/>
        <v>302.8</v>
      </c>
      <c r="G27" s="75">
        <f t="shared" si="2"/>
        <v>4.5999999999999996</v>
      </c>
      <c r="H27" s="107">
        <f t="shared" si="2"/>
        <v>307.39999999999998</v>
      </c>
      <c r="I27" s="33">
        <f t="shared" si="2"/>
        <v>459.7</v>
      </c>
      <c r="J27" s="75">
        <f t="shared" si="2"/>
        <v>7</v>
      </c>
      <c r="K27" s="107">
        <f t="shared" si="2"/>
        <v>466.7</v>
      </c>
      <c r="L27" s="33">
        <f t="shared" si="2"/>
        <v>459.7</v>
      </c>
      <c r="M27" s="75">
        <f t="shared" si="3"/>
        <v>7</v>
      </c>
      <c r="N27" s="107">
        <f t="shared" si="3"/>
        <v>466.7</v>
      </c>
      <c r="O27" s="33">
        <f t="shared" si="3"/>
        <v>504.9</v>
      </c>
      <c r="P27" s="75">
        <f t="shared" si="3"/>
        <v>7.7</v>
      </c>
      <c r="Q27" s="107">
        <f t="shared" si="3"/>
        <v>512.6</v>
      </c>
      <c r="R27" s="33">
        <f t="shared" si="3"/>
        <v>602.45000000000005</v>
      </c>
      <c r="S27" s="75">
        <f t="shared" si="3"/>
        <v>9.1999999999999993</v>
      </c>
      <c r="T27" s="107">
        <f t="shared" si="3"/>
        <v>611.65000000000009</v>
      </c>
      <c r="U27" s="33">
        <f t="shared" si="3"/>
        <v>143</v>
      </c>
      <c r="V27" s="75">
        <f t="shared" si="3"/>
        <v>250</v>
      </c>
      <c r="W27" s="106">
        <f t="shared" si="3"/>
        <v>0.5</v>
      </c>
      <c r="X27" s="104">
        <f t="shared" si="3"/>
        <v>0.6</v>
      </c>
      <c r="Y27" s="749">
        <f t="shared" si="3"/>
        <v>22</v>
      </c>
      <c r="Z27" s="806">
        <f t="shared" si="3"/>
        <v>22</v>
      </c>
    </row>
    <row r="28" spans="1:26" x14ac:dyDescent="0.25">
      <c r="A28" s="165">
        <v>44013</v>
      </c>
      <c r="B28" s="166">
        <v>44377</v>
      </c>
      <c r="C28" s="33">
        <f t="shared" ref="C28:L28" si="4">AnnualAverage($A28,C$7,YouthUnemploymentParms,YouthUnemploymentDates,YouthUnemploymentNames)</f>
        <v>257.7</v>
      </c>
      <c r="D28" s="75">
        <f t="shared" si="4"/>
        <v>3.9</v>
      </c>
      <c r="E28" s="107">
        <f t="shared" si="4"/>
        <v>261.60000000000002</v>
      </c>
      <c r="F28" s="33">
        <f t="shared" si="4"/>
        <v>309.95000000000005</v>
      </c>
      <c r="G28" s="75">
        <f t="shared" si="4"/>
        <v>4.5999999999999996</v>
      </c>
      <c r="H28" s="107">
        <f t="shared" si="4"/>
        <v>314.54999999999995</v>
      </c>
      <c r="I28" s="33">
        <f t="shared" si="4"/>
        <v>470.5</v>
      </c>
      <c r="J28" s="75">
        <f t="shared" si="4"/>
        <v>7</v>
      </c>
      <c r="K28" s="107">
        <f t="shared" si="4"/>
        <v>477.5</v>
      </c>
      <c r="L28" s="33">
        <f t="shared" si="4"/>
        <v>470.5</v>
      </c>
      <c r="M28" s="75">
        <f t="shared" ref="M28:Y28" si="5">AnnualAverage($A28,M$7,YouthUnemploymentParms,YouthUnemploymentDates,YouthUnemploymentNames)</f>
        <v>7</v>
      </c>
      <c r="N28" s="107">
        <f t="shared" si="5"/>
        <v>477.5</v>
      </c>
      <c r="O28" s="33">
        <f t="shared" si="5"/>
        <v>516.79999999999995</v>
      </c>
      <c r="P28" s="75">
        <f t="shared" si="5"/>
        <v>7.7</v>
      </c>
      <c r="Q28" s="107">
        <f t="shared" si="5"/>
        <v>524.5</v>
      </c>
      <c r="R28" s="33">
        <f t="shared" si="5"/>
        <v>616.6</v>
      </c>
      <c r="S28" s="75">
        <f t="shared" si="5"/>
        <v>9.1999999999999993</v>
      </c>
      <c r="T28" s="107">
        <f t="shared" si="5"/>
        <v>625.79999999999995</v>
      </c>
      <c r="U28" s="33">
        <f t="shared" si="5"/>
        <v>143</v>
      </c>
      <c r="V28" s="75">
        <f t="shared" si="5"/>
        <v>250</v>
      </c>
      <c r="W28" s="106">
        <f t="shared" si="5"/>
        <v>0.5</v>
      </c>
      <c r="X28" s="104">
        <f t="shared" si="5"/>
        <v>0.6</v>
      </c>
      <c r="Y28" s="749">
        <f t="shared" si="5"/>
        <v>22</v>
      </c>
      <c r="Z28" s="806">
        <f t="shared" si="3"/>
        <v>22</v>
      </c>
    </row>
  </sheetData>
  <customSheetViews>
    <customSheetView guid="{E49C2F27-B0B9-497E-BEC0-5B59561292FE}" topLeftCell="O4">
      <selection activeCell="AA23" sqref="AA23"/>
      <pageMargins left="0.7" right="0.7" top="0.75" bottom="0.75" header="0.3" footer="0.3"/>
    </customSheetView>
    <customSheetView guid="{A5953138-1481-4137-BEAD-32FA4FDF03E6}" topLeftCell="O4">
      <selection activeCell="AA23" sqref="AA23"/>
      <pageMargins left="0.7" right="0.7" top="0.75" bottom="0.75" header="0.3" footer="0.3"/>
    </customSheetView>
    <customSheetView guid="{2A1F94CA-1A34-4418-88FD-EABF7586C2B2}" topLeftCell="O4">
      <selection activeCell="AA23" sqref="AA23"/>
      <pageMargins left="0.7" right="0.7" top="0.75" bottom="0.75" header="0.3" footer="0.3"/>
    </customSheetView>
  </customSheetViews>
  <mergeCells count="29">
    <mergeCell ref="Z3:Z6"/>
    <mergeCell ref="A1:B3"/>
    <mergeCell ref="C1:T2"/>
    <mergeCell ref="U2:X3"/>
    <mergeCell ref="C3:H3"/>
    <mergeCell ref="H4:H6"/>
    <mergeCell ref="C5:D5"/>
    <mergeCell ref="F5:G5"/>
    <mergeCell ref="I3:K4"/>
    <mergeCell ref="L3:N4"/>
    <mergeCell ref="U1:X1"/>
    <mergeCell ref="A4:A6"/>
    <mergeCell ref="B4:B6"/>
    <mergeCell ref="C4:D4"/>
    <mergeCell ref="E4:E6"/>
    <mergeCell ref="F4:G4"/>
    <mergeCell ref="Y3:Y6"/>
    <mergeCell ref="R5:S5"/>
    <mergeCell ref="T5:T6"/>
    <mergeCell ref="I5:J5"/>
    <mergeCell ref="K5:K6"/>
    <mergeCell ref="L5:M5"/>
    <mergeCell ref="N5:N6"/>
    <mergeCell ref="O5:P5"/>
    <mergeCell ref="Q5:Q6"/>
    <mergeCell ref="O3:Q4"/>
    <mergeCell ref="R3:T4"/>
    <mergeCell ref="U4:V5"/>
    <mergeCell ref="W4:X5"/>
  </mergeCells>
  <pageMargins left="0.7" right="0.7" top="0.75" bottom="0.75" header="0.3" footer="0.3"/>
  <legacyDrawing r:id="rId1"/>
</worksheet>
</file>

<file path=xl/worksheets/sheet2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700-000000000000}">
  <sheetPr codeName="Sheet35">
    <tabColor rgb="FF00B0F0"/>
  </sheetPr>
  <dimension ref="A1:E91"/>
  <sheetViews>
    <sheetView zoomScale="85" workbookViewId="0">
      <pane xSplit="2" ySplit="7" topLeftCell="C58" activePane="bottomRight" state="frozen"/>
      <selection pane="topRight" activeCell="C1" sqref="C1"/>
      <selection pane="bottomLeft" activeCell="A8" sqref="A8"/>
      <selection pane="bottomRight" activeCell="A92" sqref="A92:XFD211"/>
    </sheetView>
  </sheetViews>
  <sheetFormatPr defaultRowHeight="15" x14ac:dyDescent="0.25"/>
  <cols>
    <col min="1" max="2" width="14.140625" style="28" customWidth="1"/>
    <col min="3" max="3" width="17.42578125" style="28" customWidth="1"/>
    <col min="4" max="4" width="21" style="28" customWidth="1"/>
    <col min="5" max="5" width="22.28515625" style="502" bestFit="1" customWidth="1"/>
    <col min="6" max="16384" width="9.140625" style="28"/>
  </cols>
  <sheetData>
    <row r="1" spans="1:5" x14ac:dyDescent="0.25">
      <c r="A1" s="1164" t="s">
        <v>13</v>
      </c>
      <c r="B1" s="1165"/>
      <c r="C1" s="1268" t="s">
        <v>67</v>
      </c>
      <c r="D1" s="1270"/>
      <c r="E1" s="1251" t="s">
        <v>559</v>
      </c>
    </row>
    <row r="2" spans="1:5" x14ac:dyDescent="0.25">
      <c r="A2" s="1215"/>
      <c r="B2" s="1236"/>
      <c r="C2" s="1326"/>
      <c r="D2" s="1327"/>
      <c r="E2" s="1252"/>
    </row>
    <row r="3" spans="1:5" ht="15.75" thickBot="1" x14ac:dyDescent="0.3">
      <c r="A3" s="1215"/>
      <c r="B3" s="1236"/>
      <c r="C3" s="1271"/>
      <c r="D3" s="1273"/>
      <c r="E3" s="1252"/>
    </row>
    <row r="4" spans="1:5" ht="15" customHeight="1" x14ac:dyDescent="0.25">
      <c r="A4" s="1188" t="s">
        <v>16</v>
      </c>
      <c r="B4" s="1176" t="s">
        <v>17</v>
      </c>
      <c r="C4" s="1157" t="s">
        <v>111</v>
      </c>
      <c r="D4" s="1157" t="s">
        <v>558</v>
      </c>
      <c r="E4" s="1252"/>
    </row>
    <row r="5" spans="1:5" x14ac:dyDescent="0.25">
      <c r="A5" s="1188"/>
      <c r="B5" s="1176"/>
      <c r="C5" s="1158"/>
      <c r="D5" s="1158"/>
      <c r="E5" s="1252"/>
    </row>
    <row r="6" spans="1:5" ht="15.75" thickBot="1" x14ac:dyDescent="0.3">
      <c r="A6" s="1207"/>
      <c r="B6" s="1177"/>
      <c r="C6" s="1159"/>
      <c r="D6" s="1159"/>
      <c r="E6" s="1253"/>
    </row>
    <row r="7" spans="1:5" ht="15.75" thickBot="1" x14ac:dyDescent="0.3">
      <c r="A7" s="713" t="s">
        <v>550</v>
      </c>
      <c r="B7" s="714" t="s">
        <v>551</v>
      </c>
      <c r="C7" s="82" t="s">
        <v>427</v>
      </c>
      <c r="D7" s="82" t="s">
        <v>364</v>
      </c>
      <c r="E7" s="82" t="s">
        <v>363</v>
      </c>
    </row>
    <row r="8" spans="1:5" x14ac:dyDescent="0.25">
      <c r="A8" s="161">
        <v>36708</v>
      </c>
      <c r="B8" s="162">
        <v>36788</v>
      </c>
      <c r="C8" s="92">
        <v>62.4</v>
      </c>
      <c r="D8" s="92">
        <f>C8/2</f>
        <v>31.2</v>
      </c>
      <c r="E8" s="659">
        <v>16</v>
      </c>
    </row>
    <row r="9" spans="1:5" x14ac:dyDescent="0.25">
      <c r="A9" s="163">
        <v>36789</v>
      </c>
      <c r="B9" s="164">
        <v>36891</v>
      </c>
      <c r="C9" s="93">
        <v>62.4</v>
      </c>
      <c r="D9" s="93">
        <f t="shared" ref="D9:D65" si="0">C9/2</f>
        <v>31.2</v>
      </c>
      <c r="E9" s="660">
        <v>16</v>
      </c>
    </row>
    <row r="10" spans="1:5" x14ac:dyDescent="0.25">
      <c r="A10" s="163">
        <v>36892</v>
      </c>
      <c r="B10" s="164">
        <v>36969</v>
      </c>
      <c r="C10" s="93">
        <v>62.4</v>
      </c>
      <c r="D10" s="93">
        <f t="shared" si="0"/>
        <v>31.2</v>
      </c>
      <c r="E10" s="660">
        <v>16</v>
      </c>
    </row>
    <row r="11" spans="1:5" ht="15.75" thickBot="1" x14ac:dyDescent="0.3">
      <c r="A11" s="180">
        <v>36970</v>
      </c>
      <c r="B11" s="181">
        <v>37072</v>
      </c>
      <c r="C11" s="94">
        <v>62.4</v>
      </c>
      <c r="D11" s="94">
        <f t="shared" si="0"/>
        <v>31.2</v>
      </c>
      <c r="E11" s="751">
        <v>16</v>
      </c>
    </row>
    <row r="12" spans="1:5" x14ac:dyDescent="0.25">
      <c r="A12" s="161">
        <v>37073</v>
      </c>
      <c r="B12" s="162">
        <v>37153</v>
      </c>
      <c r="C12" s="92">
        <v>62.4</v>
      </c>
      <c r="D12" s="92">
        <f t="shared" si="0"/>
        <v>31.2</v>
      </c>
      <c r="E12" s="659">
        <v>16</v>
      </c>
    </row>
    <row r="13" spans="1:5" x14ac:dyDescent="0.25">
      <c r="A13" s="163">
        <v>37154</v>
      </c>
      <c r="B13" s="164">
        <v>37256</v>
      </c>
      <c r="C13" s="93">
        <v>62.4</v>
      </c>
      <c r="D13" s="93">
        <f t="shared" si="0"/>
        <v>31.2</v>
      </c>
      <c r="E13" s="660">
        <v>16</v>
      </c>
    </row>
    <row r="14" spans="1:5" x14ac:dyDescent="0.25">
      <c r="A14" s="163">
        <v>37257</v>
      </c>
      <c r="B14" s="164">
        <v>37334</v>
      </c>
      <c r="C14" s="93">
        <v>62.4</v>
      </c>
      <c r="D14" s="93">
        <f t="shared" si="0"/>
        <v>31.2</v>
      </c>
      <c r="E14" s="660">
        <v>16</v>
      </c>
    </row>
    <row r="15" spans="1:5" ht="15.75" thickBot="1" x14ac:dyDescent="0.3">
      <c r="A15" s="180">
        <v>37335</v>
      </c>
      <c r="B15" s="181">
        <v>37437</v>
      </c>
      <c r="C15" s="94">
        <v>62.4</v>
      </c>
      <c r="D15" s="94">
        <f t="shared" si="0"/>
        <v>31.2</v>
      </c>
      <c r="E15" s="751">
        <v>16</v>
      </c>
    </row>
    <row r="16" spans="1:5" x14ac:dyDescent="0.25">
      <c r="A16" s="161">
        <v>37438</v>
      </c>
      <c r="B16" s="162">
        <v>37518</v>
      </c>
      <c r="C16" s="92">
        <v>62.4</v>
      </c>
      <c r="D16" s="92">
        <f t="shared" si="0"/>
        <v>31.2</v>
      </c>
      <c r="E16" s="659">
        <v>16</v>
      </c>
    </row>
    <row r="17" spans="1:5" x14ac:dyDescent="0.25">
      <c r="A17" s="163">
        <v>37519</v>
      </c>
      <c r="B17" s="164">
        <v>37621</v>
      </c>
      <c r="C17" s="93">
        <v>62.4</v>
      </c>
      <c r="D17" s="93">
        <f t="shared" si="0"/>
        <v>31.2</v>
      </c>
      <c r="E17" s="660">
        <v>16</v>
      </c>
    </row>
    <row r="18" spans="1:5" x14ac:dyDescent="0.25">
      <c r="A18" s="163">
        <v>37622</v>
      </c>
      <c r="B18" s="164">
        <v>37699</v>
      </c>
      <c r="C18" s="93">
        <v>62.4</v>
      </c>
      <c r="D18" s="93">
        <f t="shared" si="0"/>
        <v>31.2</v>
      </c>
      <c r="E18" s="660">
        <v>16</v>
      </c>
    </row>
    <row r="19" spans="1:5" ht="15.75" thickBot="1" x14ac:dyDescent="0.3">
      <c r="A19" s="180">
        <v>37700</v>
      </c>
      <c r="B19" s="181">
        <v>37802</v>
      </c>
      <c r="C19" s="94">
        <v>62.4</v>
      </c>
      <c r="D19" s="94">
        <f t="shared" si="0"/>
        <v>31.2</v>
      </c>
      <c r="E19" s="751">
        <v>16</v>
      </c>
    </row>
    <row r="20" spans="1:5" x14ac:dyDescent="0.25">
      <c r="A20" s="161">
        <v>37803</v>
      </c>
      <c r="B20" s="162">
        <v>37883</v>
      </c>
      <c r="C20" s="92">
        <v>62.4</v>
      </c>
      <c r="D20" s="92">
        <f t="shared" si="0"/>
        <v>31.2</v>
      </c>
      <c r="E20" s="659">
        <v>16</v>
      </c>
    </row>
    <row r="21" spans="1:5" x14ac:dyDescent="0.25">
      <c r="A21" s="163">
        <v>37884</v>
      </c>
      <c r="B21" s="164">
        <v>37986</v>
      </c>
      <c r="C21" s="93">
        <v>62.4</v>
      </c>
      <c r="D21" s="93">
        <f t="shared" si="0"/>
        <v>31.2</v>
      </c>
      <c r="E21" s="660">
        <v>16</v>
      </c>
    </row>
    <row r="22" spans="1:5" x14ac:dyDescent="0.25">
      <c r="A22" s="163">
        <v>37987</v>
      </c>
      <c r="B22" s="164">
        <v>38065</v>
      </c>
      <c r="C22" s="93">
        <v>62.4</v>
      </c>
      <c r="D22" s="93">
        <f t="shared" si="0"/>
        <v>31.2</v>
      </c>
      <c r="E22" s="660">
        <v>16</v>
      </c>
    </row>
    <row r="23" spans="1:5" ht="15.75" thickBot="1" x14ac:dyDescent="0.3">
      <c r="A23" s="180">
        <v>38066</v>
      </c>
      <c r="B23" s="181">
        <v>38168</v>
      </c>
      <c r="C23" s="94">
        <v>62.4</v>
      </c>
      <c r="D23" s="94">
        <f t="shared" si="0"/>
        <v>31.2</v>
      </c>
      <c r="E23" s="751">
        <v>16</v>
      </c>
    </row>
    <row r="24" spans="1:5" x14ac:dyDescent="0.25">
      <c r="A24" s="161">
        <v>38169</v>
      </c>
      <c r="B24" s="162">
        <v>38249</v>
      </c>
      <c r="C24" s="92">
        <v>62.4</v>
      </c>
      <c r="D24" s="92">
        <f t="shared" si="0"/>
        <v>31.2</v>
      </c>
      <c r="E24" s="659">
        <v>16</v>
      </c>
    </row>
    <row r="25" spans="1:5" x14ac:dyDescent="0.25">
      <c r="A25" s="163">
        <v>38250</v>
      </c>
      <c r="B25" s="164">
        <v>38352</v>
      </c>
      <c r="C25" s="93">
        <v>62.4</v>
      </c>
      <c r="D25" s="93">
        <f t="shared" si="0"/>
        <v>31.2</v>
      </c>
      <c r="E25" s="660">
        <v>16</v>
      </c>
    </row>
    <row r="26" spans="1:5" x14ac:dyDescent="0.25">
      <c r="A26" s="163">
        <v>38353</v>
      </c>
      <c r="B26" s="164">
        <v>38430</v>
      </c>
      <c r="C26" s="93">
        <v>62.4</v>
      </c>
      <c r="D26" s="93">
        <f t="shared" si="0"/>
        <v>31.2</v>
      </c>
      <c r="E26" s="660">
        <v>16</v>
      </c>
    </row>
    <row r="27" spans="1:5" ht="15.75" thickBot="1" x14ac:dyDescent="0.3">
      <c r="A27" s="180">
        <v>38431</v>
      </c>
      <c r="B27" s="181">
        <v>38533</v>
      </c>
      <c r="C27" s="94">
        <v>62.4</v>
      </c>
      <c r="D27" s="94">
        <f t="shared" si="0"/>
        <v>31.2</v>
      </c>
      <c r="E27" s="751">
        <v>16</v>
      </c>
    </row>
    <row r="28" spans="1:5" x14ac:dyDescent="0.25">
      <c r="A28" s="161">
        <v>38534</v>
      </c>
      <c r="B28" s="162">
        <v>38614</v>
      </c>
      <c r="C28" s="92">
        <v>62.4</v>
      </c>
      <c r="D28" s="92">
        <f t="shared" si="0"/>
        <v>31.2</v>
      </c>
      <c r="E28" s="659">
        <v>16</v>
      </c>
    </row>
    <row r="29" spans="1:5" x14ac:dyDescent="0.25">
      <c r="A29" s="163">
        <v>38615</v>
      </c>
      <c r="B29" s="164">
        <v>38717</v>
      </c>
      <c r="C29" s="93">
        <v>62.4</v>
      </c>
      <c r="D29" s="93">
        <f t="shared" si="0"/>
        <v>31.2</v>
      </c>
      <c r="E29" s="660">
        <v>16</v>
      </c>
    </row>
    <row r="30" spans="1:5" x14ac:dyDescent="0.25">
      <c r="A30" s="163">
        <v>38718</v>
      </c>
      <c r="B30" s="164">
        <v>38795</v>
      </c>
      <c r="C30" s="93">
        <v>62.4</v>
      </c>
      <c r="D30" s="93">
        <f t="shared" si="0"/>
        <v>31.2</v>
      </c>
      <c r="E30" s="660">
        <v>16</v>
      </c>
    </row>
    <row r="31" spans="1:5" ht="15.75" thickBot="1" x14ac:dyDescent="0.3">
      <c r="A31" s="180">
        <v>38796</v>
      </c>
      <c r="B31" s="181">
        <v>38898</v>
      </c>
      <c r="C31" s="94">
        <v>62.4</v>
      </c>
      <c r="D31" s="94">
        <f t="shared" si="0"/>
        <v>31.2</v>
      </c>
      <c r="E31" s="751">
        <v>16</v>
      </c>
    </row>
    <row r="32" spans="1:5" x14ac:dyDescent="0.25">
      <c r="A32" s="161">
        <v>38899</v>
      </c>
      <c r="B32" s="162">
        <v>38979</v>
      </c>
      <c r="C32" s="92">
        <v>62.4</v>
      </c>
      <c r="D32" s="92">
        <f t="shared" si="0"/>
        <v>31.2</v>
      </c>
      <c r="E32" s="659">
        <v>16</v>
      </c>
    </row>
    <row r="33" spans="1:5" x14ac:dyDescent="0.25">
      <c r="A33" s="163">
        <v>38980</v>
      </c>
      <c r="B33" s="164">
        <v>39082</v>
      </c>
      <c r="C33" s="93">
        <v>62.4</v>
      </c>
      <c r="D33" s="93">
        <f t="shared" si="0"/>
        <v>31.2</v>
      </c>
      <c r="E33" s="660">
        <v>16</v>
      </c>
    </row>
    <row r="34" spans="1:5" x14ac:dyDescent="0.25">
      <c r="A34" s="163">
        <v>39083</v>
      </c>
      <c r="B34" s="164">
        <v>39160</v>
      </c>
      <c r="C34" s="93">
        <v>62.4</v>
      </c>
      <c r="D34" s="93">
        <f t="shared" si="0"/>
        <v>31.2</v>
      </c>
      <c r="E34" s="660">
        <v>16</v>
      </c>
    </row>
    <row r="35" spans="1:5" ht="15.75" thickBot="1" x14ac:dyDescent="0.3">
      <c r="A35" s="180">
        <v>39161</v>
      </c>
      <c r="B35" s="181">
        <v>39263</v>
      </c>
      <c r="C35" s="94">
        <v>62.4</v>
      </c>
      <c r="D35" s="94">
        <f t="shared" si="0"/>
        <v>31.2</v>
      </c>
      <c r="E35" s="751">
        <v>16</v>
      </c>
    </row>
    <row r="36" spans="1:5" x14ac:dyDescent="0.25">
      <c r="A36" s="161">
        <v>39264</v>
      </c>
      <c r="B36" s="162">
        <v>39344</v>
      </c>
      <c r="C36" s="92">
        <v>62.4</v>
      </c>
      <c r="D36" s="92">
        <f t="shared" si="0"/>
        <v>31.2</v>
      </c>
      <c r="E36" s="659">
        <v>16</v>
      </c>
    </row>
    <row r="37" spans="1:5" x14ac:dyDescent="0.25">
      <c r="A37" s="163">
        <v>39345</v>
      </c>
      <c r="B37" s="164">
        <v>39447</v>
      </c>
      <c r="C37" s="93">
        <v>62.4</v>
      </c>
      <c r="D37" s="93">
        <f t="shared" si="0"/>
        <v>31.2</v>
      </c>
      <c r="E37" s="660">
        <v>16</v>
      </c>
    </row>
    <row r="38" spans="1:5" x14ac:dyDescent="0.25">
      <c r="A38" s="163">
        <v>39448</v>
      </c>
      <c r="B38" s="164">
        <v>39526</v>
      </c>
      <c r="C38" s="93">
        <v>62.4</v>
      </c>
      <c r="D38" s="93">
        <f t="shared" si="0"/>
        <v>31.2</v>
      </c>
      <c r="E38" s="660">
        <v>16</v>
      </c>
    </row>
    <row r="39" spans="1:5" ht="15.75" thickBot="1" x14ac:dyDescent="0.3">
      <c r="A39" s="180">
        <v>39527</v>
      </c>
      <c r="B39" s="181">
        <v>39629</v>
      </c>
      <c r="C39" s="94">
        <v>62.4</v>
      </c>
      <c r="D39" s="94">
        <f t="shared" si="0"/>
        <v>31.2</v>
      </c>
      <c r="E39" s="751">
        <v>16</v>
      </c>
    </row>
    <row r="40" spans="1:5" x14ac:dyDescent="0.25">
      <c r="A40" s="161">
        <v>39630</v>
      </c>
      <c r="B40" s="162">
        <v>39710</v>
      </c>
      <c r="C40" s="92">
        <v>62.4</v>
      </c>
      <c r="D40" s="92">
        <f t="shared" si="0"/>
        <v>31.2</v>
      </c>
      <c r="E40" s="659">
        <v>16</v>
      </c>
    </row>
    <row r="41" spans="1:5" x14ac:dyDescent="0.25">
      <c r="A41" s="163">
        <v>39711</v>
      </c>
      <c r="B41" s="164">
        <v>39813</v>
      </c>
      <c r="C41" s="93">
        <v>62.4</v>
      </c>
      <c r="D41" s="93">
        <f t="shared" si="0"/>
        <v>31.2</v>
      </c>
      <c r="E41" s="660">
        <v>16</v>
      </c>
    </row>
    <row r="42" spans="1:5" x14ac:dyDescent="0.25">
      <c r="A42" s="163">
        <v>39814</v>
      </c>
      <c r="B42" s="164">
        <v>39891</v>
      </c>
      <c r="C42" s="93">
        <v>62.4</v>
      </c>
      <c r="D42" s="93">
        <f t="shared" si="0"/>
        <v>31.2</v>
      </c>
      <c r="E42" s="660">
        <v>16</v>
      </c>
    </row>
    <row r="43" spans="1:5" ht="15.75" thickBot="1" x14ac:dyDescent="0.3">
      <c r="A43" s="180">
        <v>39892</v>
      </c>
      <c r="B43" s="181">
        <v>39994</v>
      </c>
      <c r="C43" s="94">
        <v>62.4</v>
      </c>
      <c r="D43" s="94">
        <f t="shared" si="0"/>
        <v>31.2</v>
      </c>
      <c r="E43" s="751">
        <v>16</v>
      </c>
    </row>
    <row r="44" spans="1:5" x14ac:dyDescent="0.25">
      <c r="A44" s="161">
        <v>39995</v>
      </c>
      <c r="B44" s="162">
        <v>40075</v>
      </c>
      <c r="C44" s="92">
        <v>62.4</v>
      </c>
      <c r="D44" s="92">
        <f t="shared" si="0"/>
        <v>31.2</v>
      </c>
      <c r="E44" s="659">
        <v>16</v>
      </c>
    </row>
    <row r="45" spans="1:5" x14ac:dyDescent="0.25">
      <c r="A45" s="163">
        <v>40076</v>
      </c>
      <c r="B45" s="164">
        <v>40178</v>
      </c>
      <c r="C45" s="93">
        <v>62.4</v>
      </c>
      <c r="D45" s="93">
        <f t="shared" si="0"/>
        <v>31.2</v>
      </c>
      <c r="E45" s="660">
        <v>16</v>
      </c>
    </row>
    <row r="46" spans="1:5" x14ac:dyDescent="0.25">
      <c r="A46" s="163">
        <v>40179</v>
      </c>
      <c r="B46" s="164">
        <v>40256</v>
      </c>
      <c r="C46" s="93">
        <v>62.4</v>
      </c>
      <c r="D46" s="93">
        <f t="shared" si="0"/>
        <v>31.2</v>
      </c>
      <c r="E46" s="660">
        <v>16</v>
      </c>
    </row>
    <row r="47" spans="1:5" ht="15.75" thickBot="1" x14ac:dyDescent="0.3">
      <c r="A47" s="180">
        <v>40257</v>
      </c>
      <c r="B47" s="181">
        <v>40359</v>
      </c>
      <c r="C47" s="94">
        <v>62.4</v>
      </c>
      <c r="D47" s="94">
        <f t="shared" si="0"/>
        <v>31.2</v>
      </c>
      <c r="E47" s="751">
        <v>16</v>
      </c>
    </row>
    <row r="48" spans="1:5" x14ac:dyDescent="0.25">
      <c r="A48" s="161">
        <v>40360</v>
      </c>
      <c r="B48" s="162">
        <v>40440</v>
      </c>
      <c r="C48" s="92">
        <v>62.4</v>
      </c>
      <c r="D48" s="92">
        <f t="shared" si="0"/>
        <v>31.2</v>
      </c>
      <c r="E48" s="659">
        <v>16</v>
      </c>
    </row>
    <row r="49" spans="1:5" x14ac:dyDescent="0.25">
      <c r="A49" s="163">
        <v>40441</v>
      </c>
      <c r="B49" s="164">
        <v>40543</v>
      </c>
      <c r="C49" s="93">
        <v>62.4</v>
      </c>
      <c r="D49" s="93">
        <f t="shared" si="0"/>
        <v>31.2</v>
      </c>
      <c r="E49" s="660">
        <v>16</v>
      </c>
    </row>
    <row r="50" spans="1:5" x14ac:dyDescent="0.25">
      <c r="A50" s="163">
        <v>40544</v>
      </c>
      <c r="B50" s="164">
        <v>40621</v>
      </c>
      <c r="C50" s="93">
        <v>62.4</v>
      </c>
      <c r="D50" s="93">
        <f t="shared" si="0"/>
        <v>31.2</v>
      </c>
      <c r="E50" s="660">
        <v>16</v>
      </c>
    </row>
    <row r="51" spans="1:5" ht="15.75" thickBot="1" x14ac:dyDescent="0.3">
      <c r="A51" s="180">
        <v>40622</v>
      </c>
      <c r="B51" s="181">
        <v>40724</v>
      </c>
      <c r="C51" s="94">
        <v>62.4</v>
      </c>
      <c r="D51" s="94">
        <f t="shared" si="0"/>
        <v>31.2</v>
      </c>
      <c r="E51" s="751">
        <v>16</v>
      </c>
    </row>
    <row r="52" spans="1:5" x14ac:dyDescent="0.25">
      <c r="A52" s="161">
        <v>40725</v>
      </c>
      <c r="B52" s="162">
        <v>40805</v>
      </c>
      <c r="C52" s="92">
        <v>62.4</v>
      </c>
      <c r="D52" s="92">
        <f t="shared" si="0"/>
        <v>31.2</v>
      </c>
      <c r="E52" s="659">
        <v>16</v>
      </c>
    </row>
    <row r="53" spans="1:5" x14ac:dyDescent="0.25">
      <c r="A53" s="163">
        <v>40806</v>
      </c>
      <c r="B53" s="164">
        <v>40908</v>
      </c>
      <c r="C53" s="93">
        <v>62.4</v>
      </c>
      <c r="D53" s="93">
        <f t="shared" si="0"/>
        <v>31.2</v>
      </c>
      <c r="E53" s="660">
        <v>16</v>
      </c>
    </row>
    <row r="54" spans="1:5" x14ac:dyDescent="0.25">
      <c r="A54" s="163">
        <v>40909</v>
      </c>
      <c r="B54" s="164">
        <v>40987</v>
      </c>
      <c r="C54" s="93">
        <v>62.4</v>
      </c>
      <c r="D54" s="93">
        <f t="shared" si="0"/>
        <v>31.2</v>
      </c>
      <c r="E54" s="660">
        <v>16</v>
      </c>
    </row>
    <row r="55" spans="1:5" ht="15.75" thickBot="1" x14ac:dyDescent="0.3">
      <c r="A55" s="180">
        <v>40988</v>
      </c>
      <c r="B55" s="181">
        <v>41090</v>
      </c>
      <c r="C55" s="94">
        <v>62.4</v>
      </c>
      <c r="D55" s="94">
        <f t="shared" si="0"/>
        <v>31.2</v>
      </c>
      <c r="E55" s="751">
        <v>16</v>
      </c>
    </row>
    <row r="56" spans="1:5" s="5" customFormat="1" x14ac:dyDescent="0.25">
      <c r="A56" s="531">
        <v>41091</v>
      </c>
      <c r="B56" s="532">
        <v>41171</v>
      </c>
      <c r="C56" s="533">
        <v>62.4</v>
      </c>
      <c r="D56" s="533">
        <f t="shared" si="0"/>
        <v>31.2</v>
      </c>
      <c r="E56" s="752">
        <v>16</v>
      </c>
    </row>
    <row r="57" spans="1:5" s="5" customFormat="1" x14ac:dyDescent="0.25">
      <c r="A57" s="496">
        <v>41172</v>
      </c>
      <c r="B57" s="497">
        <v>41274</v>
      </c>
      <c r="C57" s="373">
        <v>62.4</v>
      </c>
      <c r="D57" s="373">
        <f t="shared" si="0"/>
        <v>31.2</v>
      </c>
      <c r="E57" s="717">
        <v>16</v>
      </c>
    </row>
    <row r="58" spans="1:5" s="5" customFormat="1" x14ac:dyDescent="0.25">
      <c r="A58" s="496">
        <v>41275</v>
      </c>
      <c r="B58" s="497">
        <v>41352</v>
      </c>
      <c r="C58" s="373">
        <v>62.4</v>
      </c>
      <c r="D58" s="373">
        <f t="shared" si="0"/>
        <v>31.2</v>
      </c>
      <c r="E58" s="717">
        <v>16</v>
      </c>
    </row>
    <row r="59" spans="1:5" s="5" customFormat="1" ht="15.75" thickBot="1" x14ac:dyDescent="0.3">
      <c r="A59" s="538">
        <v>41353</v>
      </c>
      <c r="B59" s="539">
        <v>41455</v>
      </c>
      <c r="C59" s="542">
        <v>62.4</v>
      </c>
      <c r="D59" s="542">
        <f t="shared" si="0"/>
        <v>31.2</v>
      </c>
      <c r="E59" s="718">
        <v>16</v>
      </c>
    </row>
    <row r="60" spans="1:5" x14ac:dyDescent="0.25">
      <c r="A60" s="531">
        <v>41456</v>
      </c>
      <c r="B60" s="532">
        <v>41536</v>
      </c>
      <c r="C60" s="533">
        <v>62.4</v>
      </c>
      <c r="D60" s="533">
        <f t="shared" si="0"/>
        <v>31.2</v>
      </c>
      <c r="E60" s="752">
        <v>16</v>
      </c>
    </row>
    <row r="61" spans="1:5" x14ac:dyDescent="0.25">
      <c r="A61" s="496">
        <v>41537</v>
      </c>
      <c r="B61" s="497">
        <v>41639</v>
      </c>
      <c r="C61" s="373">
        <v>62.4</v>
      </c>
      <c r="D61" s="373">
        <f t="shared" si="0"/>
        <v>31.2</v>
      </c>
      <c r="E61" s="717">
        <v>16</v>
      </c>
    </row>
    <row r="62" spans="1:5" x14ac:dyDescent="0.25">
      <c r="A62" s="496">
        <v>41640</v>
      </c>
      <c r="B62" s="497">
        <v>41717</v>
      </c>
      <c r="C62" s="373">
        <f>C61</f>
        <v>62.4</v>
      </c>
      <c r="D62" s="373">
        <f t="shared" si="0"/>
        <v>31.2</v>
      </c>
      <c r="E62" s="717">
        <v>16</v>
      </c>
    </row>
    <row r="63" spans="1:5" ht="15.75" thickBot="1" x14ac:dyDescent="0.3">
      <c r="A63" s="538">
        <v>41718</v>
      </c>
      <c r="B63" s="539">
        <v>41820</v>
      </c>
      <c r="C63" s="542">
        <f>C62</f>
        <v>62.4</v>
      </c>
      <c r="D63" s="542">
        <f t="shared" si="0"/>
        <v>31.2</v>
      </c>
      <c r="E63" s="718">
        <v>16</v>
      </c>
    </row>
    <row r="64" spans="1:5" x14ac:dyDescent="0.25">
      <c r="A64" s="531">
        <v>41821</v>
      </c>
      <c r="B64" s="532">
        <v>41901</v>
      </c>
      <c r="C64" s="533">
        <f>C63</f>
        <v>62.4</v>
      </c>
      <c r="D64" s="533">
        <f t="shared" si="0"/>
        <v>31.2</v>
      </c>
      <c r="E64" s="752">
        <v>16</v>
      </c>
    </row>
    <row r="65" spans="1:5" x14ac:dyDescent="0.25">
      <c r="A65" s="496">
        <v>41902</v>
      </c>
      <c r="B65" s="497">
        <v>42004</v>
      </c>
      <c r="C65" s="373">
        <f>C64</f>
        <v>62.4</v>
      </c>
      <c r="D65" s="373">
        <f t="shared" si="0"/>
        <v>31.2</v>
      </c>
      <c r="E65" s="717">
        <v>16</v>
      </c>
    </row>
    <row r="66" spans="1:5" x14ac:dyDescent="0.25">
      <c r="A66" s="496">
        <v>42005</v>
      </c>
      <c r="B66" s="497">
        <v>42082</v>
      </c>
      <c r="C66" s="373">
        <v>62.4</v>
      </c>
      <c r="D66" s="373">
        <v>31.2</v>
      </c>
      <c r="E66" s="717">
        <v>16</v>
      </c>
    </row>
    <row r="67" spans="1:5" ht="15.75" thickBot="1" x14ac:dyDescent="0.3">
      <c r="A67" s="538">
        <v>42083</v>
      </c>
      <c r="B67" s="539">
        <v>42185</v>
      </c>
      <c r="C67" s="542">
        <v>62.4</v>
      </c>
      <c r="D67" s="542">
        <v>31.2</v>
      </c>
      <c r="E67" s="718">
        <v>16</v>
      </c>
    </row>
    <row r="68" spans="1:5" x14ac:dyDescent="0.25">
      <c r="A68" s="531">
        <v>42186</v>
      </c>
      <c r="B68" s="532">
        <v>42266</v>
      </c>
      <c r="C68" s="373">
        <v>62.4</v>
      </c>
      <c r="D68" s="373">
        <v>31.2</v>
      </c>
      <c r="E68" s="717">
        <v>16</v>
      </c>
    </row>
    <row r="69" spans="1:5" x14ac:dyDescent="0.25">
      <c r="A69" s="496">
        <v>42267</v>
      </c>
      <c r="B69" s="497">
        <v>42369</v>
      </c>
      <c r="C69" s="373">
        <v>62.4</v>
      </c>
      <c r="D69" s="373">
        <v>31.2</v>
      </c>
      <c r="E69" s="717">
        <v>16</v>
      </c>
    </row>
    <row r="70" spans="1:5" x14ac:dyDescent="0.25">
      <c r="A70" s="496">
        <v>42370</v>
      </c>
      <c r="B70" s="497">
        <v>42448</v>
      </c>
      <c r="C70" s="373">
        <v>62.4</v>
      </c>
      <c r="D70" s="373">
        <v>31.2</v>
      </c>
      <c r="E70" s="717">
        <v>16</v>
      </c>
    </row>
    <row r="71" spans="1:5" ht="15.75" thickBot="1" x14ac:dyDescent="0.3">
      <c r="A71" s="496">
        <v>42449</v>
      </c>
      <c r="B71" s="497">
        <v>42551</v>
      </c>
      <c r="C71" s="542">
        <v>62.4</v>
      </c>
      <c r="D71" s="542">
        <v>31.2</v>
      </c>
      <c r="E71" s="718">
        <v>16</v>
      </c>
    </row>
    <row r="72" spans="1:5" x14ac:dyDescent="0.25">
      <c r="A72" s="531">
        <v>42552</v>
      </c>
      <c r="B72" s="532">
        <v>42632</v>
      </c>
      <c r="C72" s="1042">
        <f t="shared" ref="C72:E73" si="1">C71</f>
        <v>62.4</v>
      </c>
      <c r="D72" s="373">
        <f t="shared" si="1"/>
        <v>31.2</v>
      </c>
      <c r="E72" s="10">
        <f t="shared" si="1"/>
        <v>16</v>
      </c>
    </row>
    <row r="73" spans="1:5" x14ac:dyDescent="0.25">
      <c r="A73" s="576">
        <v>42633</v>
      </c>
      <c r="B73" s="577">
        <v>42735</v>
      </c>
      <c r="C73" s="586">
        <f t="shared" si="1"/>
        <v>62.4</v>
      </c>
      <c r="D73" s="586">
        <f t="shared" si="1"/>
        <v>31.2</v>
      </c>
      <c r="E73" s="738">
        <f t="shared" si="1"/>
        <v>16</v>
      </c>
    </row>
    <row r="74" spans="1:5" x14ac:dyDescent="0.25">
      <c r="A74" s="496">
        <v>42736</v>
      </c>
      <c r="B74" s="497">
        <v>42813</v>
      </c>
      <c r="C74" s="373">
        <f t="shared" ref="C74:E75" si="2">C73</f>
        <v>62.4</v>
      </c>
      <c r="D74" s="373">
        <f t="shared" si="2"/>
        <v>31.2</v>
      </c>
      <c r="E74" s="738">
        <f t="shared" si="2"/>
        <v>16</v>
      </c>
    </row>
    <row r="75" spans="1:5" ht="15.75" thickBot="1" x14ac:dyDescent="0.3">
      <c r="A75" s="538">
        <v>42814</v>
      </c>
      <c r="B75" s="539">
        <v>42916</v>
      </c>
      <c r="C75" s="542">
        <f t="shared" si="2"/>
        <v>62.4</v>
      </c>
      <c r="D75" s="542">
        <f t="shared" si="2"/>
        <v>31.2</v>
      </c>
      <c r="E75" s="718">
        <f t="shared" si="2"/>
        <v>16</v>
      </c>
    </row>
    <row r="76" spans="1:5" x14ac:dyDescent="0.25">
      <c r="A76" s="531">
        <v>42917</v>
      </c>
      <c r="B76" s="532">
        <v>42997</v>
      </c>
      <c r="C76" s="533">
        <f t="shared" ref="C76:C91" si="3">C75</f>
        <v>62.4</v>
      </c>
      <c r="D76" s="533">
        <f t="shared" ref="D76:D91" si="4">D75</f>
        <v>31.2</v>
      </c>
      <c r="E76" s="752">
        <f t="shared" ref="E76:E91" si="5">E75</f>
        <v>16</v>
      </c>
    </row>
    <row r="77" spans="1:5" x14ac:dyDescent="0.25">
      <c r="A77" s="165">
        <v>42998</v>
      </c>
      <c r="B77" s="166">
        <v>43100</v>
      </c>
      <c r="C77" s="107">
        <f t="shared" si="3"/>
        <v>62.4</v>
      </c>
      <c r="D77" s="107">
        <f t="shared" si="4"/>
        <v>31.2</v>
      </c>
      <c r="E77" s="749">
        <f t="shared" si="5"/>
        <v>16</v>
      </c>
    </row>
    <row r="78" spans="1:5" x14ac:dyDescent="0.25">
      <c r="A78" s="165">
        <v>43101</v>
      </c>
      <c r="B78" s="166">
        <v>43178</v>
      </c>
      <c r="C78" s="107">
        <f t="shared" si="3"/>
        <v>62.4</v>
      </c>
      <c r="D78" s="107">
        <f t="shared" si="4"/>
        <v>31.2</v>
      </c>
      <c r="E78" s="749">
        <f t="shared" si="5"/>
        <v>16</v>
      </c>
    </row>
    <row r="79" spans="1:5" ht="15.75" thickBot="1" x14ac:dyDescent="0.3">
      <c r="A79" s="167">
        <v>43179</v>
      </c>
      <c r="B79" s="168">
        <v>43281</v>
      </c>
      <c r="C79" s="111">
        <f t="shared" si="3"/>
        <v>62.4</v>
      </c>
      <c r="D79" s="111">
        <f t="shared" si="4"/>
        <v>31.2</v>
      </c>
      <c r="E79" s="750">
        <f t="shared" si="5"/>
        <v>16</v>
      </c>
    </row>
    <row r="80" spans="1:5" x14ac:dyDescent="0.25">
      <c r="A80" s="169">
        <v>43282</v>
      </c>
      <c r="B80" s="170">
        <v>43362</v>
      </c>
      <c r="C80" s="189">
        <f t="shared" si="3"/>
        <v>62.4</v>
      </c>
      <c r="D80" s="189">
        <f t="shared" si="4"/>
        <v>31.2</v>
      </c>
      <c r="E80" s="753">
        <f t="shared" si="5"/>
        <v>16</v>
      </c>
    </row>
    <row r="81" spans="1:5" x14ac:dyDescent="0.25">
      <c r="A81" s="165">
        <v>43363</v>
      </c>
      <c r="B81" s="166">
        <v>43465</v>
      </c>
      <c r="C81" s="107">
        <f t="shared" si="3"/>
        <v>62.4</v>
      </c>
      <c r="D81" s="107">
        <f t="shared" si="4"/>
        <v>31.2</v>
      </c>
      <c r="E81" s="749">
        <f t="shared" si="5"/>
        <v>16</v>
      </c>
    </row>
    <row r="82" spans="1:5" x14ac:dyDescent="0.25">
      <c r="A82" s="165">
        <v>43466</v>
      </c>
      <c r="B82" s="166">
        <v>43543</v>
      </c>
      <c r="C82" s="107">
        <f t="shared" si="3"/>
        <v>62.4</v>
      </c>
      <c r="D82" s="107">
        <f t="shared" si="4"/>
        <v>31.2</v>
      </c>
      <c r="E82" s="749">
        <f t="shared" si="5"/>
        <v>16</v>
      </c>
    </row>
    <row r="83" spans="1:5" ht="15.75" thickBot="1" x14ac:dyDescent="0.3">
      <c r="A83" s="167">
        <v>43544</v>
      </c>
      <c r="B83" s="168">
        <v>43646</v>
      </c>
      <c r="C83" s="111">
        <f t="shared" si="3"/>
        <v>62.4</v>
      </c>
      <c r="D83" s="111">
        <f t="shared" si="4"/>
        <v>31.2</v>
      </c>
      <c r="E83" s="750">
        <f t="shared" si="5"/>
        <v>16</v>
      </c>
    </row>
    <row r="84" spans="1:5" x14ac:dyDescent="0.25">
      <c r="A84" s="169">
        <v>43647</v>
      </c>
      <c r="B84" s="170">
        <v>43727</v>
      </c>
      <c r="C84" s="189">
        <f t="shared" si="3"/>
        <v>62.4</v>
      </c>
      <c r="D84" s="189">
        <f t="shared" si="4"/>
        <v>31.2</v>
      </c>
      <c r="E84" s="753">
        <f t="shared" si="5"/>
        <v>16</v>
      </c>
    </row>
    <row r="85" spans="1:5" x14ac:dyDescent="0.25">
      <c r="A85" s="165">
        <v>43728</v>
      </c>
      <c r="B85" s="166">
        <v>43830</v>
      </c>
      <c r="C85" s="107">
        <f t="shared" si="3"/>
        <v>62.4</v>
      </c>
      <c r="D85" s="107">
        <f t="shared" si="4"/>
        <v>31.2</v>
      </c>
      <c r="E85" s="749">
        <f t="shared" si="5"/>
        <v>16</v>
      </c>
    </row>
    <row r="86" spans="1:5" x14ac:dyDescent="0.25">
      <c r="A86" s="165">
        <v>43831</v>
      </c>
      <c r="B86" s="166">
        <v>43909</v>
      </c>
      <c r="C86" s="107">
        <f t="shared" si="3"/>
        <v>62.4</v>
      </c>
      <c r="D86" s="107">
        <f t="shared" si="4"/>
        <v>31.2</v>
      </c>
      <c r="E86" s="749">
        <f t="shared" si="5"/>
        <v>16</v>
      </c>
    </row>
    <row r="87" spans="1:5" ht="15.75" thickBot="1" x14ac:dyDescent="0.3">
      <c r="A87" s="167">
        <v>43910</v>
      </c>
      <c r="B87" s="168">
        <v>44012</v>
      </c>
      <c r="C87" s="111">
        <f t="shared" si="3"/>
        <v>62.4</v>
      </c>
      <c r="D87" s="111">
        <f t="shared" si="4"/>
        <v>31.2</v>
      </c>
      <c r="E87" s="750">
        <f t="shared" si="5"/>
        <v>16</v>
      </c>
    </row>
    <row r="88" spans="1:5" x14ac:dyDescent="0.25">
      <c r="A88" s="169">
        <v>44013</v>
      </c>
      <c r="B88" s="170">
        <v>44093</v>
      </c>
      <c r="C88" s="189">
        <f t="shared" si="3"/>
        <v>62.4</v>
      </c>
      <c r="D88" s="189">
        <f t="shared" si="4"/>
        <v>31.2</v>
      </c>
      <c r="E88" s="753">
        <f t="shared" si="5"/>
        <v>16</v>
      </c>
    </row>
    <row r="89" spans="1:5" x14ac:dyDescent="0.25">
      <c r="A89" s="165">
        <v>44094</v>
      </c>
      <c r="B89" s="166">
        <v>44196</v>
      </c>
      <c r="C89" s="107">
        <f t="shared" si="3"/>
        <v>62.4</v>
      </c>
      <c r="D89" s="107">
        <f t="shared" si="4"/>
        <v>31.2</v>
      </c>
      <c r="E89" s="749">
        <f t="shared" si="5"/>
        <v>16</v>
      </c>
    </row>
    <row r="90" spans="1:5" x14ac:dyDescent="0.25">
      <c r="A90" s="165">
        <v>44197</v>
      </c>
      <c r="B90" s="166">
        <v>44274</v>
      </c>
      <c r="C90" s="107">
        <f t="shared" si="3"/>
        <v>62.4</v>
      </c>
      <c r="D90" s="107">
        <f t="shared" si="4"/>
        <v>31.2</v>
      </c>
      <c r="E90" s="749">
        <f t="shared" si="5"/>
        <v>16</v>
      </c>
    </row>
    <row r="91" spans="1:5" ht="15.75" thickBot="1" x14ac:dyDescent="0.3">
      <c r="A91" s="167">
        <v>44275</v>
      </c>
      <c r="B91" s="168">
        <v>44377</v>
      </c>
      <c r="C91" s="111">
        <f t="shared" si="3"/>
        <v>62.4</v>
      </c>
      <c r="D91" s="111">
        <f t="shared" si="4"/>
        <v>31.2</v>
      </c>
      <c r="E91" s="750">
        <f t="shared" si="5"/>
        <v>16</v>
      </c>
    </row>
  </sheetData>
  <customSheetViews>
    <customSheetView guid="{E49C2F27-B0B9-497E-BEC0-5B59561292FE}" scale="85">
      <pane xSplit="2" ySplit="7" topLeftCell="C47" activePane="bottomRight" state="frozen"/>
      <selection pane="bottomRight" activeCell="H66" sqref="H66"/>
      <pageMargins left="0.7" right="0.7" top="0.75" bottom="0.75" header="0.3" footer="0.3"/>
    </customSheetView>
    <customSheetView guid="{A5953138-1481-4137-BEAD-32FA4FDF03E6}" scale="85">
      <pane xSplit="2" ySplit="7" topLeftCell="C47" activePane="bottomRight" state="frozen"/>
      <selection pane="bottomRight" activeCell="H66" sqref="H66"/>
      <pageMargins left="0.7" right="0.7" top="0.75" bottom="0.75" header="0.3" footer="0.3"/>
    </customSheetView>
    <customSheetView guid="{2A1F94CA-1A34-4418-88FD-EABF7586C2B2}" scale="85">
      <pane xSplit="2" ySplit="7" topLeftCell="C47" activePane="bottomRight" state="frozen"/>
      <selection pane="bottomRight" activeCell="H66" sqref="H66"/>
      <pageMargins left="0.7" right="0.7" top="0.75" bottom="0.75" header="0.3" footer="0.3"/>
    </customSheetView>
  </customSheetViews>
  <mergeCells count="7">
    <mergeCell ref="E1:E6"/>
    <mergeCell ref="D4:D6"/>
    <mergeCell ref="C1:D3"/>
    <mergeCell ref="C4:C6"/>
    <mergeCell ref="A4:A6"/>
    <mergeCell ref="B4:B6"/>
    <mergeCell ref="A1:B3"/>
  </mergeCells>
  <pageMargins left="0.7" right="0.7" top="0.75" bottom="0.75" header="0.3" footer="0.3"/>
  <pageSetup paperSize="277" orientation="portrait" r:id="rId1"/>
  <legacyDrawing r:id="rId2"/>
</worksheet>
</file>

<file path=xl/worksheets/sheet2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800-000000000000}">
  <sheetPr codeName="Sheet36">
    <tabColor rgb="FF00B0F0"/>
  </sheetPr>
  <dimension ref="A1:E28"/>
  <sheetViews>
    <sheetView topLeftCell="A4" zoomScaleNormal="100" workbookViewId="0">
      <selection activeCell="A24" sqref="A24:XFD24"/>
    </sheetView>
  </sheetViews>
  <sheetFormatPr defaultRowHeight="15" x14ac:dyDescent="0.25"/>
  <cols>
    <col min="1" max="1" width="9.7109375" style="28" bestFit="1" customWidth="1"/>
    <col min="2" max="2" width="10.7109375" style="28" bestFit="1" customWidth="1"/>
    <col min="3" max="3" width="20.28515625" style="28" bestFit="1" customWidth="1"/>
    <col min="4" max="4" width="16.7109375" style="28" customWidth="1"/>
    <col min="5" max="5" width="21.5703125" style="28" customWidth="1"/>
    <col min="6" max="16384" width="9.140625" style="28"/>
  </cols>
  <sheetData>
    <row r="1" spans="1:5" ht="15" customHeight="1" x14ac:dyDescent="0.25">
      <c r="A1" s="1164" t="s">
        <v>13</v>
      </c>
      <c r="B1" s="1165"/>
      <c r="C1" s="1268" t="s">
        <v>67</v>
      </c>
      <c r="D1" s="1270"/>
      <c r="E1" s="1251" t="s">
        <v>559</v>
      </c>
    </row>
    <row r="2" spans="1:5" x14ac:dyDescent="0.25">
      <c r="A2" s="1215"/>
      <c r="B2" s="1236"/>
      <c r="C2" s="1326"/>
      <c r="D2" s="1327"/>
      <c r="E2" s="1252"/>
    </row>
    <row r="3" spans="1:5" ht="15.75" thickBot="1" x14ac:dyDescent="0.3">
      <c r="A3" s="1215"/>
      <c r="B3" s="1236"/>
      <c r="C3" s="1271"/>
      <c r="D3" s="1273"/>
      <c r="E3" s="1252"/>
    </row>
    <row r="4" spans="1:5" ht="15" customHeight="1" x14ac:dyDescent="0.25">
      <c r="A4" s="1188" t="s">
        <v>16</v>
      </c>
      <c r="B4" s="1176" t="s">
        <v>17</v>
      </c>
      <c r="C4" s="1157" t="s">
        <v>111</v>
      </c>
      <c r="D4" s="1157" t="s">
        <v>558</v>
      </c>
      <c r="E4" s="1252"/>
    </row>
    <row r="5" spans="1:5" x14ac:dyDescent="0.25">
      <c r="A5" s="1188"/>
      <c r="B5" s="1176"/>
      <c r="C5" s="1158"/>
      <c r="D5" s="1158"/>
      <c r="E5" s="1252"/>
    </row>
    <row r="6" spans="1:5" ht="15.75" thickBot="1" x14ac:dyDescent="0.3">
      <c r="A6" s="1207"/>
      <c r="B6" s="1177"/>
      <c r="C6" s="1159"/>
      <c r="D6" s="1159"/>
      <c r="E6" s="1253"/>
    </row>
    <row r="7" spans="1:5" ht="15.75" thickBot="1" x14ac:dyDescent="0.3">
      <c r="A7" s="713" t="s">
        <v>550</v>
      </c>
      <c r="B7" s="714" t="s">
        <v>551</v>
      </c>
      <c r="C7" s="82" t="s">
        <v>427</v>
      </c>
      <c r="D7" s="681" t="s">
        <v>364</v>
      </c>
      <c r="E7" s="82" t="s">
        <v>363</v>
      </c>
    </row>
    <row r="8" spans="1:5" x14ac:dyDescent="0.25">
      <c r="A8" s="161">
        <v>36708</v>
      </c>
      <c r="B8" s="162">
        <v>37072</v>
      </c>
      <c r="C8" s="92">
        <f>AnnualAverage($A8,C$7,PenEdSupParms,PenEdSupDates,PenEdSupNames)</f>
        <v>62.4</v>
      </c>
      <c r="D8" s="92">
        <f>AnnualAverage($A8,D$7,PenEdSupParms,PenEdSupDates,PenEdSupNames)</f>
        <v>31.2</v>
      </c>
      <c r="E8" s="11">
        <f>AnnualAverage($A8,E$7,PenEdSupParms,PenEdSupDates,PenEdSupNames)</f>
        <v>16</v>
      </c>
    </row>
    <row r="9" spans="1:5" x14ac:dyDescent="0.25">
      <c r="A9" s="163">
        <v>37073</v>
      </c>
      <c r="B9" s="164">
        <v>37437</v>
      </c>
      <c r="C9" s="93">
        <f t="shared" ref="C9:E25" si="0">AnnualAverage($A9,C$7,PenEdSupParms,PenEdSupDates,PenEdSupNames)</f>
        <v>62.4</v>
      </c>
      <c r="D9" s="93">
        <f t="shared" si="0"/>
        <v>31.2</v>
      </c>
      <c r="E9" s="11">
        <f t="shared" si="0"/>
        <v>16</v>
      </c>
    </row>
    <row r="10" spans="1:5" x14ac:dyDescent="0.25">
      <c r="A10" s="163">
        <v>37438</v>
      </c>
      <c r="B10" s="164">
        <v>37802</v>
      </c>
      <c r="C10" s="93">
        <f t="shared" si="0"/>
        <v>62.4</v>
      </c>
      <c r="D10" s="93">
        <f t="shared" si="0"/>
        <v>31.2</v>
      </c>
      <c r="E10" s="11">
        <f t="shared" si="0"/>
        <v>16</v>
      </c>
    </row>
    <row r="11" spans="1:5" x14ac:dyDescent="0.25">
      <c r="A11" s="163">
        <v>37803</v>
      </c>
      <c r="B11" s="164">
        <v>38168</v>
      </c>
      <c r="C11" s="93">
        <f t="shared" si="0"/>
        <v>62.4</v>
      </c>
      <c r="D11" s="93">
        <f t="shared" si="0"/>
        <v>31.2</v>
      </c>
      <c r="E11" s="11">
        <f t="shared" si="0"/>
        <v>16</v>
      </c>
    </row>
    <row r="12" spans="1:5" x14ac:dyDescent="0.25">
      <c r="A12" s="163">
        <v>38169</v>
      </c>
      <c r="B12" s="164">
        <v>38533</v>
      </c>
      <c r="C12" s="93">
        <f t="shared" si="0"/>
        <v>62.4</v>
      </c>
      <c r="D12" s="93">
        <f t="shared" si="0"/>
        <v>31.2</v>
      </c>
      <c r="E12" s="11">
        <f t="shared" si="0"/>
        <v>16</v>
      </c>
    </row>
    <row r="13" spans="1:5" x14ac:dyDescent="0.25">
      <c r="A13" s="163">
        <v>38534</v>
      </c>
      <c r="B13" s="164">
        <v>38898</v>
      </c>
      <c r="C13" s="93">
        <f t="shared" si="0"/>
        <v>62.4</v>
      </c>
      <c r="D13" s="93">
        <f t="shared" si="0"/>
        <v>31.2</v>
      </c>
      <c r="E13" s="11">
        <f t="shared" si="0"/>
        <v>16</v>
      </c>
    </row>
    <row r="14" spans="1:5" x14ac:dyDescent="0.25">
      <c r="A14" s="163">
        <v>38899</v>
      </c>
      <c r="B14" s="164">
        <v>39263</v>
      </c>
      <c r="C14" s="93">
        <f t="shared" si="0"/>
        <v>62.4</v>
      </c>
      <c r="D14" s="93">
        <f t="shared" si="0"/>
        <v>31.2</v>
      </c>
      <c r="E14" s="11">
        <f t="shared" si="0"/>
        <v>16</v>
      </c>
    </row>
    <row r="15" spans="1:5" x14ac:dyDescent="0.25">
      <c r="A15" s="163">
        <v>39264</v>
      </c>
      <c r="B15" s="164">
        <v>39629</v>
      </c>
      <c r="C15" s="93">
        <f t="shared" si="0"/>
        <v>62.4</v>
      </c>
      <c r="D15" s="93">
        <f t="shared" si="0"/>
        <v>31.2</v>
      </c>
      <c r="E15" s="11">
        <f t="shared" si="0"/>
        <v>16</v>
      </c>
    </row>
    <row r="16" spans="1:5" x14ac:dyDescent="0.25">
      <c r="A16" s="163">
        <v>39630</v>
      </c>
      <c r="B16" s="164">
        <v>39994</v>
      </c>
      <c r="C16" s="93">
        <f t="shared" si="0"/>
        <v>62.4</v>
      </c>
      <c r="D16" s="93">
        <f t="shared" si="0"/>
        <v>31.2</v>
      </c>
      <c r="E16" s="11">
        <f t="shared" si="0"/>
        <v>16</v>
      </c>
    </row>
    <row r="17" spans="1:5" x14ac:dyDescent="0.25">
      <c r="A17" s="163">
        <v>39995</v>
      </c>
      <c r="B17" s="164">
        <v>40359</v>
      </c>
      <c r="C17" s="93">
        <f t="shared" si="0"/>
        <v>62.4</v>
      </c>
      <c r="D17" s="93">
        <f t="shared" si="0"/>
        <v>31.2</v>
      </c>
      <c r="E17" s="11">
        <f t="shared" si="0"/>
        <v>16</v>
      </c>
    </row>
    <row r="18" spans="1:5" x14ac:dyDescent="0.25">
      <c r="A18" s="163">
        <v>40360</v>
      </c>
      <c r="B18" s="164">
        <v>40724</v>
      </c>
      <c r="C18" s="93">
        <f t="shared" si="0"/>
        <v>62.4</v>
      </c>
      <c r="D18" s="93">
        <f t="shared" si="0"/>
        <v>31.2</v>
      </c>
      <c r="E18" s="11">
        <f t="shared" si="0"/>
        <v>16</v>
      </c>
    </row>
    <row r="19" spans="1:5" x14ac:dyDescent="0.25">
      <c r="A19" s="163">
        <v>40725</v>
      </c>
      <c r="B19" s="164">
        <v>41090</v>
      </c>
      <c r="C19" s="93">
        <f t="shared" si="0"/>
        <v>62.4</v>
      </c>
      <c r="D19" s="93">
        <f t="shared" si="0"/>
        <v>31.2</v>
      </c>
      <c r="E19" s="11">
        <f t="shared" si="0"/>
        <v>16</v>
      </c>
    </row>
    <row r="20" spans="1:5" s="5" customFormat="1" x14ac:dyDescent="0.25">
      <c r="A20" s="496">
        <v>41091</v>
      </c>
      <c r="B20" s="497">
        <v>41455</v>
      </c>
      <c r="C20" s="373">
        <f t="shared" si="0"/>
        <v>62.4</v>
      </c>
      <c r="D20" s="373">
        <f t="shared" si="0"/>
        <v>31.2</v>
      </c>
      <c r="E20" s="11">
        <f t="shared" si="0"/>
        <v>16</v>
      </c>
    </row>
    <row r="21" spans="1:5" x14ac:dyDescent="0.25">
      <c r="A21" s="496">
        <v>41456</v>
      </c>
      <c r="B21" s="497">
        <v>41820</v>
      </c>
      <c r="C21" s="373">
        <f t="shared" si="0"/>
        <v>62.4</v>
      </c>
      <c r="D21" s="373">
        <f t="shared" si="0"/>
        <v>31.2</v>
      </c>
      <c r="E21" s="406">
        <f t="shared" si="0"/>
        <v>16</v>
      </c>
    </row>
    <row r="22" spans="1:5" x14ac:dyDescent="0.25">
      <c r="A22" s="496">
        <v>41821</v>
      </c>
      <c r="B22" s="497">
        <v>42185</v>
      </c>
      <c r="C22" s="373">
        <f t="shared" si="0"/>
        <v>62.4</v>
      </c>
      <c r="D22" s="373">
        <f t="shared" si="0"/>
        <v>31.2</v>
      </c>
      <c r="E22" s="406">
        <f t="shared" si="0"/>
        <v>16</v>
      </c>
    </row>
    <row r="23" spans="1:5" x14ac:dyDescent="0.25">
      <c r="A23" s="496">
        <v>42186</v>
      </c>
      <c r="B23" s="497">
        <v>42551</v>
      </c>
      <c r="C23" s="373">
        <f t="array" ref="C23">AnnualAverage($A23,C$7,PenEdSupParms,PenEdSupDates,PenEdSupNames)</f>
        <v>62.4</v>
      </c>
      <c r="D23" s="373">
        <f t="shared" si="0"/>
        <v>31.2</v>
      </c>
      <c r="E23" s="406">
        <v>16</v>
      </c>
    </row>
    <row r="24" spans="1:5" s="5" customFormat="1" x14ac:dyDescent="0.25">
      <c r="A24" s="496">
        <v>42552</v>
      </c>
      <c r="B24" s="497">
        <v>42916</v>
      </c>
      <c r="C24" s="373">
        <f t="array" ref="C24">AnnualAverage($A24,C$7,PenEdSupParms,PenEdSupDates,PenEdSupNames)</f>
        <v>62.4</v>
      </c>
      <c r="D24" s="373">
        <f t="shared" si="0"/>
        <v>31.2</v>
      </c>
      <c r="E24" s="406">
        <f>E23</f>
        <v>16</v>
      </c>
    </row>
    <row r="25" spans="1:5" x14ac:dyDescent="0.25">
      <c r="A25" s="165">
        <v>42917</v>
      </c>
      <c r="B25" s="166">
        <v>43281</v>
      </c>
      <c r="C25" s="107">
        <f t="array" ref="C25">AnnualAverage($A25,C$7,PenEdSupParms,PenEdSupDates,PenEdSupNames)</f>
        <v>62.4</v>
      </c>
      <c r="D25" s="107">
        <f t="shared" si="0"/>
        <v>31.2</v>
      </c>
      <c r="E25" s="31">
        <f>E24</f>
        <v>16</v>
      </c>
    </row>
    <row r="26" spans="1:5" x14ac:dyDescent="0.25">
      <c r="A26" s="165">
        <v>43282</v>
      </c>
      <c r="B26" s="166">
        <v>43646</v>
      </c>
      <c r="C26" s="107">
        <f t="array" ref="C26">AnnualAverage($A26,C$7,PenEdSupParms,PenEdSupDates,PenEdSupNames)</f>
        <v>62.4</v>
      </c>
      <c r="D26" s="107">
        <f>AnnualAverage($A26,D$7,PenEdSupParms,PenEdSupDates,PenEdSupNames)</f>
        <v>31.2</v>
      </c>
      <c r="E26" s="31">
        <f>E25</f>
        <v>16</v>
      </c>
    </row>
    <row r="27" spans="1:5" x14ac:dyDescent="0.25">
      <c r="A27" s="165">
        <v>43647</v>
      </c>
      <c r="B27" s="166">
        <v>44012</v>
      </c>
      <c r="C27" s="107">
        <f t="array" ref="C27">AnnualAverage($A27,C$7,PenEdSupParms,PenEdSupDates,PenEdSupNames)</f>
        <v>62.4</v>
      </c>
      <c r="D27" s="107">
        <f>AnnualAverage($A27,D$7,PenEdSupParms,PenEdSupDates,PenEdSupNames)</f>
        <v>31.2</v>
      </c>
      <c r="E27" s="31">
        <f>E26</f>
        <v>16</v>
      </c>
    </row>
    <row r="28" spans="1:5" x14ac:dyDescent="0.25">
      <c r="A28" s="165">
        <v>44013</v>
      </c>
      <c r="B28" s="166">
        <v>44377</v>
      </c>
      <c r="C28" s="107">
        <f t="array" ref="C28">AnnualAverage($A28,C$7,PenEdSupParms,PenEdSupDates,PenEdSupNames)</f>
        <v>62.4</v>
      </c>
      <c r="D28" s="107">
        <f>AnnualAverage($A28,D$7,PenEdSupParms,PenEdSupDates,PenEdSupNames)</f>
        <v>31.2</v>
      </c>
      <c r="E28" s="31">
        <f>E27</f>
        <v>16</v>
      </c>
    </row>
  </sheetData>
  <customSheetViews>
    <customSheetView guid="{E49C2F27-B0B9-497E-BEC0-5B59561292FE}">
      <selection activeCell="D23" sqref="D23"/>
      <pageMargins left="0.7" right="0.7" top="0.75" bottom="0.75" header="0.3" footer="0.3"/>
    </customSheetView>
    <customSheetView guid="{A5953138-1481-4137-BEAD-32FA4FDF03E6}">
      <selection activeCell="D23" sqref="D23"/>
      <pageMargins left="0.7" right="0.7" top="0.75" bottom="0.75" header="0.3" footer="0.3"/>
    </customSheetView>
    <customSheetView guid="{2A1F94CA-1A34-4418-88FD-EABF7586C2B2}">
      <selection activeCell="D23" sqref="D23"/>
      <pageMargins left="0.7" right="0.7" top="0.75" bottom="0.75" header="0.3" footer="0.3"/>
    </customSheetView>
  </customSheetViews>
  <mergeCells count="7">
    <mergeCell ref="E1:E6"/>
    <mergeCell ref="D4:D6"/>
    <mergeCell ref="C4:C6"/>
    <mergeCell ref="A4:A6"/>
    <mergeCell ref="B4:B6"/>
    <mergeCell ref="A1:B3"/>
    <mergeCell ref="C1:D3"/>
  </mergeCells>
  <pageMargins left="0.7" right="0.7" top="0.75" bottom="0.75" header="0.3" footer="0.3"/>
  <legacyDrawing r:id="rId1"/>
</worksheet>
</file>

<file path=xl/worksheets/sheet2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900-000000000000}">
  <sheetPr codeName="Sheet64">
    <tabColor rgb="FF00B0F0"/>
  </sheetPr>
  <dimension ref="A1:G91"/>
  <sheetViews>
    <sheetView topLeftCell="A2" workbookViewId="0">
      <pane xSplit="2" ySplit="6" topLeftCell="C68" activePane="bottomRight" state="frozen"/>
      <selection activeCell="A2" sqref="A2"/>
      <selection pane="topRight" activeCell="C2" sqref="C2"/>
      <selection pane="bottomLeft" activeCell="A8" sqref="A8"/>
      <selection pane="bottomRight" activeCell="E12" sqref="E12"/>
    </sheetView>
  </sheetViews>
  <sheetFormatPr defaultRowHeight="15" x14ac:dyDescent="0.25"/>
  <cols>
    <col min="1" max="2" width="10.7109375" style="28" bestFit="1" customWidth="1"/>
    <col min="3" max="3" width="17.42578125" style="28" bestFit="1" customWidth="1"/>
    <col min="4" max="4" width="20" style="28" bestFit="1" customWidth="1"/>
    <col min="5" max="6" width="9.140625" style="28"/>
    <col min="7" max="7" width="10.140625" style="28" bestFit="1" customWidth="1"/>
    <col min="8" max="16384" width="9.140625" style="28"/>
  </cols>
  <sheetData>
    <row r="1" spans="1:4" s="502" customFormat="1" ht="15.75" hidden="1" thickBot="1" x14ac:dyDescent="0.3"/>
    <row r="2" spans="1:4" ht="15" customHeight="1" x14ac:dyDescent="0.25">
      <c r="A2" s="1164" t="s">
        <v>13</v>
      </c>
      <c r="B2" s="1165"/>
      <c r="C2" s="1164" t="s">
        <v>143</v>
      </c>
      <c r="D2" s="1165"/>
    </row>
    <row r="3" spans="1:4" x14ac:dyDescent="0.25">
      <c r="A3" s="1215"/>
      <c r="B3" s="1236"/>
      <c r="C3" s="1215"/>
      <c r="D3" s="1236"/>
    </row>
    <row r="4" spans="1:4" ht="15.75" thickBot="1" x14ac:dyDescent="0.3">
      <c r="A4" s="1188" t="s">
        <v>16</v>
      </c>
      <c r="B4" s="1176" t="s">
        <v>17</v>
      </c>
      <c r="C4" s="1166"/>
      <c r="D4" s="1167"/>
    </row>
    <row r="5" spans="1:4" ht="15" customHeight="1" x14ac:dyDescent="0.25">
      <c r="A5" s="1188"/>
      <c r="B5" s="1176"/>
      <c r="C5" s="1250" t="s">
        <v>144</v>
      </c>
      <c r="D5" s="1187" t="s">
        <v>145</v>
      </c>
    </row>
    <row r="6" spans="1:4" ht="30.75" customHeight="1" thickBot="1" x14ac:dyDescent="0.3">
      <c r="A6" s="1207"/>
      <c r="B6" s="1177"/>
      <c r="C6" s="1207"/>
      <c r="D6" s="1177"/>
    </row>
    <row r="7" spans="1:4" ht="15.75" thickBot="1" x14ac:dyDescent="0.3">
      <c r="A7" s="713" t="s">
        <v>550</v>
      </c>
      <c r="B7" s="714" t="s">
        <v>551</v>
      </c>
      <c r="C7" s="113" t="s">
        <v>649</v>
      </c>
      <c r="D7" s="84" t="s">
        <v>650</v>
      </c>
    </row>
    <row r="8" spans="1:4" x14ac:dyDescent="0.25">
      <c r="A8" s="161">
        <v>36708</v>
      </c>
      <c r="B8" s="162">
        <v>36788</v>
      </c>
      <c r="C8" s="18">
        <v>128.55000000000001</v>
      </c>
      <c r="D8" s="60">
        <v>7044.2</v>
      </c>
    </row>
    <row r="9" spans="1:4" x14ac:dyDescent="0.25">
      <c r="A9" s="163">
        <v>36789</v>
      </c>
      <c r="B9" s="164">
        <v>36891</v>
      </c>
      <c r="C9" s="17">
        <v>128.55000000000001</v>
      </c>
      <c r="D9" s="35">
        <v>7044.2</v>
      </c>
    </row>
    <row r="10" spans="1:4" x14ac:dyDescent="0.25">
      <c r="A10" s="163">
        <v>36892</v>
      </c>
      <c r="B10" s="164">
        <v>36969</v>
      </c>
      <c r="C10" s="17">
        <v>132.65</v>
      </c>
      <c r="D10" s="35">
        <v>7269.6</v>
      </c>
    </row>
    <row r="11" spans="1:4" ht="15.75" thickBot="1" x14ac:dyDescent="0.3">
      <c r="A11" s="180">
        <v>36970</v>
      </c>
      <c r="B11" s="181">
        <v>37072</v>
      </c>
      <c r="C11" s="65">
        <v>132.65</v>
      </c>
      <c r="D11" s="69">
        <v>7269.6</v>
      </c>
    </row>
    <row r="12" spans="1:4" x14ac:dyDescent="0.25">
      <c r="A12" s="161">
        <v>37073</v>
      </c>
      <c r="B12" s="162">
        <v>37153</v>
      </c>
      <c r="C12" s="18">
        <v>132.65</v>
      </c>
      <c r="D12" s="60">
        <v>7269.6</v>
      </c>
    </row>
    <row r="13" spans="1:4" x14ac:dyDescent="0.25">
      <c r="A13" s="163">
        <v>37154</v>
      </c>
      <c r="B13" s="164">
        <v>37256</v>
      </c>
      <c r="C13" s="17">
        <v>132.65</v>
      </c>
      <c r="D13" s="35">
        <v>7269.6</v>
      </c>
    </row>
    <row r="14" spans="1:4" x14ac:dyDescent="0.25">
      <c r="A14" s="163">
        <v>37257</v>
      </c>
      <c r="B14" s="164">
        <v>37334</v>
      </c>
      <c r="C14" s="17">
        <v>140.6</v>
      </c>
      <c r="D14" s="35">
        <v>7706.2</v>
      </c>
    </row>
    <row r="15" spans="1:4" ht="15.75" thickBot="1" x14ac:dyDescent="0.3">
      <c r="A15" s="180">
        <v>37335</v>
      </c>
      <c r="B15" s="181">
        <v>37437</v>
      </c>
      <c r="C15" s="65">
        <v>140.6</v>
      </c>
      <c r="D15" s="69">
        <v>7706.2</v>
      </c>
    </row>
    <row r="16" spans="1:4" x14ac:dyDescent="0.25">
      <c r="A16" s="161">
        <v>37438</v>
      </c>
      <c r="B16" s="162">
        <v>37518</v>
      </c>
      <c r="C16" s="18">
        <v>140.6</v>
      </c>
      <c r="D16" s="60">
        <v>7706.2</v>
      </c>
    </row>
    <row r="17" spans="1:4" x14ac:dyDescent="0.25">
      <c r="A17" s="163">
        <v>37519</v>
      </c>
      <c r="B17" s="164">
        <v>37621</v>
      </c>
      <c r="C17" s="17">
        <v>140.6</v>
      </c>
      <c r="D17" s="35">
        <v>7706.2</v>
      </c>
    </row>
    <row r="18" spans="1:4" x14ac:dyDescent="0.25">
      <c r="A18" s="163">
        <v>37622</v>
      </c>
      <c r="B18" s="164">
        <v>37699</v>
      </c>
      <c r="C18" s="17">
        <v>144.55000000000001</v>
      </c>
      <c r="D18" s="35">
        <v>7921.9500000000007</v>
      </c>
    </row>
    <row r="19" spans="1:4" ht="15.75" thickBot="1" x14ac:dyDescent="0.3">
      <c r="A19" s="180">
        <v>37700</v>
      </c>
      <c r="B19" s="181">
        <v>37802</v>
      </c>
      <c r="C19" s="65">
        <v>144.55000000000001</v>
      </c>
      <c r="D19" s="69">
        <v>7921.9500000000007</v>
      </c>
    </row>
    <row r="20" spans="1:4" x14ac:dyDescent="0.25">
      <c r="A20" s="161">
        <v>37803</v>
      </c>
      <c r="B20" s="162">
        <v>37883</v>
      </c>
      <c r="C20" s="18">
        <v>144.55000000000001</v>
      </c>
      <c r="D20" s="60">
        <v>7921.9500000000007</v>
      </c>
    </row>
    <row r="21" spans="1:4" x14ac:dyDescent="0.25">
      <c r="A21" s="163">
        <v>37884</v>
      </c>
      <c r="B21" s="164">
        <v>37986</v>
      </c>
      <c r="C21" s="17">
        <v>144.55000000000001</v>
      </c>
      <c r="D21" s="35">
        <v>7921.9500000000007</v>
      </c>
    </row>
    <row r="22" spans="1:4" x14ac:dyDescent="0.25">
      <c r="A22" s="163">
        <v>37987</v>
      </c>
      <c r="B22" s="164">
        <v>38065</v>
      </c>
      <c r="C22" s="17">
        <v>148.45000000000002</v>
      </c>
      <c r="D22" s="35">
        <v>8135.85</v>
      </c>
    </row>
    <row r="23" spans="1:4" ht="15.75" thickBot="1" x14ac:dyDescent="0.3">
      <c r="A23" s="180">
        <v>38066</v>
      </c>
      <c r="B23" s="181">
        <v>38168</v>
      </c>
      <c r="C23" s="65">
        <v>148.45000000000002</v>
      </c>
      <c r="D23" s="69">
        <v>8135.85</v>
      </c>
    </row>
    <row r="24" spans="1:4" x14ac:dyDescent="0.25">
      <c r="A24" s="161">
        <v>38169</v>
      </c>
      <c r="B24" s="162">
        <v>38249</v>
      </c>
      <c r="C24" s="18">
        <v>148.45000000000002</v>
      </c>
      <c r="D24" s="60">
        <v>8135.85</v>
      </c>
    </row>
    <row r="25" spans="1:4" x14ac:dyDescent="0.25">
      <c r="A25" s="163">
        <v>38250</v>
      </c>
      <c r="B25" s="164">
        <v>38352</v>
      </c>
      <c r="C25" s="17">
        <v>148.45000000000002</v>
      </c>
      <c r="D25" s="35">
        <v>8135.85</v>
      </c>
    </row>
    <row r="26" spans="1:4" x14ac:dyDescent="0.25">
      <c r="A26" s="163">
        <v>38353</v>
      </c>
      <c r="B26" s="164">
        <v>38430</v>
      </c>
      <c r="C26" s="17">
        <v>152.15</v>
      </c>
      <c r="D26" s="35">
        <v>8339.25</v>
      </c>
    </row>
    <row r="27" spans="1:4" ht="15.75" thickBot="1" x14ac:dyDescent="0.3">
      <c r="A27" s="180">
        <v>38431</v>
      </c>
      <c r="B27" s="181">
        <v>38533</v>
      </c>
      <c r="C27" s="65">
        <v>152.15</v>
      </c>
      <c r="D27" s="69">
        <v>8339.25</v>
      </c>
    </row>
    <row r="28" spans="1:4" x14ac:dyDescent="0.25">
      <c r="A28" s="161">
        <v>38534</v>
      </c>
      <c r="B28" s="162">
        <v>38614</v>
      </c>
      <c r="C28" s="18">
        <v>152.15</v>
      </c>
      <c r="D28" s="60">
        <v>8339.25</v>
      </c>
    </row>
    <row r="29" spans="1:4" x14ac:dyDescent="0.25">
      <c r="A29" s="163">
        <v>38615</v>
      </c>
      <c r="B29" s="164">
        <v>38717</v>
      </c>
      <c r="C29" s="17">
        <v>152.15</v>
      </c>
      <c r="D29" s="35">
        <v>8339.25</v>
      </c>
    </row>
    <row r="30" spans="1:4" x14ac:dyDescent="0.25">
      <c r="A30" s="163">
        <v>38718</v>
      </c>
      <c r="B30" s="164">
        <v>38795</v>
      </c>
      <c r="C30" s="17">
        <v>155.95000000000002</v>
      </c>
      <c r="D30" s="35">
        <v>8547.75</v>
      </c>
    </row>
    <row r="31" spans="1:4" ht="15.75" thickBot="1" x14ac:dyDescent="0.3">
      <c r="A31" s="180">
        <v>38796</v>
      </c>
      <c r="B31" s="181">
        <v>38898</v>
      </c>
      <c r="C31" s="65">
        <v>155.95000000000002</v>
      </c>
      <c r="D31" s="69">
        <v>8547.75</v>
      </c>
    </row>
    <row r="32" spans="1:4" x14ac:dyDescent="0.25">
      <c r="A32" s="161">
        <v>38899</v>
      </c>
      <c r="B32" s="162">
        <v>38979</v>
      </c>
      <c r="C32" s="18">
        <v>155.95000000000002</v>
      </c>
      <c r="D32" s="60">
        <v>8547.75</v>
      </c>
    </row>
    <row r="33" spans="1:4" x14ac:dyDescent="0.25">
      <c r="A33" s="163">
        <v>38980</v>
      </c>
      <c r="B33" s="164">
        <v>39082</v>
      </c>
      <c r="C33" s="17">
        <v>155.95000000000002</v>
      </c>
      <c r="D33" s="35">
        <v>8547.75</v>
      </c>
    </row>
    <row r="34" spans="1:4" x14ac:dyDescent="0.25">
      <c r="A34" s="163">
        <v>39083</v>
      </c>
      <c r="B34" s="164">
        <v>39160</v>
      </c>
      <c r="C34" s="17">
        <v>162.20000000000002</v>
      </c>
      <c r="D34" s="35">
        <v>8889.65</v>
      </c>
    </row>
    <row r="35" spans="1:4" ht="15.75" thickBot="1" x14ac:dyDescent="0.3">
      <c r="A35" s="180">
        <v>39161</v>
      </c>
      <c r="B35" s="181">
        <v>39263</v>
      </c>
      <c r="C35" s="65">
        <v>162.20000000000002</v>
      </c>
      <c r="D35" s="69">
        <v>8889.65</v>
      </c>
    </row>
    <row r="36" spans="1:4" x14ac:dyDescent="0.25">
      <c r="A36" s="161">
        <v>39264</v>
      </c>
      <c r="B36" s="162">
        <v>39344</v>
      </c>
      <c r="C36" s="18">
        <v>162.20000000000002</v>
      </c>
      <c r="D36" s="60">
        <v>8889.65</v>
      </c>
    </row>
    <row r="37" spans="1:4" x14ac:dyDescent="0.25">
      <c r="A37" s="163">
        <v>39345</v>
      </c>
      <c r="B37" s="164">
        <v>39447</v>
      </c>
      <c r="C37" s="17">
        <v>162.20000000000002</v>
      </c>
      <c r="D37" s="35">
        <v>8889.65</v>
      </c>
    </row>
    <row r="38" spans="1:4" x14ac:dyDescent="0.25">
      <c r="A38" s="163">
        <v>39448</v>
      </c>
      <c r="B38" s="164">
        <v>39526</v>
      </c>
      <c r="C38" s="17">
        <v>165.60000000000002</v>
      </c>
      <c r="D38" s="35">
        <v>9076.35</v>
      </c>
    </row>
    <row r="39" spans="1:4" ht="15.75" thickBot="1" x14ac:dyDescent="0.3">
      <c r="A39" s="180">
        <v>39527</v>
      </c>
      <c r="B39" s="181">
        <v>39629</v>
      </c>
      <c r="C39" s="65">
        <v>165.60000000000002</v>
      </c>
      <c r="D39" s="69">
        <v>9076.35</v>
      </c>
    </row>
    <row r="40" spans="1:4" x14ac:dyDescent="0.25">
      <c r="A40" s="161">
        <v>39630</v>
      </c>
      <c r="B40" s="162">
        <v>39710</v>
      </c>
      <c r="C40" s="18">
        <v>165.60000000000002</v>
      </c>
      <c r="D40" s="60">
        <v>9076.35</v>
      </c>
    </row>
    <row r="41" spans="1:4" x14ac:dyDescent="0.25">
      <c r="A41" s="163">
        <v>39711</v>
      </c>
      <c r="B41" s="164">
        <v>39813</v>
      </c>
      <c r="C41" s="17">
        <v>165.60000000000002</v>
      </c>
      <c r="D41" s="35">
        <v>9076.35</v>
      </c>
    </row>
    <row r="42" spans="1:4" x14ac:dyDescent="0.25">
      <c r="A42" s="163">
        <v>39814</v>
      </c>
      <c r="B42" s="164">
        <v>39891</v>
      </c>
      <c r="C42" s="17">
        <v>173.05</v>
      </c>
      <c r="D42" s="35">
        <v>9484.8000000000011</v>
      </c>
    </row>
    <row r="43" spans="1:4" ht="15.75" thickBot="1" x14ac:dyDescent="0.3">
      <c r="A43" s="180">
        <v>39892</v>
      </c>
      <c r="B43" s="181">
        <v>39994</v>
      </c>
      <c r="C43" s="65">
        <v>173.05</v>
      </c>
      <c r="D43" s="69">
        <v>9484.8000000000011</v>
      </c>
    </row>
    <row r="44" spans="1:4" x14ac:dyDescent="0.25">
      <c r="A44" s="161">
        <v>39995</v>
      </c>
      <c r="B44" s="162">
        <v>40075</v>
      </c>
      <c r="C44" s="18">
        <v>173.05</v>
      </c>
      <c r="D44" s="60">
        <v>9484.8000000000011</v>
      </c>
    </row>
    <row r="45" spans="1:4" x14ac:dyDescent="0.25">
      <c r="A45" s="163">
        <v>40076</v>
      </c>
      <c r="B45" s="164">
        <v>40178</v>
      </c>
      <c r="C45" s="17">
        <v>173.05</v>
      </c>
      <c r="D45" s="35">
        <v>9484.8000000000011</v>
      </c>
    </row>
    <row r="46" spans="1:4" x14ac:dyDescent="0.25">
      <c r="A46" s="163">
        <v>40179</v>
      </c>
      <c r="B46" s="164">
        <v>40256</v>
      </c>
      <c r="C46" s="17">
        <v>175.65</v>
      </c>
      <c r="D46" s="35">
        <v>9627.0500000000011</v>
      </c>
    </row>
    <row r="47" spans="1:4" ht="15.75" thickBot="1" x14ac:dyDescent="0.3">
      <c r="A47" s="180">
        <v>40257</v>
      </c>
      <c r="B47" s="181">
        <v>40359</v>
      </c>
      <c r="C47" s="65">
        <v>175.65</v>
      </c>
      <c r="D47" s="69">
        <v>9627.0500000000011</v>
      </c>
    </row>
    <row r="48" spans="1:4" x14ac:dyDescent="0.25">
      <c r="A48" s="161">
        <v>40360</v>
      </c>
      <c r="B48" s="162">
        <v>40440</v>
      </c>
      <c r="C48" s="18">
        <v>175.65</v>
      </c>
      <c r="D48" s="60">
        <v>9627.0500000000011</v>
      </c>
    </row>
    <row r="49" spans="1:4" x14ac:dyDescent="0.25">
      <c r="A49" s="163">
        <v>40441</v>
      </c>
      <c r="B49" s="164">
        <v>40543</v>
      </c>
      <c r="C49" s="17">
        <v>175.65</v>
      </c>
      <c r="D49" s="35">
        <v>9627.0500000000011</v>
      </c>
    </row>
    <row r="50" spans="1:4" x14ac:dyDescent="0.25">
      <c r="A50" s="163">
        <v>40544</v>
      </c>
      <c r="B50" s="164">
        <v>40621</v>
      </c>
      <c r="C50" s="17">
        <v>181.10000000000002</v>
      </c>
      <c r="D50" s="35">
        <v>9925.5</v>
      </c>
    </row>
    <row r="51" spans="1:4" ht="15.75" thickBot="1" x14ac:dyDescent="0.3">
      <c r="A51" s="180">
        <v>40622</v>
      </c>
      <c r="B51" s="181">
        <v>40724</v>
      </c>
      <c r="C51" s="65">
        <v>181.10000000000002</v>
      </c>
      <c r="D51" s="69">
        <v>9925.5</v>
      </c>
    </row>
    <row r="52" spans="1:4" x14ac:dyDescent="0.25">
      <c r="A52" s="161">
        <v>40725</v>
      </c>
      <c r="B52" s="162">
        <v>40805</v>
      </c>
      <c r="C52" s="18">
        <v>181.10000000000002</v>
      </c>
      <c r="D52" s="60">
        <v>9925.5</v>
      </c>
    </row>
    <row r="53" spans="1:4" x14ac:dyDescent="0.25">
      <c r="A53" s="163">
        <v>40806</v>
      </c>
      <c r="B53" s="164">
        <v>40908</v>
      </c>
      <c r="C53" s="17">
        <v>181.10000000000002</v>
      </c>
      <c r="D53" s="35">
        <v>9925.5</v>
      </c>
    </row>
    <row r="54" spans="1:4" s="5" customFormat="1" x14ac:dyDescent="0.25">
      <c r="A54" s="496">
        <v>40909</v>
      </c>
      <c r="B54" s="497">
        <v>40987</v>
      </c>
      <c r="C54" s="375">
        <v>187.60000000000002</v>
      </c>
      <c r="D54" s="374">
        <v>10282.800000000001</v>
      </c>
    </row>
    <row r="55" spans="1:4" s="5" customFormat="1" ht="15.75" thickBot="1" x14ac:dyDescent="0.3">
      <c r="A55" s="538">
        <v>40988</v>
      </c>
      <c r="B55" s="539">
        <v>41090</v>
      </c>
      <c r="C55" s="540">
        <v>187.60000000000002</v>
      </c>
      <c r="D55" s="541">
        <v>10282.800000000001</v>
      </c>
    </row>
    <row r="56" spans="1:4" s="5" customFormat="1" x14ac:dyDescent="0.25">
      <c r="A56" s="531">
        <v>41091</v>
      </c>
      <c r="B56" s="532">
        <v>41171</v>
      </c>
      <c r="C56" s="534">
        <v>187.60000000000002</v>
      </c>
      <c r="D56" s="535">
        <v>10282.800000000001</v>
      </c>
    </row>
    <row r="57" spans="1:4" s="5" customFormat="1" x14ac:dyDescent="0.25">
      <c r="A57" s="496">
        <v>41172</v>
      </c>
      <c r="B57" s="497">
        <v>41274</v>
      </c>
      <c r="C57" s="375">
        <v>187.60000000000002</v>
      </c>
      <c r="D57" s="374">
        <v>10282.800000000001</v>
      </c>
    </row>
    <row r="58" spans="1:4" s="5" customFormat="1" x14ac:dyDescent="0.25">
      <c r="A58" s="496">
        <v>41275</v>
      </c>
      <c r="B58" s="497">
        <v>41352</v>
      </c>
      <c r="C58" s="375">
        <v>189.85000000000002</v>
      </c>
      <c r="D58" s="374">
        <v>10406.200000000001</v>
      </c>
    </row>
    <row r="59" spans="1:4" s="5" customFormat="1" ht="15.75" thickBot="1" x14ac:dyDescent="0.3">
      <c r="A59" s="538">
        <v>41353</v>
      </c>
      <c r="B59" s="539">
        <v>41455</v>
      </c>
      <c r="C59" s="540">
        <v>189.85000000000002</v>
      </c>
      <c r="D59" s="541">
        <v>10406.200000000001</v>
      </c>
    </row>
    <row r="60" spans="1:4" s="5" customFormat="1" x14ac:dyDescent="0.25">
      <c r="A60" s="531">
        <v>41456</v>
      </c>
      <c r="B60" s="532">
        <v>41536</v>
      </c>
      <c r="C60" s="534">
        <v>189.85000000000002</v>
      </c>
      <c r="D60" s="535">
        <v>10406.200000000001</v>
      </c>
    </row>
    <row r="61" spans="1:4" s="5" customFormat="1" x14ac:dyDescent="0.25">
      <c r="A61" s="496">
        <v>41537</v>
      </c>
      <c r="B61" s="497">
        <v>41639</v>
      </c>
      <c r="C61" s="375">
        <v>189.85000000000002</v>
      </c>
      <c r="D61" s="374">
        <v>10406.200000000001</v>
      </c>
    </row>
    <row r="62" spans="1:4" x14ac:dyDescent="0.25">
      <c r="A62" s="496">
        <v>41640</v>
      </c>
      <c r="B62" s="497">
        <v>41717</v>
      </c>
      <c r="C62" s="375">
        <v>194.4</v>
      </c>
      <c r="D62" s="374">
        <v>10655.95</v>
      </c>
    </row>
    <row r="63" spans="1:4" ht="15.75" thickBot="1" x14ac:dyDescent="0.3">
      <c r="A63" s="538">
        <v>41718</v>
      </c>
      <c r="B63" s="539">
        <v>41820</v>
      </c>
      <c r="C63" s="540">
        <v>194.4</v>
      </c>
      <c r="D63" s="541">
        <v>10655.95</v>
      </c>
    </row>
    <row r="64" spans="1:4" x14ac:dyDescent="0.25">
      <c r="A64" s="531">
        <v>41821</v>
      </c>
      <c r="B64" s="532">
        <v>41901</v>
      </c>
      <c r="C64" s="534">
        <v>194.4</v>
      </c>
      <c r="D64" s="535">
        <v>10655.95</v>
      </c>
    </row>
    <row r="65" spans="1:7" x14ac:dyDescent="0.25">
      <c r="A65" s="496">
        <v>41902</v>
      </c>
      <c r="B65" s="497">
        <v>42004</v>
      </c>
      <c r="C65" s="375">
        <v>194.4</v>
      </c>
      <c r="D65" s="374">
        <v>10655.95</v>
      </c>
    </row>
    <row r="66" spans="1:7" x14ac:dyDescent="0.25">
      <c r="A66" s="496">
        <v>42005</v>
      </c>
      <c r="B66" s="497">
        <v>42082</v>
      </c>
      <c r="C66" s="375">
        <v>200.25</v>
      </c>
      <c r="D66" s="374">
        <v>10975.650000000001</v>
      </c>
    </row>
    <row r="67" spans="1:7" ht="15.75" thickBot="1" x14ac:dyDescent="0.3">
      <c r="A67" s="856">
        <v>42083</v>
      </c>
      <c r="B67" s="857">
        <v>42185</v>
      </c>
      <c r="C67" s="540">
        <v>200.25</v>
      </c>
      <c r="D67" s="541">
        <v>10975.650000000001</v>
      </c>
    </row>
    <row r="68" spans="1:7" x14ac:dyDescent="0.25">
      <c r="A68" s="531">
        <v>42186</v>
      </c>
      <c r="B68" s="532">
        <v>42266</v>
      </c>
      <c r="C68" s="534">
        <v>200.25</v>
      </c>
      <c r="D68" s="535">
        <v>10975.650000000001</v>
      </c>
      <c r="G68" s="12"/>
    </row>
    <row r="69" spans="1:7" x14ac:dyDescent="0.25">
      <c r="A69" s="496">
        <v>42267</v>
      </c>
      <c r="B69" s="497">
        <v>42369</v>
      </c>
      <c r="C69" s="375">
        <v>200.25</v>
      </c>
      <c r="D69" s="374">
        <v>10975.650000000001</v>
      </c>
    </row>
    <row r="70" spans="1:7" x14ac:dyDescent="0.25">
      <c r="A70" s="496">
        <v>42370</v>
      </c>
      <c r="B70" s="497">
        <v>42448</v>
      </c>
      <c r="C70" s="375">
        <v>203.25</v>
      </c>
      <c r="D70" s="374">
        <v>11140.300000000001</v>
      </c>
    </row>
    <row r="71" spans="1:7" ht="15.75" thickBot="1" x14ac:dyDescent="0.3">
      <c r="A71" s="538">
        <v>42449</v>
      </c>
      <c r="B71" s="539">
        <v>42551</v>
      </c>
      <c r="C71" s="540">
        <v>203.25</v>
      </c>
      <c r="D71" s="541">
        <v>11140.300000000001</v>
      </c>
      <c r="G71" s="12"/>
    </row>
    <row r="72" spans="1:7" x14ac:dyDescent="0.25">
      <c r="A72" s="531">
        <v>42552</v>
      </c>
      <c r="B72" s="532">
        <v>42632</v>
      </c>
      <c r="C72" s="534">
        <v>203.25</v>
      </c>
      <c r="D72" s="535">
        <v>11140.300000000001</v>
      </c>
    </row>
    <row r="73" spans="1:7" x14ac:dyDescent="0.25">
      <c r="A73" s="496">
        <v>42633</v>
      </c>
      <c r="B73" s="497">
        <v>42735</v>
      </c>
      <c r="C73" s="375">
        <f>C72</f>
        <v>203.25</v>
      </c>
      <c r="D73" s="374">
        <f>D72</f>
        <v>11140.300000000001</v>
      </c>
    </row>
    <row r="74" spans="1:7" x14ac:dyDescent="0.25">
      <c r="A74" s="496">
        <v>42736</v>
      </c>
      <c r="B74" s="497">
        <v>42813</v>
      </c>
      <c r="C74" s="375">
        <f>IndexAmt(C73,"peCpiFp",$A72,0.05,12)</f>
        <v>205.3</v>
      </c>
      <c r="D74" s="374">
        <f>IndexAmt(D73,"peCpiFp",$A72,0.05,12)</f>
        <v>11251.7</v>
      </c>
    </row>
    <row r="75" spans="1:7" ht="15.75" thickBot="1" x14ac:dyDescent="0.3">
      <c r="A75" s="538">
        <v>42814</v>
      </c>
      <c r="B75" s="539">
        <v>42916</v>
      </c>
      <c r="C75" s="540">
        <f t="shared" ref="C75:D77" si="0">C74</f>
        <v>205.3</v>
      </c>
      <c r="D75" s="541">
        <f t="shared" si="0"/>
        <v>11251.7</v>
      </c>
    </row>
    <row r="76" spans="1:7" x14ac:dyDescent="0.25">
      <c r="A76" s="531">
        <v>42917</v>
      </c>
      <c r="B76" s="532">
        <v>42997</v>
      </c>
      <c r="C76" s="534">
        <f t="shared" si="0"/>
        <v>205.3</v>
      </c>
      <c r="D76" s="535">
        <f t="shared" si="0"/>
        <v>11251.7</v>
      </c>
    </row>
    <row r="77" spans="1:7" x14ac:dyDescent="0.25">
      <c r="A77" s="165">
        <v>42998</v>
      </c>
      <c r="B77" s="166">
        <v>43100</v>
      </c>
      <c r="C77" s="33">
        <f t="shared" si="0"/>
        <v>205.3</v>
      </c>
      <c r="D77" s="75">
        <f t="shared" si="0"/>
        <v>11251.7</v>
      </c>
    </row>
    <row r="78" spans="1:7" x14ac:dyDescent="0.25">
      <c r="A78" s="165">
        <v>43101</v>
      </c>
      <c r="B78" s="166">
        <v>43178</v>
      </c>
      <c r="C78" s="33">
        <f>IndexAmt(C77,"peCpiFp",$A76,0.05,12)</f>
        <v>209.20000000000002</v>
      </c>
      <c r="D78" s="75">
        <f>IndexAmt(D77,"peCpiFp",$A76,0.05,12)</f>
        <v>11465.5</v>
      </c>
    </row>
    <row r="79" spans="1:7" ht="15.75" thickBot="1" x14ac:dyDescent="0.3">
      <c r="A79" s="167">
        <v>43179</v>
      </c>
      <c r="B79" s="168">
        <v>43281</v>
      </c>
      <c r="C79" s="77">
        <f t="shared" ref="C79:D81" si="1">C78</f>
        <v>209.20000000000002</v>
      </c>
      <c r="D79" s="79">
        <f t="shared" si="1"/>
        <v>11465.5</v>
      </c>
    </row>
    <row r="80" spans="1:7" x14ac:dyDescent="0.25">
      <c r="A80" s="169">
        <v>43282</v>
      </c>
      <c r="B80" s="170">
        <v>43362</v>
      </c>
      <c r="C80" s="188">
        <f t="shared" si="1"/>
        <v>209.20000000000002</v>
      </c>
      <c r="D80" s="172">
        <f t="shared" si="1"/>
        <v>11465.5</v>
      </c>
    </row>
    <row r="81" spans="1:4" x14ac:dyDescent="0.25">
      <c r="A81" s="165">
        <v>43363</v>
      </c>
      <c r="B81" s="166">
        <v>43465</v>
      </c>
      <c r="C81" s="33">
        <f t="shared" si="1"/>
        <v>209.20000000000002</v>
      </c>
      <c r="D81" s="75">
        <f t="shared" si="1"/>
        <v>11465.5</v>
      </c>
    </row>
    <row r="82" spans="1:4" x14ac:dyDescent="0.25">
      <c r="A82" s="165">
        <v>43466</v>
      </c>
      <c r="B82" s="166">
        <v>43543</v>
      </c>
      <c r="C82" s="33">
        <f>IndexAmt(C81,"peCpiFp",$A80,0.05,12)</f>
        <v>213.4</v>
      </c>
      <c r="D82" s="75">
        <f>IndexAmt(D81,"peCpiFp",$A80,0.05,12)</f>
        <v>11694.800000000001</v>
      </c>
    </row>
    <row r="83" spans="1:4" ht="15.75" thickBot="1" x14ac:dyDescent="0.3">
      <c r="A83" s="167">
        <v>43544</v>
      </c>
      <c r="B83" s="168">
        <v>43646</v>
      </c>
      <c r="C83" s="77">
        <f t="shared" ref="C83:D85" si="2">C82</f>
        <v>213.4</v>
      </c>
      <c r="D83" s="79">
        <f t="shared" si="2"/>
        <v>11694.800000000001</v>
      </c>
    </row>
    <row r="84" spans="1:4" x14ac:dyDescent="0.25">
      <c r="A84" s="169">
        <v>43647</v>
      </c>
      <c r="B84" s="170">
        <v>43727</v>
      </c>
      <c r="C84" s="188">
        <f t="shared" si="2"/>
        <v>213.4</v>
      </c>
      <c r="D84" s="172">
        <f t="shared" si="2"/>
        <v>11694.800000000001</v>
      </c>
    </row>
    <row r="85" spans="1:4" x14ac:dyDescent="0.25">
      <c r="A85" s="165">
        <v>43728</v>
      </c>
      <c r="B85" s="166">
        <v>43830</v>
      </c>
      <c r="C85" s="33">
        <f t="shared" si="2"/>
        <v>213.4</v>
      </c>
      <c r="D85" s="75">
        <f t="shared" si="2"/>
        <v>11694.800000000001</v>
      </c>
    </row>
    <row r="86" spans="1:4" x14ac:dyDescent="0.25">
      <c r="A86" s="165">
        <v>43831</v>
      </c>
      <c r="B86" s="166">
        <v>43909</v>
      </c>
      <c r="C86" s="33">
        <f>IndexAmt(C85,"peCpiFp",$A84,0.05,12)</f>
        <v>218.10000000000002</v>
      </c>
      <c r="D86" s="75">
        <f>IndexAmt(D85,"peCpiFp",$A84,0.05,12)</f>
        <v>11952.1</v>
      </c>
    </row>
    <row r="87" spans="1:4" ht="15.75" thickBot="1" x14ac:dyDescent="0.3">
      <c r="A87" s="167">
        <v>43910</v>
      </c>
      <c r="B87" s="168">
        <v>44012</v>
      </c>
      <c r="C87" s="77">
        <f t="shared" ref="C87:D89" si="3">C86</f>
        <v>218.10000000000002</v>
      </c>
      <c r="D87" s="79">
        <f t="shared" si="3"/>
        <v>11952.1</v>
      </c>
    </row>
    <row r="88" spans="1:4" x14ac:dyDescent="0.25">
      <c r="A88" s="169">
        <v>44013</v>
      </c>
      <c r="B88" s="170">
        <v>44093</v>
      </c>
      <c r="C88" s="188">
        <f t="shared" si="3"/>
        <v>218.10000000000002</v>
      </c>
      <c r="D88" s="172">
        <f t="shared" si="3"/>
        <v>11952.1</v>
      </c>
    </row>
    <row r="89" spans="1:4" x14ac:dyDescent="0.25">
      <c r="A89" s="165">
        <v>44094</v>
      </c>
      <c r="B89" s="166">
        <v>44196</v>
      </c>
      <c r="C89" s="33">
        <f t="shared" si="3"/>
        <v>218.10000000000002</v>
      </c>
      <c r="D89" s="75">
        <f t="shared" si="3"/>
        <v>11952.1</v>
      </c>
    </row>
    <row r="90" spans="1:4" x14ac:dyDescent="0.25">
      <c r="A90" s="165">
        <v>44197</v>
      </c>
      <c r="B90" s="166">
        <v>44274</v>
      </c>
      <c r="C90" s="33">
        <f>IndexAmt(C89,"peCpiFp",$A88,0.05,12)</f>
        <v>223.55</v>
      </c>
      <c r="D90" s="75">
        <f>IndexAmt(D89,"peCpiFp",$A88,0.05,12)</f>
        <v>12250.900000000001</v>
      </c>
    </row>
    <row r="91" spans="1:4" ht="15.75" thickBot="1" x14ac:dyDescent="0.3">
      <c r="A91" s="167">
        <v>44275</v>
      </c>
      <c r="B91" s="168">
        <v>44377</v>
      </c>
      <c r="C91" s="77">
        <f>C90</f>
        <v>223.55</v>
      </c>
      <c r="D91" s="79">
        <f>D90</f>
        <v>12250.900000000001</v>
      </c>
    </row>
  </sheetData>
  <customSheetViews>
    <customSheetView guid="{E49C2F27-B0B9-497E-BEC0-5B59561292FE}" hiddenRows="1" topLeftCell="A2">
      <pane xSplit="2" ySplit="6" topLeftCell="C59" activePane="bottomRight" state="frozen"/>
      <selection pane="bottomRight" activeCell="D71" sqref="D68:D71"/>
      <pageMargins left="0.7" right="0.7" top="0.75" bottom="0.75" header="0.3" footer="0.3"/>
      <pageSetup paperSize="9" orientation="portrait" r:id="rId1"/>
    </customSheetView>
    <customSheetView guid="{A5953138-1481-4137-BEAD-32FA4FDF03E6}" topLeftCell="A2">
      <pane xSplit="2" ySplit="6" topLeftCell="C59" activePane="bottomRight" state="frozen"/>
      <selection pane="bottomRight" activeCell="D71" sqref="D68:D71"/>
      <pageMargins left="0.7" right="0.7" top="0.75" bottom="0.75" header="0.3" footer="0.3"/>
      <pageSetup paperSize="9" orientation="portrait" r:id="rId2"/>
    </customSheetView>
    <customSheetView guid="{2A1F94CA-1A34-4418-88FD-EABF7586C2B2}" hiddenRows="1" topLeftCell="A2">
      <pane xSplit="2" ySplit="6" topLeftCell="C59" activePane="bottomRight" state="frozen"/>
      <selection pane="bottomRight" activeCell="D71" sqref="D68:D71"/>
      <pageMargins left="0.7" right="0.7" top="0.75" bottom="0.75" header="0.3" footer="0.3"/>
      <pageSetup paperSize="9" orientation="portrait" r:id="rId3"/>
    </customSheetView>
  </customSheetViews>
  <mergeCells count="6">
    <mergeCell ref="A2:B3"/>
    <mergeCell ref="A4:A6"/>
    <mergeCell ref="B4:B6"/>
    <mergeCell ref="C2:D4"/>
    <mergeCell ref="C5:C6"/>
    <mergeCell ref="D5:D6"/>
  </mergeCells>
  <pageMargins left="0.7" right="0.7" top="0.75" bottom="0.75" header="0.3" footer="0.3"/>
  <pageSetup paperSize="9" orientation="portrait" r:id="rId4"/>
  <legacyDrawing r:id="rId5"/>
</worksheet>
</file>

<file path=xl/worksheets/sheet2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A00-000000000000}">
  <sheetPr codeName="Sheet65">
    <tabColor rgb="FF00B0F0"/>
  </sheetPr>
  <dimension ref="A1:D28"/>
  <sheetViews>
    <sheetView topLeftCell="A2" workbookViewId="0">
      <selection activeCell="A24" sqref="A24:XFD24"/>
    </sheetView>
  </sheetViews>
  <sheetFormatPr defaultRowHeight="15" x14ac:dyDescent="0.25"/>
  <cols>
    <col min="1" max="2" width="10.7109375" style="28" bestFit="1" customWidth="1"/>
    <col min="3" max="3" width="17.42578125" style="28" bestFit="1" customWidth="1"/>
    <col min="4" max="4" width="20" style="28" bestFit="1" customWidth="1"/>
    <col min="5" max="16384" width="9.140625" style="28"/>
  </cols>
  <sheetData>
    <row r="1" spans="1:4" s="502" customFormat="1" ht="15.75" hidden="1" thickBot="1" x14ac:dyDescent="0.3"/>
    <row r="2" spans="1:4" ht="15" customHeight="1" x14ac:dyDescent="0.25">
      <c r="A2" s="1164" t="s">
        <v>13</v>
      </c>
      <c r="B2" s="1165"/>
      <c r="C2" s="1164" t="s">
        <v>143</v>
      </c>
      <c r="D2" s="1165"/>
    </row>
    <row r="3" spans="1:4" x14ac:dyDescent="0.25">
      <c r="A3" s="1215"/>
      <c r="B3" s="1236"/>
      <c r="C3" s="1215"/>
      <c r="D3" s="1236"/>
    </row>
    <row r="4" spans="1:4" ht="15.75" thickBot="1" x14ac:dyDescent="0.3">
      <c r="A4" s="1188" t="s">
        <v>16</v>
      </c>
      <c r="B4" s="1176" t="s">
        <v>17</v>
      </c>
      <c r="C4" s="1166"/>
      <c r="D4" s="1167"/>
    </row>
    <row r="5" spans="1:4" ht="15" customHeight="1" x14ac:dyDescent="0.25">
      <c r="A5" s="1188"/>
      <c r="B5" s="1176"/>
      <c r="C5" s="1250" t="s">
        <v>144</v>
      </c>
      <c r="D5" s="1187" t="s">
        <v>145</v>
      </c>
    </row>
    <row r="6" spans="1:4" ht="30.75" customHeight="1" thickBot="1" x14ac:dyDescent="0.3">
      <c r="A6" s="1207"/>
      <c r="B6" s="1177"/>
      <c r="C6" s="1207"/>
      <c r="D6" s="1177"/>
    </row>
    <row r="7" spans="1:4" ht="15.75" thickBot="1" x14ac:dyDescent="0.3">
      <c r="A7" s="713" t="s">
        <v>550</v>
      </c>
      <c r="B7" s="714" t="s">
        <v>551</v>
      </c>
      <c r="C7" s="204" t="s">
        <v>649</v>
      </c>
      <c r="D7" s="205" t="s">
        <v>650</v>
      </c>
    </row>
    <row r="8" spans="1:4" x14ac:dyDescent="0.25">
      <c r="A8" s="161">
        <v>36708</v>
      </c>
      <c r="B8" s="162">
        <v>37072</v>
      </c>
      <c r="C8" s="18">
        <f t="shared" ref="C8:D27" si="0">AnnualAverage($A8,C$7,SSDepIncLimitParms,SSDepIncLimitDates,SSDepIncLimitNames)</f>
        <v>130.60000000000002</v>
      </c>
      <c r="D8" s="60">
        <f t="shared" si="0"/>
        <v>7156.9</v>
      </c>
    </row>
    <row r="9" spans="1:4" x14ac:dyDescent="0.25">
      <c r="A9" s="163">
        <v>37073</v>
      </c>
      <c r="B9" s="164">
        <v>37437</v>
      </c>
      <c r="C9" s="17">
        <f t="shared" si="0"/>
        <v>136.625</v>
      </c>
      <c r="D9" s="35">
        <f t="shared" si="0"/>
        <v>7487.9</v>
      </c>
    </row>
    <row r="10" spans="1:4" x14ac:dyDescent="0.25">
      <c r="A10" s="163">
        <v>37438</v>
      </c>
      <c r="B10" s="164">
        <v>37802</v>
      </c>
      <c r="C10" s="17">
        <f t="shared" si="0"/>
        <v>142.57499999999999</v>
      </c>
      <c r="D10" s="35">
        <f t="shared" si="0"/>
        <v>7814.0749999999998</v>
      </c>
    </row>
    <row r="11" spans="1:4" x14ac:dyDescent="0.25">
      <c r="A11" s="163">
        <v>37803</v>
      </c>
      <c r="B11" s="164">
        <v>38168</v>
      </c>
      <c r="C11" s="17">
        <f t="shared" si="0"/>
        <v>146.5</v>
      </c>
      <c r="D11" s="35">
        <f t="shared" si="0"/>
        <v>8028.9</v>
      </c>
    </row>
    <row r="12" spans="1:4" x14ac:dyDescent="0.25">
      <c r="A12" s="163">
        <v>38169</v>
      </c>
      <c r="B12" s="164">
        <v>38533</v>
      </c>
      <c r="C12" s="17">
        <f t="shared" si="0"/>
        <v>150.23148148148147</v>
      </c>
      <c r="D12" s="35">
        <f t="shared" si="0"/>
        <v>8233.7833333333328</v>
      </c>
    </row>
    <row r="13" spans="1:4" x14ac:dyDescent="0.25">
      <c r="A13" s="163">
        <v>38534</v>
      </c>
      <c r="B13" s="164">
        <v>38898</v>
      </c>
      <c r="C13" s="17">
        <f t="shared" si="0"/>
        <v>154.05000000000001</v>
      </c>
      <c r="D13" s="35">
        <f t="shared" si="0"/>
        <v>8443.5</v>
      </c>
    </row>
    <row r="14" spans="1:4" x14ac:dyDescent="0.25">
      <c r="A14" s="163">
        <v>38899</v>
      </c>
      <c r="B14" s="164">
        <v>39263</v>
      </c>
      <c r="C14" s="17">
        <f t="shared" si="0"/>
        <v>159.07499999999999</v>
      </c>
      <c r="D14" s="35">
        <f t="shared" si="0"/>
        <v>8718.7000000000007</v>
      </c>
    </row>
    <row r="15" spans="1:4" x14ac:dyDescent="0.25">
      <c r="A15" s="163">
        <v>39264</v>
      </c>
      <c r="B15" s="164">
        <v>39629</v>
      </c>
      <c r="C15" s="17">
        <f t="shared" si="0"/>
        <v>163.89999999999998</v>
      </c>
      <c r="D15" s="35">
        <f t="shared" si="0"/>
        <v>8983</v>
      </c>
    </row>
    <row r="16" spans="1:4" x14ac:dyDescent="0.25">
      <c r="A16" s="163">
        <v>39630</v>
      </c>
      <c r="B16" s="164">
        <v>39994</v>
      </c>
      <c r="C16" s="17">
        <f t="shared" si="0"/>
        <v>169.32499999999999</v>
      </c>
      <c r="D16" s="35">
        <f t="shared" si="0"/>
        <v>9280.5750000000007</v>
      </c>
    </row>
    <row r="17" spans="1:4" x14ac:dyDescent="0.25">
      <c r="A17" s="163">
        <v>39995</v>
      </c>
      <c r="B17" s="164">
        <v>40359</v>
      </c>
      <c r="C17" s="17">
        <f t="shared" si="0"/>
        <v>174.35000000000002</v>
      </c>
      <c r="D17" s="35">
        <f t="shared" si="0"/>
        <v>9555.9249999999993</v>
      </c>
    </row>
    <row r="18" spans="1:4" x14ac:dyDescent="0.25">
      <c r="A18" s="163">
        <v>40360</v>
      </c>
      <c r="B18" s="164">
        <v>40724</v>
      </c>
      <c r="C18" s="17">
        <f t="shared" si="0"/>
        <v>178.375</v>
      </c>
      <c r="D18" s="35">
        <f t="shared" si="0"/>
        <v>9776.2749999999996</v>
      </c>
    </row>
    <row r="19" spans="1:4" x14ac:dyDescent="0.25">
      <c r="A19" s="163">
        <v>40725</v>
      </c>
      <c r="B19" s="164">
        <v>41090</v>
      </c>
      <c r="C19" s="17">
        <f t="shared" si="0"/>
        <v>184.35</v>
      </c>
      <c r="D19" s="35">
        <f t="shared" si="0"/>
        <v>10104.15</v>
      </c>
    </row>
    <row r="20" spans="1:4" s="5" customFormat="1" x14ac:dyDescent="0.25">
      <c r="A20" s="496">
        <v>41091</v>
      </c>
      <c r="B20" s="497">
        <v>41455</v>
      </c>
      <c r="C20" s="375">
        <f t="shared" si="0"/>
        <v>188.72499999999999</v>
      </c>
      <c r="D20" s="374">
        <f t="shared" si="0"/>
        <v>10344.5</v>
      </c>
    </row>
    <row r="21" spans="1:4" x14ac:dyDescent="0.25">
      <c r="A21" s="496">
        <v>41456</v>
      </c>
      <c r="B21" s="497">
        <v>41820</v>
      </c>
      <c r="C21" s="375">
        <f t="shared" si="0"/>
        <v>192.125</v>
      </c>
      <c r="D21" s="374">
        <f t="shared" si="0"/>
        <v>10531.075000000001</v>
      </c>
    </row>
    <row r="22" spans="1:4" x14ac:dyDescent="0.25">
      <c r="A22" s="496">
        <v>41821</v>
      </c>
      <c r="B22" s="497">
        <v>42185</v>
      </c>
      <c r="C22" s="375">
        <f t="shared" si="0"/>
        <v>197.32499999999999</v>
      </c>
      <c r="D22" s="374">
        <f t="shared" si="0"/>
        <v>10815.8</v>
      </c>
    </row>
    <row r="23" spans="1:4" x14ac:dyDescent="0.25">
      <c r="A23" s="496">
        <v>42186</v>
      </c>
      <c r="B23" s="497">
        <v>42551</v>
      </c>
      <c r="C23" s="375">
        <f t="shared" si="0"/>
        <v>201.69444444444446</v>
      </c>
      <c r="D23" s="374">
        <f t="shared" si="0"/>
        <v>11054.925925925925</v>
      </c>
    </row>
    <row r="24" spans="1:4" s="5" customFormat="1" x14ac:dyDescent="0.25">
      <c r="A24" s="496">
        <v>42552</v>
      </c>
      <c r="B24" s="497">
        <v>42916</v>
      </c>
      <c r="C24" s="375">
        <f t="shared" si="0"/>
        <v>204.27500000000001</v>
      </c>
      <c r="D24" s="374">
        <f t="shared" si="0"/>
        <v>11196</v>
      </c>
    </row>
    <row r="25" spans="1:4" x14ac:dyDescent="0.25">
      <c r="A25" s="165">
        <v>42917</v>
      </c>
      <c r="B25" s="166">
        <v>43281</v>
      </c>
      <c r="C25" s="33">
        <f t="shared" si="0"/>
        <v>207.25</v>
      </c>
      <c r="D25" s="75">
        <f t="shared" si="0"/>
        <v>11358.6</v>
      </c>
    </row>
    <row r="26" spans="1:4" x14ac:dyDescent="0.25">
      <c r="A26" s="165">
        <v>43282</v>
      </c>
      <c r="B26" s="166">
        <v>43646</v>
      </c>
      <c r="C26" s="33">
        <f t="shared" si="0"/>
        <v>211.3</v>
      </c>
      <c r="D26" s="75">
        <f t="shared" si="0"/>
        <v>11580.15</v>
      </c>
    </row>
    <row r="27" spans="1:4" x14ac:dyDescent="0.25">
      <c r="A27" s="165">
        <v>43647</v>
      </c>
      <c r="B27" s="166">
        <v>44012</v>
      </c>
      <c r="C27" s="33">
        <f t="shared" si="0"/>
        <v>215.75</v>
      </c>
      <c r="D27" s="75">
        <f t="shared" si="0"/>
        <v>11823.45</v>
      </c>
    </row>
    <row r="28" spans="1:4" x14ac:dyDescent="0.25">
      <c r="A28" s="165">
        <v>44013</v>
      </c>
      <c r="B28" s="166">
        <v>44377</v>
      </c>
      <c r="C28" s="33">
        <f>AnnualAverage($A28,C$7,SSDepIncLimitParms,SSDepIncLimitDates,SSDepIncLimitNames)</f>
        <v>220.82499999999999</v>
      </c>
      <c r="D28" s="75">
        <f>AnnualAverage($A28,D$7,SSDepIncLimitParms,SSDepIncLimitDates,SSDepIncLimitNames)</f>
        <v>12101.5</v>
      </c>
    </row>
  </sheetData>
  <customSheetViews>
    <customSheetView guid="{E49C2F27-B0B9-497E-BEC0-5B59561292FE}" hiddenRows="1" topLeftCell="A2">
      <selection activeCell="D23" sqref="D23"/>
      <pageMargins left="0.7" right="0.7" top="0.75" bottom="0.75" header="0.3" footer="0.3"/>
    </customSheetView>
    <customSheetView guid="{A5953138-1481-4137-BEAD-32FA4FDF03E6}" topLeftCell="A2">
      <selection activeCell="D23" sqref="D23"/>
      <pageMargins left="0.7" right="0.7" top="0.75" bottom="0.75" header="0.3" footer="0.3"/>
    </customSheetView>
    <customSheetView guid="{2A1F94CA-1A34-4418-88FD-EABF7586C2B2}" hiddenRows="1" topLeftCell="A2">
      <selection activeCell="D23" sqref="D23"/>
      <pageMargins left="0.7" right="0.7" top="0.75" bottom="0.75" header="0.3" footer="0.3"/>
    </customSheetView>
  </customSheetViews>
  <mergeCells count="6">
    <mergeCell ref="A2:B3"/>
    <mergeCell ref="C2:D4"/>
    <mergeCell ref="A4:A6"/>
    <mergeCell ref="B4:B6"/>
    <mergeCell ref="C5:C6"/>
    <mergeCell ref="D5:D6"/>
  </mergeCells>
  <pageMargins left="0.7" right="0.7" top="0.75" bottom="0.75" header="0.3" footer="0.3"/>
  <legacyDrawing r:id="rId1"/>
</worksheet>
</file>

<file path=xl/worksheets/sheet2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B00-000000000000}">
  <sheetPr codeName="Sheet58">
    <tabColor rgb="FF00B0F0"/>
  </sheetPr>
  <dimension ref="A1:D91"/>
  <sheetViews>
    <sheetView topLeftCell="A2" workbookViewId="0">
      <pane xSplit="2" ySplit="6" topLeftCell="C8" activePane="bottomRight" state="frozen"/>
      <selection activeCell="A2" sqref="A2"/>
      <selection pane="topRight" activeCell="C2" sqref="C2"/>
      <selection pane="bottomLeft" activeCell="A8" sqref="A8"/>
      <selection pane="bottomRight" activeCell="A92" sqref="A92:XFD411"/>
    </sheetView>
  </sheetViews>
  <sheetFormatPr defaultRowHeight="15" x14ac:dyDescent="0.25"/>
  <cols>
    <col min="1" max="2" width="11.42578125" style="28" customWidth="1"/>
    <col min="3" max="3" width="14.140625" style="28" customWidth="1"/>
    <col min="4" max="4" width="14.42578125" style="28" customWidth="1"/>
    <col min="5" max="16384" width="9.140625" style="28"/>
  </cols>
  <sheetData>
    <row r="1" spans="1:4" s="502" customFormat="1" ht="15.75" hidden="1" thickBot="1" x14ac:dyDescent="0.3"/>
    <row r="2" spans="1:4" ht="15" customHeight="1" x14ac:dyDescent="0.25">
      <c r="A2" s="1164" t="s">
        <v>13</v>
      </c>
      <c r="B2" s="1165"/>
      <c r="C2" s="1268" t="s">
        <v>134</v>
      </c>
      <c r="D2" s="1270"/>
    </row>
    <row r="3" spans="1:4" x14ac:dyDescent="0.25">
      <c r="A3" s="1215"/>
      <c r="B3" s="1236"/>
      <c r="C3" s="1326"/>
      <c r="D3" s="1327"/>
    </row>
    <row r="4" spans="1:4" ht="15.75" thickBot="1" x14ac:dyDescent="0.3">
      <c r="A4" s="1188" t="s">
        <v>16</v>
      </c>
      <c r="B4" s="1176" t="s">
        <v>17</v>
      </c>
      <c r="C4" s="1271"/>
      <c r="D4" s="1273"/>
    </row>
    <row r="5" spans="1:4" x14ac:dyDescent="0.25">
      <c r="A5" s="1188"/>
      <c r="B5" s="1176"/>
      <c r="C5" s="1250" t="s">
        <v>12</v>
      </c>
      <c r="D5" s="1187" t="s">
        <v>21</v>
      </c>
    </row>
    <row r="6" spans="1:4" ht="24.75" customHeight="1" thickBot="1" x14ac:dyDescent="0.3">
      <c r="A6" s="1207"/>
      <c r="B6" s="1177"/>
      <c r="C6" s="1207"/>
      <c r="D6" s="1177"/>
    </row>
    <row r="7" spans="1:4" ht="15.75" thickBot="1" x14ac:dyDescent="0.3">
      <c r="A7" s="713" t="s">
        <v>550</v>
      </c>
      <c r="B7" s="714" t="s">
        <v>551</v>
      </c>
      <c r="C7" s="113" t="s">
        <v>428</v>
      </c>
      <c r="D7" s="84" t="s">
        <v>429</v>
      </c>
    </row>
    <row r="8" spans="1:4" x14ac:dyDescent="0.25">
      <c r="A8" s="161">
        <v>36708</v>
      </c>
      <c r="B8" s="162">
        <v>36788</v>
      </c>
      <c r="C8" s="18">
        <v>5.6</v>
      </c>
      <c r="D8" s="60">
        <v>2.8</v>
      </c>
    </row>
    <row r="9" spans="1:4" x14ac:dyDescent="0.25">
      <c r="A9" s="163">
        <v>36789</v>
      </c>
      <c r="B9" s="164">
        <v>36891</v>
      </c>
      <c r="C9" s="17">
        <v>5.6</v>
      </c>
      <c r="D9" s="35">
        <v>2.8</v>
      </c>
    </row>
    <row r="10" spans="1:4" x14ac:dyDescent="0.25">
      <c r="A10" s="163">
        <v>36892</v>
      </c>
      <c r="B10" s="164">
        <v>36969</v>
      </c>
      <c r="C10" s="17">
        <v>5.8</v>
      </c>
      <c r="D10" s="35">
        <v>2.9</v>
      </c>
    </row>
    <row r="11" spans="1:4" ht="15.75" thickBot="1" x14ac:dyDescent="0.3">
      <c r="A11" s="180">
        <v>36970</v>
      </c>
      <c r="B11" s="181">
        <v>37072</v>
      </c>
      <c r="C11" s="65">
        <v>5.8</v>
      </c>
      <c r="D11" s="69">
        <v>2.9</v>
      </c>
    </row>
    <row r="12" spans="1:4" x14ac:dyDescent="0.25">
      <c r="A12" s="161">
        <v>37073</v>
      </c>
      <c r="B12" s="162">
        <v>37153</v>
      </c>
      <c r="C12" s="18">
        <v>5.8</v>
      </c>
      <c r="D12" s="60">
        <v>2.9</v>
      </c>
    </row>
    <row r="13" spans="1:4" x14ac:dyDescent="0.25">
      <c r="A13" s="163">
        <v>37154</v>
      </c>
      <c r="B13" s="164">
        <v>37256</v>
      </c>
      <c r="C13" s="17">
        <v>5.8</v>
      </c>
      <c r="D13" s="35">
        <v>2.9</v>
      </c>
    </row>
    <row r="14" spans="1:4" x14ac:dyDescent="0.25">
      <c r="A14" s="163">
        <v>37257</v>
      </c>
      <c r="B14" s="164">
        <v>37334</v>
      </c>
      <c r="C14" s="17">
        <v>5.8000000000000007</v>
      </c>
      <c r="D14" s="35">
        <v>2.9000000000000004</v>
      </c>
    </row>
    <row r="15" spans="1:4" ht="15.75" thickBot="1" x14ac:dyDescent="0.3">
      <c r="A15" s="180">
        <v>37335</v>
      </c>
      <c r="B15" s="181">
        <v>37437</v>
      </c>
      <c r="C15" s="65">
        <v>5.8000000000000007</v>
      </c>
      <c r="D15" s="69">
        <v>2.9000000000000004</v>
      </c>
    </row>
    <row r="16" spans="1:4" x14ac:dyDescent="0.25">
      <c r="A16" s="161">
        <v>37438</v>
      </c>
      <c r="B16" s="162">
        <v>37518</v>
      </c>
      <c r="C16" s="18">
        <v>5.8000000000000007</v>
      </c>
      <c r="D16" s="60">
        <v>2.9000000000000004</v>
      </c>
    </row>
    <row r="17" spans="1:4" x14ac:dyDescent="0.25">
      <c r="A17" s="163">
        <v>37519</v>
      </c>
      <c r="B17" s="164">
        <v>37621</v>
      </c>
      <c r="C17" s="17">
        <v>5.8000000000000007</v>
      </c>
      <c r="D17" s="35">
        <v>2.9000000000000004</v>
      </c>
    </row>
    <row r="18" spans="1:4" x14ac:dyDescent="0.25">
      <c r="A18" s="163">
        <v>37622</v>
      </c>
      <c r="B18" s="164">
        <v>37699</v>
      </c>
      <c r="C18" s="17">
        <v>5.8000000000000007</v>
      </c>
      <c r="D18" s="35">
        <v>2.9000000000000004</v>
      </c>
    </row>
    <row r="19" spans="1:4" ht="15.75" thickBot="1" x14ac:dyDescent="0.3">
      <c r="A19" s="180">
        <v>37700</v>
      </c>
      <c r="B19" s="181">
        <v>37802</v>
      </c>
      <c r="C19" s="65">
        <v>5.8000000000000007</v>
      </c>
      <c r="D19" s="69">
        <v>2.9000000000000004</v>
      </c>
    </row>
    <row r="20" spans="1:4" x14ac:dyDescent="0.25">
      <c r="A20" s="161">
        <v>37803</v>
      </c>
      <c r="B20" s="162">
        <v>37883</v>
      </c>
      <c r="C20" s="18">
        <v>5.8000000000000007</v>
      </c>
      <c r="D20" s="60">
        <v>2.9000000000000004</v>
      </c>
    </row>
    <row r="21" spans="1:4" x14ac:dyDescent="0.25">
      <c r="A21" s="163">
        <v>37884</v>
      </c>
      <c r="B21" s="164">
        <v>37986</v>
      </c>
      <c r="C21" s="17">
        <v>5.8000000000000007</v>
      </c>
      <c r="D21" s="35">
        <v>2.9000000000000004</v>
      </c>
    </row>
    <row r="22" spans="1:4" x14ac:dyDescent="0.25">
      <c r="A22" s="163">
        <v>37987</v>
      </c>
      <c r="B22" s="164">
        <v>38065</v>
      </c>
      <c r="C22" s="17">
        <v>5.8000000000000007</v>
      </c>
      <c r="D22" s="35">
        <v>2.9000000000000004</v>
      </c>
    </row>
    <row r="23" spans="1:4" ht="15.75" thickBot="1" x14ac:dyDescent="0.3">
      <c r="A23" s="180">
        <v>38066</v>
      </c>
      <c r="B23" s="181">
        <v>38168</v>
      </c>
      <c r="C23" s="65">
        <v>5.8000000000000007</v>
      </c>
      <c r="D23" s="69">
        <v>2.9000000000000004</v>
      </c>
    </row>
    <row r="24" spans="1:4" x14ac:dyDescent="0.25">
      <c r="A24" s="161">
        <v>38169</v>
      </c>
      <c r="B24" s="162">
        <v>38249</v>
      </c>
      <c r="C24" s="18">
        <v>5.8000000000000007</v>
      </c>
      <c r="D24" s="60">
        <v>2.9000000000000004</v>
      </c>
    </row>
    <row r="25" spans="1:4" x14ac:dyDescent="0.25">
      <c r="A25" s="163">
        <v>38250</v>
      </c>
      <c r="B25" s="164">
        <v>38352</v>
      </c>
      <c r="C25" s="17">
        <v>5.8000000000000007</v>
      </c>
      <c r="D25" s="35">
        <v>2.9000000000000004</v>
      </c>
    </row>
    <row r="26" spans="1:4" x14ac:dyDescent="0.25">
      <c r="A26" s="163">
        <v>38353</v>
      </c>
      <c r="B26" s="164">
        <v>38430</v>
      </c>
      <c r="C26" s="17">
        <v>5.8000000000000007</v>
      </c>
      <c r="D26" s="35">
        <v>2.9000000000000004</v>
      </c>
    </row>
    <row r="27" spans="1:4" ht="15.75" thickBot="1" x14ac:dyDescent="0.3">
      <c r="A27" s="180">
        <v>38431</v>
      </c>
      <c r="B27" s="181">
        <v>38533</v>
      </c>
      <c r="C27" s="65">
        <v>5.8000000000000007</v>
      </c>
      <c r="D27" s="69">
        <v>2.9000000000000004</v>
      </c>
    </row>
    <row r="28" spans="1:4" x14ac:dyDescent="0.25">
      <c r="A28" s="161">
        <v>38534</v>
      </c>
      <c r="B28" s="162">
        <v>38614</v>
      </c>
      <c r="C28" s="18">
        <v>5.8000000000000007</v>
      </c>
      <c r="D28" s="60">
        <v>2.9000000000000004</v>
      </c>
    </row>
    <row r="29" spans="1:4" x14ac:dyDescent="0.25">
      <c r="A29" s="163">
        <v>38615</v>
      </c>
      <c r="B29" s="164">
        <v>38717</v>
      </c>
      <c r="C29" s="17">
        <v>5.8000000000000007</v>
      </c>
      <c r="D29" s="35">
        <v>2.9000000000000004</v>
      </c>
    </row>
    <row r="30" spans="1:4" x14ac:dyDescent="0.25">
      <c r="A30" s="163">
        <v>38718</v>
      </c>
      <c r="B30" s="164">
        <v>38795</v>
      </c>
      <c r="C30" s="17">
        <v>5.8000000000000007</v>
      </c>
      <c r="D30" s="35">
        <v>2.9000000000000004</v>
      </c>
    </row>
    <row r="31" spans="1:4" ht="15.75" thickBot="1" x14ac:dyDescent="0.3">
      <c r="A31" s="180">
        <v>38796</v>
      </c>
      <c r="B31" s="181">
        <v>38898</v>
      </c>
      <c r="C31" s="65">
        <v>5.8000000000000007</v>
      </c>
      <c r="D31" s="69">
        <v>2.9000000000000004</v>
      </c>
    </row>
    <row r="32" spans="1:4" x14ac:dyDescent="0.25">
      <c r="A32" s="161">
        <v>38899</v>
      </c>
      <c r="B32" s="162">
        <v>38979</v>
      </c>
      <c r="C32" s="18">
        <v>5.8000000000000007</v>
      </c>
      <c r="D32" s="60">
        <v>2.9000000000000004</v>
      </c>
    </row>
    <row r="33" spans="1:4" x14ac:dyDescent="0.25">
      <c r="A33" s="163">
        <v>38980</v>
      </c>
      <c r="B33" s="164">
        <v>39082</v>
      </c>
      <c r="C33" s="17">
        <v>5.8000000000000007</v>
      </c>
      <c r="D33" s="35">
        <v>2.9000000000000004</v>
      </c>
    </row>
    <row r="34" spans="1:4" x14ac:dyDescent="0.25">
      <c r="A34" s="163">
        <v>39083</v>
      </c>
      <c r="B34" s="164">
        <v>39160</v>
      </c>
      <c r="C34" s="17">
        <v>5.8</v>
      </c>
      <c r="D34" s="35">
        <v>2.9</v>
      </c>
    </row>
    <row r="35" spans="1:4" ht="15.75" thickBot="1" x14ac:dyDescent="0.3">
      <c r="A35" s="180">
        <v>39161</v>
      </c>
      <c r="B35" s="181">
        <v>39263</v>
      </c>
      <c r="C35" s="65">
        <v>5.8</v>
      </c>
      <c r="D35" s="69">
        <v>2.9</v>
      </c>
    </row>
    <row r="36" spans="1:4" x14ac:dyDescent="0.25">
      <c r="A36" s="161">
        <v>39264</v>
      </c>
      <c r="B36" s="162">
        <v>39344</v>
      </c>
      <c r="C36" s="18">
        <v>5.8</v>
      </c>
      <c r="D36" s="60">
        <v>2.9</v>
      </c>
    </row>
    <row r="37" spans="1:4" x14ac:dyDescent="0.25">
      <c r="A37" s="163">
        <v>39345</v>
      </c>
      <c r="B37" s="164">
        <v>39447</v>
      </c>
      <c r="C37" s="17">
        <v>5.8</v>
      </c>
      <c r="D37" s="35">
        <v>2.9</v>
      </c>
    </row>
    <row r="38" spans="1:4" x14ac:dyDescent="0.25">
      <c r="A38" s="163">
        <v>39448</v>
      </c>
      <c r="B38" s="164">
        <v>39526</v>
      </c>
      <c r="C38" s="17">
        <v>5.8000000000000007</v>
      </c>
      <c r="D38" s="35">
        <v>2.9000000000000004</v>
      </c>
    </row>
    <row r="39" spans="1:4" ht="15.75" thickBot="1" x14ac:dyDescent="0.3">
      <c r="A39" s="180">
        <v>39527</v>
      </c>
      <c r="B39" s="181">
        <v>39629</v>
      </c>
      <c r="C39" s="65">
        <v>5.8000000000000007</v>
      </c>
      <c r="D39" s="69">
        <v>2.9000000000000004</v>
      </c>
    </row>
    <row r="40" spans="1:4" x14ac:dyDescent="0.25">
      <c r="A40" s="161">
        <v>39630</v>
      </c>
      <c r="B40" s="162">
        <v>39710</v>
      </c>
      <c r="C40" s="18">
        <v>5.8000000000000007</v>
      </c>
      <c r="D40" s="60">
        <v>2.9000000000000004</v>
      </c>
    </row>
    <row r="41" spans="1:4" x14ac:dyDescent="0.25">
      <c r="A41" s="163">
        <v>39711</v>
      </c>
      <c r="B41" s="164">
        <v>39813</v>
      </c>
      <c r="C41" s="17">
        <v>5.8000000000000007</v>
      </c>
      <c r="D41" s="35">
        <v>2.9000000000000004</v>
      </c>
    </row>
    <row r="42" spans="1:4" x14ac:dyDescent="0.25">
      <c r="A42" s="163">
        <v>39814</v>
      </c>
      <c r="B42" s="164">
        <v>39891</v>
      </c>
      <c r="C42" s="17">
        <v>6</v>
      </c>
      <c r="D42" s="35">
        <v>3</v>
      </c>
    </row>
    <row r="43" spans="1:4" ht="15.75" thickBot="1" x14ac:dyDescent="0.3">
      <c r="A43" s="180">
        <v>39892</v>
      </c>
      <c r="B43" s="181">
        <v>39994</v>
      </c>
      <c r="C43" s="65">
        <v>6</v>
      </c>
      <c r="D43" s="69">
        <v>3</v>
      </c>
    </row>
    <row r="44" spans="1:4" x14ac:dyDescent="0.25">
      <c r="A44" s="161">
        <v>39995</v>
      </c>
      <c r="B44" s="162">
        <v>40075</v>
      </c>
      <c r="C44" s="18">
        <f>D44*2</f>
        <v>6</v>
      </c>
      <c r="D44" s="60">
        <v>3</v>
      </c>
    </row>
    <row r="45" spans="1:4" x14ac:dyDescent="0.25">
      <c r="A45" s="163">
        <v>40076</v>
      </c>
      <c r="B45" s="164">
        <v>40178</v>
      </c>
      <c r="C45" s="17">
        <f>D45*2</f>
        <v>6</v>
      </c>
      <c r="D45" s="35">
        <v>3</v>
      </c>
    </row>
    <row r="46" spans="1:4" x14ac:dyDescent="0.25">
      <c r="A46" s="163">
        <v>40179</v>
      </c>
      <c r="B46" s="164">
        <v>40256</v>
      </c>
      <c r="C46" s="17">
        <f>D46*2</f>
        <v>6</v>
      </c>
      <c r="D46" s="35">
        <v>3</v>
      </c>
    </row>
    <row r="47" spans="1:4" ht="15.75" thickBot="1" x14ac:dyDescent="0.3">
      <c r="A47" s="180">
        <v>40257</v>
      </c>
      <c r="B47" s="181">
        <v>40359</v>
      </c>
      <c r="C47" s="65">
        <f>D47*2</f>
        <v>6</v>
      </c>
      <c r="D47" s="69">
        <v>3</v>
      </c>
    </row>
    <row r="48" spans="1:4" x14ac:dyDescent="0.25">
      <c r="A48" s="161">
        <v>40360</v>
      </c>
      <c r="B48" s="162">
        <v>40440</v>
      </c>
      <c r="C48" s="18">
        <v>6</v>
      </c>
      <c r="D48" s="60">
        <v>3</v>
      </c>
    </row>
    <row r="49" spans="1:4" x14ac:dyDescent="0.25">
      <c r="A49" s="163">
        <v>40441</v>
      </c>
      <c r="B49" s="164">
        <v>40543</v>
      </c>
      <c r="C49" s="17">
        <v>6</v>
      </c>
      <c r="D49" s="35">
        <v>3</v>
      </c>
    </row>
    <row r="50" spans="1:4" x14ac:dyDescent="0.25">
      <c r="A50" s="163">
        <v>40544</v>
      </c>
      <c r="B50" s="164">
        <v>40621</v>
      </c>
      <c r="C50" s="17">
        <v>6</v>
      </c>
      <c r="D50" s="35">
        <v>3</v>
      </c>
    </row>
    <row r="51" spans="1:4" ht="15.75" thickBot="1" x14ac:dyDescent="0.3">
      <c r="A51" s="180">
        <v>40622</v>
      </c>
      <c r="B51" s="181">
        <v>40724</v>
      </c>
      <c r="C51" s="65">
        <v>6</v>
      </c>
      <c r="D51" s="69">
        <v>3</v>
      </c>
    </row>
    <row r="52" spans="1:4" x14ac:dyDescent="0.25">
      <c r="A52" s="161">
        <v>40725</v>
      </c>
      <c r="B52" s="162">
        <v>40805</v>
      </c>
      <c r="C52" s="18">
        <v>6</v>
      </c>
      <c r="D52" s="60">
        <v>3</v>
      </c>
    </row>
    <row r="53" spans="1:4" x14ac:dyDescent="0.25">
      <c r="A53" s="163">
        <v>40806</v>
      </c>
      <c r="B53" s="164">
        <v>40908</v>
      </c>
      <c r="C53" s="17">
        <v>6</v>
      </c>
      <c r="D53" s="35">
        <v>3</v>
      </c>
    </row>
    <row r="54" spans="1:4" s="5" customFormat="1" x14ac:dyDescent="0.25">
      <c r="A54" s="496">
        <v>40909</v>
      </c>
      <c r="B54" s="497">
        <v>40987</v>
      </c>
      <c r="C54" s="375">
        <v>6.2</v>
      </c>
      <c r="D54" s="374">
        <v>3.1</v>
      </c>
    </row>
    <row r="55" spans="1:4" s="5" customFormat="1" ht="15.75" thickBot="1" x14ac:dyDescent="0.3">
      <c r="A55" s="538">
        <v>40988</v>
      </c>
      <c r="B55" s="539">
        <v>41090</v>
      </c>
      <c r="C55" s="540">
        <v>6.2</v>
      </c>
      <c r="D55" s="541">
        <v>3.1</v>
      </c>
    </row>
    <row r="56" spans="1:4" s="5" customFormat="1" x14ac:dyDescent="0.25">
      <c r="A56" s="531">
        <v>41091</v>
      </c>
      <c r="B56" s="532">
        <v>41171</v>
      </c>
      <c r="C56" s="534">
        <v>6.2</v>
      </c>
      <c r="D56" s="535">
        <v>3.1</v>
      </c>
    </row>
    <row r="57" spans="1:4" s="5" customFormat="1" x14ac:dyDescent="0.25">
      <c r="A57" s="496">
        <v>41172</v>
      </c>
      <c r="B57" s="497">
        <v>41274</v>
      </c>
      <c r="C57" s="375">
        <v>6.2</v>
      </c>
      <c r="D57" s="374">
        <v>3.1</v>
      </c>
    </row>
    <row r="58" spans="1:4" s="5" customFormat="1" x14ac:dyDescent="0.25">
      <c r="A58" s="496">
        <v>41275</v>
      </c>
      <c r="B58" s="497">
        <v>41352</v>
      </c>
      <c r="C58" s="375">
        <v>6.2</v>
      </c>
      <c r="D58" s="374">
        <v>3.1</v>
      </c>
    </row>
    <row r="59" spans="1:4" s="5" customFormat="1" ht="15.75" thickBot="1" x14ac:dyDescent="0.3">
      <c r="A59" s="538">
        <v>41353</v>
      </c>
      <c r="B59" s="539">
        <v>41455</v>
      </c>
      <c r="C59" s="540">
        <v>6.2</v>
      </c>
      <c r="D59" s="541">
        <v>3.1</v>
      </c>
    </row>
    <row r="60" spans="1:4" x14ac:dyDescent="0.25">
      <c r="A60" s="531">
        <v>41456</v>
      </c>
      <c r="B60" s="532">
        <v>41536</v>
      </c>
      <c r="C60" s="534">
        <v>6.2</v>
      </c>
      <c r="D60" s="374">
        <v>3.1</v>
      </c>
    </row>
    <row r="61" spans="1:4" x14ac:dyDescent="0.25">
      <c r="A61" s="496">
        <v>41537</v>
      </c>
      <c r="B61" s="497">
        <v>41639</v>
      </c>
      <c r="C61" s="375">
        <v>6.2</v>
      </c>
      <c r="D61" s="374">
        <v>3.1</v>
      </c>
    </row>
    <row r="62" spans="1:4" x14ac:dyDescent="0.25">
      <c r="A62" s="496">
        <v>41640</v>
      </c>
      <c r="B62" s="497">
        <v>41717</v>
      </c>
      <c r="C62" s="375">
        <v>6.2</v>
      </c>
      <c r="D62" s="374">
        <v>3.1</v>
      </c>
    </row>
    <row r="63" spans="1:4" ht="15.75" thickBot="1" x14ac:dyDescent="0.3">
      <c r="A63" s="538">
        <v>41718</v>
      </c>
      <c r="B63" s="539">
        <v>41820</v>
      </c>
      <c r="C63" s="540">
        <v>6.2</v>
      </c>
      <c r="D63" s="541">
        <v>3.1</v>
      </c>
    </row>
    <row r="64" spans="1:4" x14ac:dyDescent="0.25">
      <c r="A64" s="531">
        <v>41821</v>
      </c>
      <c r="B64" s="532">
        <v>41901</v>
      </c>
      <c r="C64" s="534">
        <v>6.2</v>
      </c>
      <c r="D64" s="535">
        <v>3.1</v>
      </c>
    </row>
    <row r="65" spans="1:4" x14ac:dyDescent="0.25">
      <c r="A65" s="496">
        <v>41902</v>
      </c>
      <c r="B65" s="497">
        <v>42004</v>
      </c>
      <c r="C65" s="375">
        <v>6.2</v>
      </c>
      <c r="D65" s="374">
        <v>3.1</v>
      </c>
    </row>
    <row r="66" spans="1:4" x14ac:dyDescent="0.25">
      <c r="A66" s="496">
        <v>42005</v>
      </c>
      <c r="B66" s="497">
        <v>42082</v>
      </c>
      <c r="C66" s="375">
        <v>6.2</v>
      </c>
      <c r="D66" s="374">
        <v>3.1</v>
      </c>
    </row>
    <row r="67" spans="1:4" ht="15.75" thickBot="1" x14ac:dyDescent="0.3">
      <c r="A67" s="538">
        <v>42083</v>
      </c>
      <c r="B67" s="539">
        <v>42185</v>
      </c>
      <c r="C67" s="540">
        <v>6.2</v>
      </c>
      <c r="D67" s="541">
        <v>3.1</v>
      </c>
    </row>
    <row r="68" spans="1:4" x14ac:dyDescent="0.25">
      <c r="A68" s="531">
        <v>42186</v>
      </c>
      <c r="B68" s="532">
        <v>42266</v>
      </c>
      <c r="C68" s="534">
        <v>6.2</v>
      </c>
      <c r="D68" s="535">
        <v>3.1</v>
      </c>
    </row>
    <row r="69" spans="1:4" x14ac:dyDescent="0.25">
      <c r="A69" s="496">
        <v>42267</v>
      </c>
      <c r="B69" s="497">
        <v>42369</v>
      </c>
      <c r="C69" s="375">
        <v>6.2</v>
      </c>
      <c r="D69" s="374">
        <v>3.1</v>
      </c>
    </row>
    <row r="70" spans="1:4" x14ac:dyDescent="0.25">
      <c r="A70" s="496">
        <v>42370</v>
      </c>
      <c r="B70" s="497">
        <v>42448</v>
      </c>
      <c r="C70" s="375">
        <v>6.2</v>
      </c>
      <c r="D70" s="374">
        <v>3.1</v>
      </c>
    </row>
    <row r="71" spans="1:4" ht="15.75" thickBot="1" x14ac:dyDescent="0.3">
      <c r="A71" s="538">
        <v>42449</v>
      </c>
      <c r="B71" s="539">
        <v>42551</v>
      </c>
      <c r="C71" s="540">
        <v>6.2</v>
      </c>
      <c r="D71" s="541">
        <v>3.1</v>
      </c>
    </row>
    <row r="72" spans="1:4" x14ac:dyDescent="0.25">
      <c r="A72" s="531">
        <v>42552</v>
      </c>
      <c r="B72" s="532">
        <v>42632</v>
      </c>
      <c r="C72" s="534">
        <v>6.2</v>
      </c>
      <c r="D72" s="535">
        <v>3.1</v>
      </c>
    </row>
    <row r="73" spans="1:4" x14ac:dyDescent="0.25">
      <c r="A73" s="496">
        <v>42633</v>
      </c>
      <c r="B73" s="497">
        <v>42735</v>
      </c>
      <c r="C73" s="375">
        <f t="shared" ref="C73:C91" si="0">D73*2</f>
        <v>6.2</v>
      </c>
      <c r="D73" s="374">
        <f>D72</f>
        <v>3.1</v>
      </c>
    </row>
    <row r="74" spans="1:4" x14ac:dyDescent="0.25">
      <c r="A74" s="496">
        <v>42736</v>
      </c>
      <c r="B74" s="497">
        <v>42813</v>
      </c>
      <c r="C74" s="375">
        <f t="shared" si="0"/>
        <v>6.2</v>
      </c>
      <c r="D74" s="374">
        <f>FLOOR(D73*indexFctr("peCpiFp",B72,12),0.1)</f>
        <v>3.1</v>
      </c>
    </row>
    <row r="75" spans="1:4" ht="15.75" thickBot="1" x14ac:dyDescent="0.3">
      <c r="A75" s="538">
        <v>42814</v>
      </c>
      <c r="B75" s="539">
        <v>42916</v>
      </c>
      <c r="C75" s="540">
        <f t="shared" si="0"/>
        <v>6.2</v>
      </c>
      <c r="D75" s="541">
        <f>D74</f>
        <v>3.1</v>
      </c>
    </row>
    <row r="76" spans="1:4" x14ac:dyDescent="0.25">
      <c r="A76" s="531">
        <v>42917</v>
      </c>
      <c r="B76" s="532">
        <v>42997</v>
      </c>
      <c r="C76" s="534">
        <f t="shared" si="0"/>
        <v>6.2</v>
      </c>
      <c r="D76" s="535">
        <f>D75</f>
        <v>3.1</v>
      </c>
    </row>
    <row r="77" spans="1:4" x14ac:dyDescent="0.25">
      <c r="A77" s="165">
        <v>42998</v>
      </c>
      <c r="B77" s="166">
        <v>43100</v>
      </c>
      <c r="C77" s="33">
        <f t="shared" si="0"/>
        <v>6.2</v>
      </c>
      <c r="D77" s="75">
        <f>D76</f>
        <v>3.1</v>
      </c>
    </row>
    <row r="78" spans="1:4" x14ac:dyDescent="0.25">
      <c r="A78" s="165">
        <v>43101</v>
      </c>
      <c r="B78" s="166">
        <v>43178</v>
      </c>
      <c r="C78" s="33">
        <f t="shared" si="0"/>
        <v>6.2</v>
      </c>
      <c r="D78" s="75">
        <f>FLOOR(D77*indexFctr("peCpiFp",B76,12),0.1)</f>
        <v>3.1</v>
      </c>
    </row>
    <row r="79" spans="1:4" ht="15.75" thickBot="1" x14ac:dyDescent="0.3">
      <c r="A79" s="167">
        <v>43179</v>
      </c>
      <c r="B79" s="168">
        <v>43281</v>
      </c>
      <c r="C79" s="77">
        <f t="shared" si="0"/>
        <v>6.2</v>
      </c>
      <c r="D79" s="79">
        <f>D78</f>
        <v>3.1</v>
      </c>
    </row>
    <row r="80" spans="1:4" x14ac:dyDescent="0.25">
      <c r="A80" s="169">
        <v>43282</v>
      </c>
      <c r="B80" s="170">
        <v>43362</v>
      </c>
      <c r="C80" s="188">
        <f t="shared" si="0"/>
        <v>6.2</v>
      </c>
      <c r="D80" s="172">
        <f>D79</f>
        <v>3.1</v>
      </c>
    </row>
    <row r="81" spans="1:4" x14ac:dyDescent="0.25">
      <c r="A81" s="165">
        <v>43363</v>
      </c>
      <c r="B81" s="166">
        <v>43465</v>
      </c>
      <c r="C81" s="33">
        <f t="shared" si="0"/>
        <v>6.2</v>
      </c>
      <c r="D81" s="75">
        <f>D80</f>
        <v>3.1</v>
      </c>
    </row>
    <row r="82" spans="1:4" x14ac:dyDescent="0.25">
      <c r="A82" s="165">
        <v>43466</v>
      </c>
      <c r="B82" s="166">
        <v>43543</v>
      </c>
      <c r="C82" s="33">
        <f t="shared" si="0"/>
        <v>6.2</v>
      </c>
      <c r="D82" s="75">
        <f>FLOOR(D81*indexFctr("peCpiFp",B80,12),0.1)</f>
        <v>3.1</v>
      </c>
    </row>
    <row r="83" spans="1:4" ht="15.75" thickBot="1" x14ac:dyDescent="0.3">
      <c r="A83" s="167">
        <v>43544</v>
      </c>
      <c r="B83" s="168">
        <v>43646</v>
      </c>
      <c r="C83" s="77">
        <f t="shared" si="0"/>
        <v>6.2</v>
      </c>
      <c r="D83" s="79">
        <f>D82</f>
        <v>3.1</v>
      </c>
    </row>
    <row r="84" spans="1:4" x14ac:dyDescent="0.25">
      <c r="A84" s="169">
        <v>43647</v>
      </c>
      <c r="B84" s="170">
        <v>43727</v>
      </c>
      <c r="C84" s="188">
        <f t="shared" si="0"/>
        <v>6.2</v>
      </c>
      <c r="D84" s="172">
        <f>D83</f>
        <v>3.1</v>
      </c>
    </row>
    <row r="85" spans="1:4" x14ac:dyDescent="0.25">
      <c r="A85" s="165">
        <v>43728</v>
      </c>
      <c r="B85" s="166">
        <v>43830</v>
      </c>
      <c r="C85" s="33">
        <f t="shared" si="0"/>
        <v>6.2</v>
      </c>
      <c r="D85" s="75">
        <f>D84</f>
        <v>3.1</v>
      </c>
    </row>
    <row r="86" spans="1:4" x14ac:dyDescent="0.25">
      <c r="A86" s="165">
        <v>43831</v>
      </c>
      <c r="B86" s="166">
        <v>43909</v>
      </c>
      <c r="C86" s="33">
        <f t="shared" si="0"/>
        <v>6.2</v>
      </c>
      <c r="D86" s="75">
        <f>FLOOR(D85*indexFctr("peCpiFp",B84,12),0.1)</f>
        <v>3.1</v>
      </c>
    </row>
    <row r="87" spans="1:4" ht="15.75" thickBot="1" x14ac:dyDescent="0.3">
      <c r="A87" s="167">
        <v>43910</v>
      </c>
      <c r="B87" s="168">
        <v>44012</v>
      </c>
      <c r="C87" s="77">
        <f t="shared" si="0"/>
        <v>6.2</v>
      </c>
      <c r="D87" s="79">
        <f>D86</f>
        <v>3.1</v>
      </c>
    </row>
    <row r="88" spans="1:4" x14ac:dyDescent="0.25">
      <c r="A88" s="169">
        <v>44013</v>
      </c>
      <c r="B88" s="170">
        <v>44093</v>
      </c>
      <c r="C88" s="188">
        <f t="shared" si="0"/>
        <v>6.2</v>
      </c>
      <c r="D88" s="172">
        <f>D87</f>
        <v>3.1</v>
      </c>
    </row>
    <row r="89" spans="1:4" x14ac:dyDescent="0.25">
      <c r="A89" s="165">
        <v>44094</v>
      </c>
      <c r="B89" s="166">
        <v>44196</v>
      </c>
      <c r="C89" s="33">
        <f t="shared" si="0"/>
        <v>6.2</v>
      </c>
      <c r="D89" s="75">
        <f>D88</f>
        <v>3.1</v>
      </c>
    </row>
    <row r="90" spans="1:4" x14ac:dyDescent="0.25">
      <c r="A90" s="165">
        <v>44197</v>
      </c>
      <c r="B90" s="166">
        <v>44274</v>
      </c>
      <c r="C90" s="33">
        <f t="shared" si="0"/>
        <v>6.2</v>
      </c>
      <c r="D90" s="75">
        <f>FLOOR(D89*indexFctr("peCpiFp",B88,12),0.1)</f>
        <v>3.1</v>
      </c>
    </row>
    <row r="91" spans="1:4" ht="15.75" thickBot="1" x14ac:dyDescent="0.3">
      <c r="A91" s="167">
        <v>44275</v>
      </c>
      <c r="B91" s="168">
        <v>44377</v>
      </c>
      <c r="C91" s="77">
        <f t="shared" si="0"/>
        <v>6.2</v>
      </c>
      <c r="D91" s="79">
        <f>D90</f>
        <v>3.1</v>
      </c>
    </row>
  </sheetData>
  <customSheetViews>
    <customSheetView guid="{E49C2F27-B0B9-497E-BEC0-5B59561292FE}" hiddenRows="1" topLeftCell="A2">
      <pane xSplit="2" ySplit="6" topLeftCell="C59" activePane="bottomRight" state="frozen"/>
      <selection pane="bottomRight" activeCell="V75" sqref="V75"/>
      <pageMargins left="0.7" right="0.7" top="0.75" bottom="0.75" header="0.3" footer="0.3"/>
      <pageSetup paperSize="9" orientation="portrait" r:id="rId1"/>
    </customSheetView>
    <customSheetView guid="{A5953138-1481-4137-BEAD-32FA4FDF03E6}" topLeftCell="A2">
      <pane xSplit="2" ySplit="6" topLeftCell="C59" activePane="bottomRight" state="frozen"/>
      <selection pane="bottomRight" activeCell="V75" sqref="V75"/>
      <pageMargins left="0.7" right="0.7" top="0.75" bottom="0.75" header="0.3" footer="0.3"/>
      <pageSetup paperSize="9" orientation="portrait" r:id="rId2"/>
    </customSheetView>
    <customSheetView guid="{2A1F94CA-1A34-4418-88FD-EABF7586C2B2}" hiddenRows="1" topLeftCell="A2">
      <pane xSplit="2" ySplit="6" topLeftCell="C59" activePane="bottomRight" state="frozen"/>
      <selection pane="bottomRight" activeCell="V75" sqref="V75"/>
      <pageMargins left="0.7" right="0.7" top="0.75" bottom="0.75" header="0.3" footer="0.3"/>
      <pageSetup paperSize="9" orientation="portrait" r:id="rId3"/>
    </customSheetView>
  </customSheetViews>
  <mergeCells count="6">
    <mergeCell ref="A2:B3"/>
    <mergeCell ref="A4:A6"/>
    <mergeCell ref="B4:B6"/>
    <mergeCell ref="C2:D4"/>
    <mergeCell ref="C5:C6"/>
    <mergeCell ref="D5:D6"/>
  </mergeCells>
  <pageMargins left="0.7" right="0.7" top="0.75" bottom="0.75" header="0.3" footer="0.3"/>
  <pageSetup paperSize="9" orientation="portrait" r:id="rId4"/>
  <legacyDrawing r:id="rId5"/>
</worksheet>
</file>

<file path=xl/worksheets/sheet2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C00-000000000000}">
  <sheetPr codeName="Sheet59">
    <tabColor rgb="FF00B0F0"/>
  </sheetPr>
  <dimension ref="A1:D28"/>
  <sheetViews>
    <sheetView topLeftCell="A2" workbookViewId="0">
      <selection activeCell="A29" sqref="A29:XFD108"/>
    </sheetView>
  </sheetViews>
  <sheetFormatPr defaultRowHeight="15" x14ac:dyDescent="0.25"/>
  <cols>
    <col min="1" max="1" width="9.7109375" style="28" bestFit="1" customWidth="1"/>
    <col min="2" max="2" width="10.7109375" style="28" bestFit="1" customWidth="1"/>
    <col min="3" max="3" width="14.140625" style="28" customWidth="1"/>
    <col min="4" max="4" width="14.42578125" style="28" customWidth="1"/>
    <col min="5" max="16384" width="9.140625" style="28"/>
  </cols>
  <sheetData>
    <row r="1" spans="1:4" s="502" customFormat="1" ht="15.75" hidden="1" thickBot="1" x14ac:dyDescent="0.3"/>
    <row r="2" spans="1:4" ht="15" customHeight="1" x14ac:dyDescent="0.25">
      <c r="A2" s="1164" t="s">
        <v>13</v>
      </c>
      <c r="B2" s="1165"/>
      <c r="C2" s="1268" t="s">
        <v>134</v>
      </c>
      <c r="D2" s="1270"/>
    </row>
    <row r="3" spans="1:4" x14ac:dyDescent="0.25">
      <c r="A3" s="1215"/>
      <c r="B3" s="1236"/>
      <c r="C3" s="1326"/>
      <c r="D3" s="1327"/>
    </row>
    <row r="4" spans="1:4" ht="15.75" thickBot="1" x14ac:dyDescent="0.3">
      <c r="A4" s="1188" t="s">
        <v>16</v>
      </c>
      <c r="B4" s="1176" t="s">
        <v>17</v>
      </c>
      <c r="C4" s="1271"/>
      <c r="D4" s="1273"/>
    </row>
    <row r="5" spans="1:4" x14ac:dyDescent="0.25">
      <c r="A5" s="1188"/>
      <c r="B5" s="1176"/>
      <c r="C5" s="1250" t="s">
        <v>12</v>
      </c>
      <c r="D5" s="1187" t="s">
        <v>21</v>
      </c>
    </row>
    <row r="6" spans="1:4" ht="15.75" thickBot="1" x14ac:dyDescent="0.3">
      <c r="A6" s="1207"/>
      <c r="B6" s="1177"/>
      <c r="C6" s="1207"/>
      <c r="D6" s="1177"/>
    </row>
    <row r="7" spans="1:4" ht="15.75" thickBot="1" x14ac:dyDescent="0.3">
      <c r="A7" s="713" t="s">
        <v>550</v>
      </c>
      <c r="B7" s="714" t="s">
        <v>551</v>
      </c>
      <c r="C7" s="118" t="s">
        <v>428</v>
      </c>
      <c r="D7" s="119" t="s">
        <v>429</v>
      </c>
    </row>
    <row r="8" spans="1:4" x14ac:dyDescent="0.25">
      <c r="A8" s="161">
        <v>36708</v>
      </c>
      <c r="B8" s="162">
        <v>37072</v>
      </c>
      <c r="C8" s="18">
        <f t="shared" ref="C8:D27" si="0">AnnualAverage($A8,C$7,PharmAParms,PharmADates,PharmANames)</f>
        <v>5.6999999999999993</v>
      </c>
      <c r="D8" s="60">
        <f t="shared" si="0"/>
        <v>2.8499999999999996</v>
      </c>
    </row>
    <row r="9" spans="1:4" x14ac:dyDescent="0.25">
      <c r="A9" s="163">
        <v>37073</v>
      </c>
      <c r="B9" s="164">
        <v>37437</v>
      </c>
      <c r="C9" s="17">
        <f t="shared" si="0"/>
        <v>5.8</v>
      </c>
      <c r="D9" s="35">
        <f t="shared" si="0"/>
        <v>2.9</v>
      </c>
    </row>
    <row r="10" spans="1:4" x14ac:dyDescent="0.25">
      <c r="A10" s="163">
        <v>37438</v>
      </c>
      <c r="B10" s="164">
        <v>37802</v>
      </c>
      <c r="C10" s="17">
        <f t="shared" si="0"/>
        <v>5.8</v>
      </c>
      <c r="D10" s="35">
        <f t="shared" si="0"/>
        <v>2.9</v>
      </c>
    </row>
    <row r="11" spans="1:4" x14ac:dyDescent="0.25">
      <c r="A11" s="163">
        <v>37803</v>
      </c>
      <c r="B11" s="164">
        <v>38168</v>
      </c>
      <c r="C11" s="17">
        <f t="shared" si="0"/>
        <v>5.8</v>
      </c>
      <c r="D11" s="35">
        <f t="shared" si="0"/>
        <v>2.9</v>
      </c>
    </row>
    <row r="12" spans="1:4" x14ac:dyDescent="0.25">
      <c r="A12" s="163">
        <v>38169</v>
      </c>
      <c r="B12" s="164">
        <v>38533</v>
      </c>
      <c r="C12" s="17">
        <f t="shared" si="0"/>
        <v>5.8</v>
      </c>
      <c r="D12" s="35">
        <f t="shared" si="0"/>
        <v>2.9</v>
      </c>
    </row>
    <row r="13" spans="1:4" x14ac:dyDescent="0.25">
      <c r="A13" s="163">
        <v>38534</v>
      </c>
      <c r="B13" s="164">
        <v>38898</v>
      </c>
      <c r="C13" s="17">
        <f t="shared" si="0"/>
        <v>5.8</v>
      </c>
      <c r="D13" s="35">
        <f t="shared" si="0"/>
        <v>2.9</v>
      </c>
    </row>
    <row r="14" spans="1:4" x14ac:dyDescent="0.25">
      <c r="A14" s="163">
        <v>38899</v>
      </c>
      <c r="B14" s="164">
        <v>39263</v>
      </c>
      <c r="C14" s="17">
        <f t="shared" si="0"/>
        <v>5.8</v>
      </c>
      <c r="D14" s="35">
        <f t="shared" si="0"/>
        <v>2.9</v>
      </c>
    </row>
    <row r="15" spans="1:4" x14ac:dyDescent="0.25">
      <c r="A15" s="163">
        <v>39264</v>
      </c>
      <c r="B15" s="164">
        <v>39629</v>
      </c>
      <c r="C15" s="17">
        <f t="shared" si="0"/>
        <v>5.8</v>
      </c>
      <c r="D15" s="35">
        <f t="shared" si="0"/>
        <v>2.9</v>
      </c>
    </row>
    <row r="16" spans="1:4" x14ac:dyDescent="0.25">
      <c r="A16" s="163">
        <v>39630</v>
      </c>
      <c r="B16" s="164">
        <v>39994</v>
      </c>
      <c r="C16" s="17">
        <f t="shared" si="0"/>
        <v>5.9</v>
      </c>
      <c r="D16" s="35">
        <f t="shared" si="0"/>
        <v>2.95</v>
      </c>
    </row>
    <row r="17" spans="1:4" x14ac:dyDescent="0.25">
      <c r="A17" s="163">
        <v>39995</v>
      </c>
      <c r="B17" s="164">
        <v>40359</v>
      </c>
      <c r="C17" s="17">
        <f t="shared" si="0"/>
        <v>6</v>
      </c>
      <c r="D17" s="35">
        <f t="shared" si="0"/>
        <v>3</v>
      </c>
    </row>
    <row r="18" spans="1:4" x14ac:dyDescent="0.25">
      <c r="A18" s="163">
        <v>40360</v>
      </c>
      <c r="B18" s="164">
        <v>40724</v>
      </c>
      <c r="C18" s="17">
        <f t="shared" si="0"/>
        <v>6</v>
      </c>
      <c r="D18" s="35">
        <f t="shared" si="0"/>
        <v>3</v>
      </c>
    </row>
    <row r="19" spans="1:4" x14ac:dyDescent="0.25">
      <c r="A19" s="163">
        <v>40725</v>
      </c>
      <c r="B19" s="164">
        <v>41090</v>
      </c>
      <c r="C19" s="17">
        <f t="shared" si="0"/>
        <v>6.1</v>
      </c>
      <c r="D19" s="35">
        <f t="shared" si="0"/>
        <v>3.05</v>
      </c>
    </row>
    <row r="20" spans="1:4" s="5" customFormat="1" x14ac:dyDescent="0.25">
      <c r="A20" s="496">
        <v>41091</v>
      </c>
      <c r="B20" s="497">
        <v>41455</v>
      </c>
      <c r="C20" s="375">
        <f t="shared" si="0"/>
        <v>6.2</v>
      </c>
      <c r="D20" s="374">
        <f t="shared" si="0"/>
        <v>3.1</v>
      </c>
    </row>
    <row r="21" spans="1:4" x14ac:dyDescent="0.25">
      <c r="A21" s="496">
        <v>41456</v>
      </c>
      <c r="B21" s="497">
        <v>41820</v>
      </c>
      <c r="C21" s="375">
        <f t="shared" si="0"/>
        <v>6.2</v>
      </c>
      <c r="D21" s="374">
        <f t="shared" si="0"/>
        <v>3.1</v>
      </c>
    </row>
    <row r="22" spans="1:4" x14ac:dyDescent="0.25">
      <c r="A22" s="496">
        <v>41821</v>
      </c>
      <c r="B22" s="497">
        <v>42185</v>
      </c>
      <c r="C22" s="375">
        <f t="shared" si="0"/>
        <v>6.2</v>
      </c>
      <c r="D22" s="374">
        <f t="shared" si="0"/>
        <v>3.1</v>
      </c>
    </row>
    <row r="23" spans="1:4" x14ac:dyDescent="0.25">
      <c r="A23" s="496">
        <v>42186</v>
      </c>
      <c r="B23" s="497">
        <v>42551</v>
      </c>
      <c r="C23" s="375">
        <f t="shared" si="0"/>
        <v>6.2</v>
      </c>
      <c r="D23" s="374">
        <f t="shared" si="0"/>
        <v>3.1</v>
      </c>
    </row>
    <row r="24" spans="1:4" x14ac:dyDescent="0.25">
      <c r="A24" s="496">
        <v>42552</v>
      </c>
      <c r="B24" s="497">
        <v>42916</v>
      </c>
      <c r="C24" s="375">
        <f t="shared" si="0"/>
        <v>6.2</v>
      </c>
      <c r="D24" s="374">
        <f t="shared" si="0"/>
        <v>3.1</v>
      </c>
    </row>
    <row r="25" spans="1:4" x14ac:dyDescent="0.25">
      <c r="A25" s="165">
        <v>42917</v>
      </c>
      <c r="B25" s="166">
        <v>43281</v>
      </c>
      <c r="C25" s="33">
        <f t="shared" si="0"/>
        <v>6.2</v>
      </c>
      <c r="D25" s="75">
        <f t="shared" si="0"/>
        <v>3.1</v>
      </c>
    </row>
    <row r="26" spans="1:4" x14ac:dyDescent="0.25">
      <c r="A26" s="165">
        <v>43282</v>
      </c>
      <c r="B26" s="166">
        <v>43646</v>
      </c>
      <c r="C26" s="33">
        <f t="shared" si="0"/>
        <v>6.2</v>
      </c>
      <c r="D26" s="75">
        <f t="shared" si="0"/>
        <v>3.1</v>
      </c>
    </row>
    <row r="27" spans="1:4" x14ac:dyDescent="0.25">
      <c r="A27" s="165">
        <v>43647</v>
      </c>
      <c r="B27" s="166">
        <v>44012</v>
      </c>
      <c r="C27" s="33">
        <f t="shared" si="0"/>
        <v>6.2</v>
      </c>
      <c r="D27" s="75">
        <f t="shared" si="0"/>
        <v>3.1</v>
      </c>
    </row>
    <row r="28" spans="1:4" x14ac:dyDescent="0.25">
      <c r="A28" s="165">
        <v>44013</v>
      </c>
      <c r="B28" s="166">
        <v>44377</v>
      </c>
      <c r="C28" s="33">
        <f>AnnualAverage($A28,C$7,PharmAParms,PharmADates,PharmANames)</f>
        <v>6.2</v>
      </c>
      <c r="D28" s="75">
        <f>AnnualAverage($A28,D$7,PharmAParms,PharmADates,PharmANames)</f>
        <v>3.1</v>
      </c>
    </row>
  </sheetData>
  <customSheetViews>
    <customSheetView guid="{E49C2F27-B0B9-497E-BEC0-5B59561292FE}" hiddenRows="1" topLeftCell="A2">
      <selection activeCell="R11" sqref="R11"/>
      <pageMargins left="0.7" right="0.7" top="0.75" bottom="0.75" header="0.3" footer="0.3"/>
      <pageSetup paperSize="9" orientation="portrait" r:id="rId1"/>
    </customSheetView>
    <customSheetView guid="{A5953138-1481-4137-BEAD-32FA4FDF03E6}" topLeftCell="A2">
      <selection activeCell="R11" sqref="R11"/>
      <pageMargins left="0.7" right="0.7" top="0.75" bottom="0.75" header="0.3" footer="0.3"/>
      <pageSetup paperSize="9" orientation="portrait" r:id="rId2"/>
    </customSheetView>
    <customSheetView guid="{2A1F94CA-1A34-4418-88FD-EABF7586C2B2}" hiddenRows="1" topLeftCell="A2">
      <selection activeCell="R11" sqref="R11"/>
      <pageMargins left="0.7" right="0.7" top="0.75" bottom="0.75" header="0.3" footer="0.3"/>
      <pageSetup paperSize="9" orientation="portrait" r:id="rId3"/>
    </customSheetView>
  </customSheetViews>
  <mergeCells count="6">
    <mergeCell ref="A2:B3"/>
    <mergeCell ref="C2:D4"/>
    <mergeCell ref="A4:A6"/>
    <mergeCell ref="B4:B6"/>
    <mergeCell ref="C5:C6"/>
    <mergeCell ref="D5:D6"/>
  </mergeCells>
  <pageMargins left="0.7" right="0.7" top="0.75" bottom="0.75" header="0.3" footer="0.3"/>
  <pageSetup paperSize="9" orientation="portrait" r:id="rId4"/>
  <legacyDrawing r:id="rId5"/>
</worksheet>
</file>

<file path=xl/worksheets/sheet3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D00-000000000000}">
  <sheetPr codeName="Sheet60">
    <tabColor rgb="FF00B0F0"/>
  </sheetPr>
  <dimension ref="A1:L91"/>
  <sheetViews>
    <sheetView workbookViewId="0">
      <pane xSplit="2" ySplit="7" topLeftCell="C9" activePane="bottomRight" state="frozen"/>
      <selection pane="topRight" activeCell="C1" sqref="C1"/>
      <selection pane="bottomLeft" activeCell="A8" sqref="A8"/>
      <selection pane="bottomRight" activeCell="S34" sqref="S34"/>
    </sheetView>
  </sheetViews>
  <sheetFormatPr defaultRowHeight="15" x14ac:dyDescent="0.25"/>
  <cols>
    <col min="1" max="1" width="10.42578125" style="28" customWidth="1"/>
    <col min="2" max="2" width="10.7109375" style="28" bestFit="1" customWidth="1"/>
    <col min="3" max="4" width="15.5703125" style="28" bestFit="1" customWidth="1"/>
    <col min="5" max="5" width="18.7109375" style="28" bestFit="1" customWidth="1"/>
    <col min="6" max="6" width="16.85546875" style="28" bestFit="1" customWidth="1"/>
    <col min="7" max="7" width="15.5703125" style="28" bestFit="1" customWidth="1"/>
    <col min="8" max="8" width="15.7109375" style="28" customWidth="1"/>
    <col min="9" max="16384" width="9.140625" style="28"/>
  </cols>
  <sheetData>
    <row r="1" spans="1:8" ht="15.75" thickBot="1" x14ac:dyDescent="0.3">
      <c r="C1" s="1149" t="s">
        <v>67</v>
      </c>
      <c r="D1" s="1150"/>
      <c r="E1" s="1150"/>
      <c r="F1" s="1150"/>
      <c r="G1" s="1150"/>
      <c r="H1" s="1151"/>
    </row>
    <row r="2" spans="1:8" x14ac:dyDescent="0.25">
      <c r="A2" s="1164" t="s">
        <v>13</v>
      </c>
      <c r="B2" s="1165"/>
      <c r="C2" s="1164" t="s">
        <v>135</v>
      </c>
      <c r="D2" s="1214"/>
      <c r="E2" s="1165"/>
      <c r="F2" s="1164" t="s">
        <v>53</v>
      </c>
      <c r="G2" s="1214"/>
      <c r="H2" s="1165"/>
    </row>
    <row r="3" spans="1:8" ht="15.75" thickBot="1" x14ac:dyDescent="0.3">
      <c r="A3" s="1215"/>
      <c r="B3" s="1236"/>
      <c r="C3" s="1166"/>
      <c r="D3" s="1217"/>
      <c r="E3" s="1167"/>
      <c r="F3" s="1166"/>
      <c r="G3" s="1217"/>
      <c r="H3" s="1167"/>
    </row>
    <row r="4" spans="1:8" ht="15" customHeight="1" x14ac:dyDescent="0.25">
      <c r="A4" s="1188" t="s">
        <v>16</v>
      </c>
      <c r="B4" s="1176" t="s">
        <v>17</v>
      </c>
      <c r="C4" s="1254" t="s">
        <v>138</v>
      </c>
      <c r="D4" s="1328"/>
      <c r="E4" s="1157" t="s">
        <v>139</v>
      </c>
      <c r="F4" s="1254" t="s">
        <v>138</v>
      </c>
      <c r="G4" s="1255"/>
      <c r="H4" s="1157" t="s">
        <v>139</v>
      </c>
    </row>
    <row r="5" spans="1:8" ht="15.75" thickBot="1" x14ac:dyDescent="0.3">
      <c r="A5" s="1188"/>
      <c r="B5" s="1176"/>
      <c r="C5" s="1266"/>
      <c r="D5" s="1329"/>
      <c r="E5" s="1158"/>
      <c r="F5" s="1266"/>
      <c r="G5" s="1267"/>
      <c r="H5" s="1158"/>
    </row>
    <row r="6" spans="1:8" ht="15.75" thickBot="1" x14ac:dyDescent="0.3">
      <c r="A6" s="1207"/>
      <c r="B6" s="1177"/>
      <c r="C6" s="202" t="s">
        <v>136</v>
      </c>
      <c r="D6" s="203" t="s">
        <v>137</v>
      </c>
      <c r="E6" s="1158"/>
      <c r="F6" s="202" t="s">
        <v>136</v>
      </c>
      <c r="G6" s="203" t="s">
        <v>137</v>
      </c>
      <c r="H6" s="1159"/>
    </row>
    <row r="7" spans="1:8" ht="15.75" thickBot="1" x14ac:dyDescent="0.3">
      <c r="A7" s="713" t="s">
        <v>550</v>
      </c>
      <c r="B7" s="714" t="s">
        <v>551</v>
      </c>
      <c r="C7" s="83" t="s">
        <v>584</v>
      </c>
      <c r="D7" s="84" t="s">
        <v>585</v>
      </c>
      <c r="E7" s="82" t="s">
        <v>586</v>
      </c>
      <c r="F7" s="83" t="s">
        <v>587</v>
      </c>
      <c r="G7" s="84" t="s">
        <v>588</v>
      </c>
      <c r="H7" s="84" t="s">
        <v>589</v>
      </c>
    </row>
    <row r="8" spans="1:8" x14ac:dyDescent="0.25">
      <c r="A8" s="161">
        <v>36708</v>
      </c>
      <c r="B8" s="162">
        <v>36788</v>
      </c>
      <c r="C8" s="18">
        <v>66.400000000000006</v>
      </c>
      <c r="D8" s="60">
        <v>66.400000000000006</v>
      </c>
      <c r="E8" s="92"/>
      <c r="F8" s="18">
        <v>33.200000000000003</v>
      </c>
      <c r="G8" s="60">
        <v>33.200000000000003</v>
      </c>
      <c r="H8" s="92"/>
    </row>
    <row r="9" spans="1:8" x14ac:dyDescent="0.25">
      <c r="A9" s="163">
        <v>36789</v>
      </c>
      <c r="B9" s="164">
        <v>36891</v>
      </c>
      <c r="C9" s="17">
        <v>68.8</v>
      </c>
      <c r="D9" s="35">
        <v>68.8</v>
      </c>
      <c r="E9" s="93"/>
      <c r="F9" s="17">
        <v>34.4</v>
      </c>
      <c r="G9" s="35">
        <v>34.4</v>
      </c>
      <c r="H9" s="93"/>
    </row>
    <row r="10" spans="1:8" x14ac:dyDescent="0.25">
      <c r="A10" s="163">
        <v>36892</v>
      </c>
      <c r="B10" s="164">
        <v>36969</v>
      </c>
      <c r="C10" s="17">
        <v>68.8</v>
      </c>
      <c r="D10" s="35">
        <v>68.8</v>
      </c>
      <c r="E10" s="93"/>
      <c r="F10" s="17">
        <v>34.4</v>
      </c>
      <c r="G10" s="35">
        <v>34.4</v>
      </c>
      <c r="H10" s="93"/>
    </row>
    <row r="11" spans="1:8" ht="15.75" thickBot="1" x14ac:dyDescent="0.3">
      <c r="A11" s="180">
        <v>36970</v>
      </c>
      <c r="B11" s="181">
        <v>37072</v>
      </c>
      <c r="C11" s="65">
        <v>68.8</v>
      </c>
      <c r="D11" s="69">
        <v>68.8</v>
      </c>
      <c r="E11" s="94"/>
      <c r="F11" s="65">
        <v>34.4</v>
      </c>
      <c r="G11" s="69">
        <v>34.4</v>
      </c>
      <c r="H11" s="94"/>
    </row>
    <row r="12" spans="1:8" x14ac:dyDescent="0.25">
      <c r="A12" s="161">
        <v>37073</v>
      </c>
      <c r="B12" s="162">
        <v>37153</v>
      </c>
      <c r="C12" s="18">
        <v>68.8</v>
      </c>
      <c r="D12" s="60">
        <v>68.8</v>
      </c>
      <c r="E12" s="92"/>
      <c r="F12" s="18">
        <v>34.4</v>
      </c>
      <c r="G12" s="60">
        <v>34.4</v>
      </c>
      <c r="H12" s="92"/>
    </row>
    <row r="13" spans="1:8" x14ac:dyDescent="0.25">
      <c r="A13" s="163">
        <v>37154</v>
      </c>
      <c r="B13" s="164">
        <v>37256</v>
      </c>
      <c r="C13" s="17">
        <v>72</v>
      </c>
      <c r="D13" s="35">
        <v>72</v>
      </c>
      <c r="E13" s="93"/>
      <c r="F13" s="17">
        <v>36</v>
      </c>
      <c r="G13" s="35">
        <v>36</v>
      </c>
      <c r="H13" s="93"/>
    </row>
    <row r="14" spans="1:8" x14ac:dyDescent="0.25">
      <c r="A14" s="163">
        <v>37257</v>
      </c>
      <c r="B14" s="164">
        <v>37334</v>
      </c>
      <c r="C14" s="17">
        <v>72</v>
      </c>
      <c r="D14" s="35">
        <v>72</v>
      </c>
      <c r="E14" s="93"/>
      <c r="F14" s="17">
        <v>36</v>
      </c>
      <c r="G14" s="35">
        <v>36</v>
      </c>
      <c r="H14" s="93"/>
    </row>
    <row r="15" spans="1:8" ht="15.75" thickBot="1" x14ac:dyDescent="0.3">
      <c r="A15" s="180">
        <v>37335</v>
      </c>
      <c r="B15" s="181">
        <v>37437</v>
      </c>
      <c r="C15" s="65">
        <v>72</v>
      </c>
      <c r="D15" s="69">
        <v>72</v>
      </c>
      <c r="E15" s="94"/>
      <c r="F15" s="65">
        <v>36</v>
      </c>
      <c r="G15" s="69">
        <v>36</v>
      </c>
      <c r="H15" s="94"/>
    </row>
    <row r="16" spans="1:8" x14ac:dyDescent="0.25">
      <c r="A16" s="161">
        <v>37438</v>
      </c>
      <c r="B16" s="162">
        <v>37518</v>
      </c>
      <c r="C16" s="18">
        <v>72</v>
      </c>
      <c r="D16" s="60">
        <v>72</v>
      </c>
      <c r="E16" s="92"/>
      <c r="F16" s="18">
        <v>36</v>
      </c>
      <c r="G16" s="60">
        <v>36</v>
      </c>
      <c r="H16" s="92"/>
    </row>
    <row r="17" spans="1:8" x14ac:dyDescent="0.25">
      <c r="A17" s="163">
        <v>37519</v>
      </c>
      <c r="B17" s="164">
        <v>37621</v>
      </c>
      <c r="C17" s="17">
        <v>74.400000000000006</v>
      </c>
      <c r="D17" s="35">
        <v>74.400000000000006</v>
      </c>
      <c r="E17" s="93"/>
      <c r="F17" s="17">
        <v>37.200000000000003</v>
      </c>
      <c r="G17" s="35">
        <v>37.200000000000003</v>
      </c>
      <c r="H17" s="93"/>
    </row>
    <row r="18" spans="1:8" x14ac:dyDescent="0.25">
      <c r="A18" s="163">
        <v>37622</v>
      </c>
      <c r="B18" s="164">
        <v>37699</v>
      </c>
      <c r="C18" s="17">
        <v>74.400000000000006</v>
      </c>
      <c r="D18" s="35">
        <v>74.400000000000006</v>
      </c>
      <c r="E18" s="93"/>
      <c r="F18" s="17">
        <v>37.200000000000003</v>
      </c>
      <c r="G18" s="35">
        <v>37.200000000000003</v>
      </c>
      <c r="H18" s="93"/>
    </row>
    <row r="19" spans="1:8" ht="15.75" thickBot="1" x14ac:dyDescent="0.3">
      <c r="A19" s="180">
        <v>37700</v>
      </c>
      <c r="B19" s="181">
        <v>37802</v>
      </c>
      <c r="C19" s="65">
        <v>74.400000000000006</v>
      </c>
      <c r="D19" s="69">
        <v>74.400000000000006</v>
      </c>
      <c r="E19" s="94"/>
      <c r="F19" s="65">
        <v>37.200000000000003</v>
      </c>
      <c r="G19" s="69">
        <v>37.200000000000003</v>
      </c>
      <c r="H19" s="94"/>
    </row>
    <row r="20" spans="1:8" x14ac:dyDescent="0.25">
      <c r="A20" s="161">
        <v>37803</v>
      </c>
      <c r="B20" s="162">
        <v>37883</v>
      </c>
      <c r="C20" s="18">
        <v>74.400000000000006</v>
      </c>
      <c r="D20" s="60">
        <v>74.400000000000006</v>
      </c>
      <c r="E20" s="92"/>
      <c r="F20" s="18">
        <v>37.200000000000003</v>
      </c>
      <c r="G20" s="60">
        <v>37.200000000000003</v>
      </c>
      <c r="H20" s="92"/>
    </row>
    <row r="21" spans="1:8" x14ac:dyDescent="0.25">
      <c r="A21" s="163">
        <v>37884</v>
      </c>
      <c r="B21" s="164">
        <v>37986</v>
      </c>
      <c r="C21" s="17">
        <v>76.800000000000011</v>
      </c>
      <c r="D21" s="35">
        <v>76.800000000000011</v>
      </c>
      <c r="E21" s="93"/>
      <c r="F21" s="17">
        <v>38.400000000000006</v>
      </c>
      <c r="G21" s="35">
        <v>38.400000000000006</v>
      </c>
      <c r="H21" s="93"/>
    </row>
    <row r="22" spans="1:8" x14ac:dyDescent="0.25">
      <c r="A22" s="163">
        <v>37987</v>
      </c>
      <c r="B22" s="164">
        <v>38065</v>
      </c>
      <c r="C22" s="17">
        <v>76.800000000000011</v>
      </c>
      <c r="D22" s="35">
        <v>76.800000000000011</v>
      </c>
      <c r="E22" s="93"/>
      <c r="F22" s="17">
        <v>38.400000000000006</v>
      </c>
      <c r="G22" s="35">
        <v>38.400000000000006</v>
      </c>
      <c r="H22" s="93"/>
    </row>
    <row r="23" spans="1:8" ht="15.75" thickBot="1" x14ac:dyDescent="0.3">
      <c r="A23" s="180">
        <v>38066</v>
      </c>
      <c r="B23" s="181">
        <v>38168</v>
      </c>
      <c r="C23" s="65">
        <v>76.800000000000011</v>
      </c>
      <c r="D23" s="69">
        <v>76.800000000000011</v>
      </c>
      <c r="E23" s="94"/>
      <c r="F23" s="65">
        <v>38.400000000000006</v>
      </c>
      <c r="G23" s="69">
        <v>38.400000000000006</v>
      </c>
      <c r="H23" s="94"/>
    </row>
    <row r="24" spans="1:8" x14ac:dyDescent="0.25">
      <c r="A24" s="161">
        <v>38169</v>
      </c>
      <c r="B24" s="162">
        <v>38249</v>
      </c>
      <c r="C24" s="18">
        <v>76.800000000000011</v>
      </c>
      <c r="D24" s="60">
        <v>76.800000000000011</v>
      </c>
      <c r="E24" s="92"/>
      <c r="F24" s="18">
        <v>38.400000000000006</v>
      </c>
      <c r="G24" s="60">
        <v>38.400000000000006</v>
      </c>
      <c r="H24" s="92"/>
    </row>
    <row r="25" spans="1:8" x14ac:dyDescent="0.25">
      <c r="A25" s="163">
        <v>38250</v>
      </c>
      <c r="B25" s="164">
        <v>38352</v>
      </c>
      <c r="C25" s="17">
        <v>79.2</v>
      </c>
      <c r="D25" s="35">
        <v>79.2</v>
      </c>
      <c r="E25" s="93"/>
      <c r="F25" s="17">
        <v>39.6</v>
      </c>
      <c r="G25" s="35">
        <v>39.6</v>
      </c>
      <c r="H25" s="93"/>
    </row>
    <row r="26" spans="1:8" x14ac:dyDescent="0.25">
      <c r="A26" s="163">
        <v>38353</v>
      </c>
      <c r="B26" s="164">
        <v>38430</v>
      </c>
      <c r="C26" s="17">
        <v>79.2</v>
      </c>
      <c r="D26" s="35">
        <v>79.2</v>
      </c>
      <c r="E26" s="93"/>
      <c r="F26" s="17">
        <v>39.6</v>
      </c>
      <c r="G26" s="35">
        <v>39.6</v>
      </c>
      <c r="H26" s="93"/>
    </row>
    <row r="27" spans="1:8" ht="15.75" thickBot="1" x14ac:dyDescent="0.3">
      <c r="A27" s="180">
        <v>38431</v>
      </c>
      <c r="B27" s="181">
        <v>38533</v>
      </c>
      <c r="C27" s="65">
        <v>79.2</v>
      </c>
      <c r="D27" s="69">
        <v>79.2</v>
      </c>
      <c r="E27" s="94">
        <v>100</v>
      </c>
      <c r="F27" s="65">
        <v>39.6</v>
      </c>
      <c r="G27" s="69">
        <v>39.6</v>
      </c>
      <c r="H27" s="94">
        <v>50</v>
      </c>
    </row>
    <row r="28" spans="1:8" x14ac:dyDescent="0.25">
      <c r="A28" s="161">
        <v>38534</v>
      </c>
      <c r="B28" s="162">
        <v>38614</v>
      </c>
      <c r="C28" s="18">
        <v>79.2</v>
      </c>
      <c r="D28" s="60">
        <v>79.2</v>
      </c>
      <c r="E28" s="92">
        <v>100</v>
      </c>
      <c r="F28" s="18">
        <v>39.6</v>
      </c>
      <c r="G28" s="60">
        <v>39.6</v>
      </c>
      <c r="H28" s="92">
        <v>50</v>
      </c>
    </row>
    <row r="29" spans="1:8" x14ac:dyDescent="0.25">
      <c r="A29" s="163">
        <v>38615</v>
      </c>
      <c r="B29" s="164">
        <v>38717</v>
      </c>
      <c r="C29" s="17">
        <v>81.600000000000009</v>
      </c>
      <c r="D29" s="35">
        <v>81.600000000000009</v>
      </c>
      <c r="E29" s="93">
        <v>101.2</v>
      </c>
      <c r="F29" s="17">
        <v>40.800000000000004</v>
      </c>
      <c r="G29" s="35">
        <v>40.800000000000004</v>
      </c>
      <c r="H29" s="93">
        <v>50.6</v>
      </c>
    </row>
    <row r="30" spans="1:8" x14ac:dyDescent="0.25">
      <c r="A30" s="163">
        <v>38718</v>
      </c>
      <c r="B30" s="164">
        <v>38795</v>
      </c>
      <c r="C30" s="17">
        <v>81.600000000000009</v>
      </c>
      <c r="D30" s="35">
        <v>81.600000000000009</v>
      </c>
      <c r="E30" s="93">
        <v>101.2</v>
      </c>
      <c r="F30" s="17">
        <v>40.800000000000004</v>
      </c>
      <c r="G30" s="35">
        <v>40.800000000000004</v>
      </c>
      <c r="H30" s="93">
        <v>50.6</v>
      </c>
    </row>
    <row r="31" spans="1:8" ht="15.75" thickBot="1" x14ac:dyDescent="0.3">
      <c r="A31" s="180">
        <v>38796</v>
      </c>
      <c r="B31" s="181">
        <v>38898</v>
      </c>
      <c r="C31" s="65">
        <v>81.600000000000009</v>
      </c>
      <c r="D31" s="69">
        <v>81.600000000000009</v>
      </c>
      <c r="E31" s="94">
        <v>102.80000000000001</v>
      </c>
      <c r="F31" s="65">
        <v>40.800000000000004</v>
      </c>
      <c r="G31" s="69">
        <v>40.800000000000004</v>
      </c>
      <c r="H31" s="94">
        <v>51.400000000000006</v>
      </c>
    </row>
    <row r="32" spans="1:8" x14ac:dyDescent="0.25">
      <c r="A32" s="161">
        <v>38899</v>
      </c>
      <c r="B32" s="162">
        <v>38979</v>
      </c>
      <c r="C32" s="18">
        <v>81.600000000000009</v>
      </c>
      <c r="D32" s="60">
        <v>81.600000000000009</v>
      </c>
      <c r="E32" s="92">
        <v>102.80000000000001</v>
      </c>
      <c r="F32" s="18">
        <v>40.800000000000004</v>
      </c>
      <c r="G32" s="60">
        <v>40.800000000000004</v>
      </c>
      <c r="H32" s="92">
        <v>51.400000000000006</v>
      </c>
    </row>
    <row r="33" spans="1:8" x14ac:dyDescent="0.25">
      <c r="A33" s="163">
        <v>38980</v>
      </c>
      <c r="B33" s="164">
        <v>39082</v>
      </c>
      <c r="C33" s="17">
        <v>85.600000000000009</v>
      </c>
      <c r="D33" s="35">
        <v>85.600000000000009</v>
      </c>
      <c r="E33" s="93">
        <v>105.2</v>
      </c>
      <c r="F33" s="17">
        <v>42.800000000000004</v>
      </c>
      <c r="G33" s="35">
        <v>42.800000000000004</v>
      </c>
      <c r="H33" s="93">
        <v>52.6</v>
      </c>
    </row>
    <row r="34" spans="1:8" x14ac:dyDescent="0.25">
      <c r="A34" s="163">
        <v>39083</v>
      </c>
      <c r="B34" s="164">
        <v>39160</v>
      </c>
      <c r="C34" s="17">
        <v>85.600000000000009</v>
      </c>
      <c r="D34" s="35">
        <v>85.600000000000009</v>
      </c>
      <c r="E34" s="93">
        <v>105.2</v>
      </c>
      <c r="F34" s="17">
        <v>42.800000000000004</v>
      </c>
      <c r="G34" s="35">
        <v>42.800000000000004</v>
      </c>
      <c r="H34" s="93">
        <v>52.6</v>
      </c>
    </row>
    <row r="35" spans="1:8" ht="15.75" thickBot="1" x14ac:dyDescent="0.3">
      <c r="A35" s="180">
        <v>39161</v>
      </c>
      <c r="B35" s="181">
        <v>39263</v>
      </c>
      <c r="C35" s="65">
        <v>85.600000000000009</v>
      </c>
      <c r="D35" s="69">
        <v>85.600000000000009</v>
      </c>
      <c r="E35" s="94">
        <v>106</v>
      </c>
      <c r="F35" s="65">
        <v>42.800000000000004</v>
      </c>
      <c r="G35" s="69">
        <v>42.800000000000004</v>
      </c>
      <c r="H35" s="94">
        <v>53</v>
      </c>
    </row>
    <row r="36" spans="1:8" x14ac:dyDescent="0.25">
      <c r="A36" s="161">
        <v>39264</v>
      </c>
      <c r="B36" s="162">
        <v>39344</v>
      </c>
      <c r="C36" s="18">
        <v>85.600000000000009</v>
      </c>
      <c r="D36" s="60">
        <v>85.600000000000009</v>
      </c>
      <c r="E36" s="92">
        <v>106</v>
      </c>
      <c r="F36" s="18">
        <v>42.800000000000004</v>
      </c>
      <c r="G36" s="60">
        <v>42.800000000000004</v>
      </c>
      <c r="H36" s="92">
        <v>53</v>
      </c>
    </row>
    <row r="37" spans="1:8" x14ac:dyDescent="0.25">
      <c r="A37" s="163">
        <v>39345</v>
      </c>
      <c r="B37" s="164">
        <v>39447</v>
      </c>
      <c r="C37" s="17">
        <v>88</v>
      </c>
      <c r="D37" s="35">
        <v>88</v>
      </c>
      <c r="E37" s="93">
        <v>107.2</v>
      </c>
      <c r="F37" s="17">
        <v>44</v>
      </c>
      <c r="G37" s="35">
        <v>44</v>
      </c>
      <c r="H37" s="93">
        <v>53.6</v>
      </c>
    </row>
    <row r="38" spans="1:8" x14ac:dyDescent="0.25">
      <c r="A38" s="163">
        <v>39448</v>
      </c>
      <c r="B38" s="164">
        <v>39526</v>
      </c>
      <c r="C38" s="17">
        <v>88</v>
      </c>
      <c r="D38" s="35">
        <v>88</v>
      </c>
      <c r="E38" s="93">
        <v>107.2</v>
      </c>
      <c r="F38" s="17">
        <v>44</v>
      </c>
      <c r="G38" s="35">
        <v>44</v>
      </c>
      <c r="H38" s="93">
        <v>53.6</v>
      </c>
    </row>
    <row r="39" spans="1:8" ht="15.75" thickBot="1" x14ac:dyDescent="0.3">
      <c r="A39" s="180">
        <v>39527</v>
      </c>
      <c r="B39" s="181">
        <v>39629</v>
      </c>
      <c r="C39" s="65">
        <v>88</v>
      </c>
      <c r="D39" s="69">
        <v>132</v>
      </c>
      <c r="E39" s="94">
        <v>500</v>
      </c>
      <c r="F39" s="65">
        <v>44</v>
      </c>
      <c r="G39" s="69">
        <v>66</v>
      </c>
      <c r="H39" s="94">
        <v>250</v>
      </c>
    </row>
    <row r="40" spans="1:8" x14ac:dyDescent="0.25">
      <c r="A40" s="161">
        <v>39630</v>
      </c>
      <c r="B40" s="162">
        <v>39710</v>
      </c>
      <c r="C40" s="18">
        <v>88</v>
      </c>
      <c r="D40" s="60">
        <v>132</v>
      </c>
      <c r="E40" s="92">
        <v>500</v>
      </c>
      <c r="F40" s="18">
        <v>44</v>
      </c>
      <c r="G40" s="60">
        <v>66</v>
      </c>
      <c r="H40" s="92">
        <v>250</v>
      </c>
    </row>
    <row r="41" spans="1:8" x14ac:dyDescent="0.25">
      <c r="A41" s="163">
        <v>39711</v>
      </c>
      <c r="B41" s="164">
        <v>39813</v>
      </c>
      <c r="C41" s="17">
        <v>92</v>
      </c>
      <c r="D41" s="35">
        <v>138.4</v>
      </c>
      <c r="E41" s="93">
        <v>514</v>
      </c>
      <c r="F41" s="17">
        <v>46</v>
      </c>
      <c r="G41" s="35">
        <v>69.2</v>
      </c>
      <c r="H41" s="93">
        <v>257</v>
      </c>
    </row>
    <row r="42" spans="1:8" x14ac:dyDescent="0.25">
      <c r="A42" s="163">
        <v>39814</v>
      </c>
      <c r="B42" s="164">
        <v>39891</v>
      </c>
      <c r="C42" s="17">
        <v>92</v>
      </c>
      <c r="D42" s="35">
        <v>138.4</v>
      </c>
      <c r="E42" s="93">
        <v>514</v>
      </c>
      <c r="F42" s="17">
        <v>46</v>
      </c>
      <c r="G42" s="35">
        <v>69.2</v>
      </c>
      <c r="H42" s="93">
        <v>257</v>
      </c>
    </row>
    <row r="43" spans="1:8" ht="15.75" thickBot="1" x14ac:dyDescent="0.3">
      <c r="A43" s="180">
        <v>39892</v>
      </c>
      <c r="B43" s="181">
        <v>39994</v>
      </c>
      <c r="C43" s="65">
        <v>92</v>
      </c>
      <c r="D43" s="69">
        <v>138.4</v>
      </c>
      <c r="E43" s="94">
        <v>518.80000000000007</v>
      </c>
      <c r="F43" s="65">
        <v>46</v>
      </c>
      <c r="G43" s="69">
        <v>69.2</v>
      </c>
      <c r="H43" s="94">
        <v>259.40000000000003</v>
      </c>
    </row>
    <row r="44" spans="1:8" x14ac:dyDescent="0.25">
      <c r="A44" s="161">
        <v>39995</v>
      </c>
      <c r="B44" s="162">
        <v>40075</v>
      </c>
      <c r="C44" s="18">
        <v>92</v>
      </c>
      <c r="D44" s="60">
        <v>138.4</v>
      </c>
      <c r="E44" s="92">
        <v>518.80000000000007</v>
      </c>
      <c r="F44" s="18">
        <v>46</v>
      </c>
      <c r="G44" s="60">
        <v>69.2</v>
      </c>
      <c r="H44" s="92">
        <v>259.40000000000003</v>
      </c>
    </row>
    <row r="45" spans="1:8" x14ac:dyDescent="0.25">
      <c r="A45" s="163">
        <v>40076</v>
      </c>
      <c r="B45" s="164">
        <v>40178</v>
      </c>
      <c r="C45" s="17">
        <v>93.600000000000009</v>
      </c>
      <c r="D45" s="35">
        <v>140.80000000000001</v>
      </c>
      <c r="E45" s="93">
        <v>522</v>
      </c>
      <c r="F45" s="17">
        <v>46.800000000000004</v>
      </c>
      <c r="G45" s="35">
        <v>70.400000000000006</v>
      </c>
      <c r="H45" s="93">
        <v>261</v>
      </c>
    </row>
    <row r="46" spans="1:8" x14ac:dyDescent="0.25">
      <c r="A46" s="163">
        <v>40179</v>
      </c>
      <c r="B46" s="164">
        <v>40256</v>
      </c>
      <c r="C46" s="17">
        <v>93.600000000000009</v>
      </c>
      <c r="D46" s="35">
        <v>140.80000000000001</v>
      </c>
      <c r="E46" s="93">
        <v>522</v>
      </c>
      <c r="F46" s="17">
        <v>46.800000000000004</v>
      </c>
      <c r="G46" s="35">
        <v>70.400000000000006</v>
      </c>
      <c r="H46" s="93">
        <v>261</v>
      </c>
    </row>
    <row r="47" spans="1:8" ht="15.75" thickBot="1" x14ac:dyDescent="0.3">
      <c r="A47" s="180">
        <v>40257</v>
      </c>
      <c r="B47" s="181">
        <v>40359</v>
      </c>
      <c r="C47" s="65">
        <v>93.600000000000009</v>
      </c>
      <c r="D47" s="69">
        <v>140.80000000000001</v>
      </c>
      <c r="E47" s="94">
        <v>530</v>
      </c>
      <c r="F47" s="65">
        <v>46.800000000000004</v>
      </c>
      <c r="G47" s="69">
        <v>70.400000000000006</v>
      </c>
      <c r="H47" s="94">
        <v>265</v>
      </c>
    </row>
    <row r="48" spans="1:8" x14ac:dyDescent="0.25">
      <c r="A48" s="161">
        <v>40360</v>
      </c>
      <c r="B48" s="162">
        <v>40440</v>
      </c>
      <c r="C48" s="18">
        <v>93.600000000000009</v>
      </c>
      <c r="D48" s="60">
        <v>140.80000000000001</v>
      </c>
      <c r="E48" s="92">
        <v>530</v>
      </c>
      <c r="F48" s="18">
        <v>46.800000000000004</v>
      </c>
      <c r="G48" s="60">
        <v>70.400000000000006</v>
      </c>
      <c r="H48" s="92">
        <v>265</v>
      </c>
    </row>
    <row r="49" spans="1:8" x14ac:dyDescent="0.25">
      <c r="A49" s="163">
        <v>40441</v>
      </c>
      <c r="B49" s="164">
        <v>40543</v>
      </c>
      <c r="C49" s="17">
        <v>96.800000000000011</v>
      </c>
      <c r="D49" s="35">
        <v>145.6</v>
      </c>
      <c r="E49" s="93">
        <v>538</v>
      </c>
      <c r="F49" s="17">
        <v>48.400000000000006</v>
      </c>
      <c r="G49" s="35">
        <v>72.8</v>
      </c>
      <c r="H49" s="93">
        <v>269</v>
      </c>
    </row>
    <row r="50" spans="1:8" x14ac:dyDescent="0.25">
      <c r="A50" s="163">
        <v>40544</v>
      </c>
      <c r="B50" s="164">
        <v>40621</v>
      </c>
      <c r="C50" s="17">
        <v>96.800000000000011</v>
      </c>
      <c r="D50" s="35">
        <v>145.6</v>
      </c>
      <c r="E50" s="93">
        <v>538</v>
      </c>
      <c r="F50" s="17">
        <v>48.400000000000006</v>
      </c>
      <c r="G50" s="35">
        <v>72.8</v>
      </c>
      <c r="H50" s="93">
        <v>269</v>
      </c>
    </row>
    <row r="51" spans="1:8" ht="15.75" thickBot="1" x14ac:dyDescent="0.3">
      <c r="A51" s="180">
        <v>40622</v>
      </c>
      <c r="B51" s="181">
        <v>40724</v>
      </c>
      <c r="C51" s="65">
        <v>96.800000000000011</v>
      </c>
      <c r="D51" s="69">
        <v>145.6</v>
      </c>
      <c r="E51" s="94">
        <v>544</v>
      </c>
      <c r="F51" s="65">
        <v>48.400000000000006</v>
      </c>
      <c r="G51" s="69">
        <v>72.8</v>
      </c>
      <c r="H51" s="94">
        <v>272</v>
      </c>
    </row>
    <row r="52" spans="1:8" x14ac:dyDescent="0.25">
      <c r="A52" s="161">
        <v>40725</v>
      </c>
      <c r="B52" s="162">
        <v>40805</v>
      </c>
      <c r="C52" s="18">
        <v>96.800000000000011</v>
      </c>
      <c r="D52" s="60">
        <v>145.6</v>
      </c>
      <c r="E52" s="92">
        <v>544</v>
      </c>
      <c r="F52" s="18">
        <v>48.400000000000006</v>
      </c>
      <c r="G52" s="60">
        <v>72.8</v>
      </c>
      <c r="H52" s="92">
        <v>272</v>
      </c>
    </row>
    <row r="53" spans="1:8" x14ac:dyDescent="0.25">
      <c r="A53" s="163">
        <v>40806</v>
      </c>
      <c r="B53" s="164">
        <v>40908</v>
      </c>
      <c r="C53" s="17">
        <v>100.80000000000001</v>
      </c>
      <c r="D53" s="35">
        <v>151.20000000000002</v>
      </c>
      <c r="E53" s="93">
        <v>557.6</v>
      </c>
      <c r="F53" s="17">
        <v>50.400000000000006</v>
      </c>
      <c r="G53" s="35">
        <v>75.600000000000009</v>
      </c>
      <c r="H53" s="93">
        <v>278.8</v>
      </c>
    </row>
    <row r="54" spans="1:8" s="5" customFormat="1" x14ac:dyDescent="0.25">
      <c r="A54" s="496">
        <v>40909</v>
      </c>
      <c r="B54" s="497">
        <v>40987</v>
      </c>
      <c r="C54" s="375">
        <v>100.80000000000001</v>
      </c>
      <c r="D54" s="374">
        <v>151.20000000000002</v>
      </c>
      <c r="E54" s="373">
        <v>557.6</v>
      </c>
      <c r="F54" s="375">
        <v>50.400000000000006</v>
      </c>
      <c r="G54" s="374">
        <v>75.600000000000009</v>
      </c>
      <c r="H54" s="373">
        <v>278.8</v>
      </c>
    </row>
    <row r="55" spans="1:8" s="5" customFormat="1" ht="15.75" thickBot="1" x14ac:dyDescent="0.3">
      <c r="A55" s="538">
        <v>40988</v>
      </c>
      <c r="B55" s="539">
        <v>41090</v>
      </c>
      <c r="C55" s="540">
        <v>100.80000000000001</v>
      </c>
      <c r="D55" s="541">
        <v>151.20000000000002</v>
      </c>
      <c r="E55" s="542">
        <v>560.80000000000007</v>
      </c>
      <c r="F55" s="540">
        <v>50.400000000000006</v>
      </c>
      <c r="G55" s="541">
        <v>75.600000000000009</v>
      </c>
      <c r="H55" s="542">
        <v>280.40000000000003</v>
      </c>
    </row>
    <row r="56" spans="1:8" s="5" customFormat="1" x14ac:dyDescent="0.25">
      <c r="A56" s="531">
        <v>41091</v>
      </c>
      <c r="B56" s="532">
        <v>41171</v>
      </c>
      <c r="C56" s="534">
        <v>100.80000000000001</v>
      </c>
      <c r="D56" s="535">
        <v>151.20000000000002</v>
      </c>
      <c r="E56" s="533">
        <v>560.80000000000007</v>
      </c>
      <c r="F56" s="534">
        <v>50.400000000000006</v>
      </c>
      <c r="G56" s="535">
        <v>75.600000000000009</v>
      </c>
      <c r="H56" s="533">
        <v>280.40000000000003</v>
      </c>
    </row>
    <row r="57" spans="1:8" s="5" customFormat="1" x14ac:dyDescent="0.25">
      <c r="A57" s="496">
        <v>41172</v>
      </c>
      <c r="B57" s="497">
        <v>41274</v>
      </c>
      <c r="C57" s="375">
        <v>102.4</v>
      </c>
      <c r="D57" s="374">
        <v>153.60000000000002</v>
      </c>
      <c r="E57" s="373">
        <v>564</v>
      </c>
      <c r="F57" s="375">
        <v>51.2</v>
      </c>
      <c r="G57" s="374">
        <v>76.800000000000011</v>
      </c>
      <c r="H57" s="373">
        <v>282</v>
      </c>
    </row>
    <row r="58" spans="1:8" s="5" customFormat="1" x14ac:dyDescent="0.25">
      <c r="A58" s="496">
        <v>41275</v>
      </c>
      <c r="B58" s="497">
        <v>41352</v>
      </c>
      <c r="C58" s="375">
        <v>102.4</v>
      </c>
      <c r="D58" s="374">
        <v>153.60000000000002</v>
      </c>
      <c r="E58" s="373">
        <v>564</v>
      </c>
      <c r="F58" s="375">
        <v>51.2</v>
      </c>
      <c r="G58" s="374">
        <v>76.800000000000011</v>
      </c>
      <c r="H58" s="373">
        <v>282</v>
      </c>
    </row>
    <row r="59" spans="1:8" s="5" customFormat="1" ht="15.75" thickBot="1" x14ac:dyDescent="0.3">
      <c r="A59" s="538">
        <v>41353</v>
      </c>
      <c r="B59" s="539">
        <v>41455</v>
      </c>
      <c r="C59" s="540">
        <v>102.4</v>
      </c>
      <c r="D59" s="541">
        <v>153.60000000000002</v>
      </c>
      <c r="E59" s="542">
        <v>573.20000000000005</v>
      </c>
      <c r="F59" s="540">
        <v>51.2</v>
      </c>
      <c r="G59" s="541">
        <v>76.800000000000011</v>
      </c>
      <c r="H59" s="542">
        <v>286.60000000000002</v>
      </c>
    </row>
    <row r="60" spans="1:8" x14ac:dyDescent="0.25">
      <c r="A60" s="531">
        <v>41456</v>
      </c>
      <c r="B60" s="532">
        <v>41536</v>
      </c>
      <c r="C60" s="534">
        <v>102.4</v>
      </c>
      <c r="D60" s="535">
        <v>153.60000000000002</v>
      </c>
      <c r="E60" s="533">
        <v>573.20000000000005</v>
      </c>
      <c r="F60" s="534">
        <v>51.2</v>
      </c>
      <c r="G60" s="535">
        <v>76.800000000000011</v>
      </c>
      <c r="H60" s="533">
        <v>286.60000000000002</v>
      </c>
    </row>
    <row r="61" spans="1:8" x14ac:dyDescent="0.25">
      <c r="A61" s="496">
        <v>41537</v>
      </c>
      <c r="B61" s="497">
        <v>41639</v>
      </c>
      <c r="C61" s="375">
        <v>105.6</v>
      </c>
      <c r="D61" s="374">
        <v>157.6</v>
      </c>
      <c r="E61" s="373">
        <v>577.6</v>
      </c>
      <c r="F61" s="375">
        <v>52.8</v>
      </c>
      <c r="G61" s="374">
        <v>78.8</v>
      </c>
      <c r="H61" s="373">
        <v>288.8</v>
      </c>
    </row>
    <row r="62" spans="1:8" x14ac:dyDescent="0.25">
      <c r="A62" s="496">
        <v>41640</v>
      </c>
      <c r="B62" s="497">
        <v>41717</v>
      </c>
      <c r="C62" s="375">
        <v>105.6</v>
      </c>
      <c r="D62" s="374">
        <v>157.6</v>
      </c>
      <c r="E62" s="373">
        <v>577.6</v>
      </c>
      <c r="F62" s="375">
        <v>52.8</v>
      </c>
      <c r="G62" s="374">
        <v>78.8</v>
      </c>
      <c r="H62" s="373">
        <v>288.8</v>
      </c>
    </row>
    <row r="63" spans="1:8" ht="15.75" thickBot="1" x14ac:dyDescent="0.3">
      <c r="A63" s="538">
        <v>41718</v>
      </c>
      <c r="B63" s="539">
        <v>41820</v>
      </c>
      <c r="C63" s="540">
        <v>105.6</v>
      </c>
      <c r="D63" s="541">
        <v>157.6</v>
      </c>
      <c r="E63" s="542">
        <v>588.4</v>
      </c>
      <c r="F63" s="540">
        <v>52.8</v>
      </c>
      <c r="G63" s="541">
        <v>78.8</v>
      </c>
      <c r="H63" s="542">
        <v>294.2</v>
      </c>
    </row>
    <row r="64" spans="1:8" x14ac:dyDescent="0.25">
      <c r="A64" s="531">
        <v>41821</v>
      </c>
      <c r="B64" s="532">
        <v>41901</v>
      </c>
      <c r="C64" s="534">
        <v>105.6</v>
      </c>
      <c r="D64" s="535">
        <v>157.6</v>
      </c>
      <c r="E64" s="533">
        <v>588.4</v>
      </c>
      <c r="F64" s="534">
        <v>52.8</v>
      </c>
      <c r="G64" s="535">
        <v>78.8</v>
      </c>
      <c r="H64" s="533">
        <v>294.2</v>
      </c>
    </row>
    <row r="65" spans="1:12" x14ac:dyDescent="0.25">
      <c r="A65" s="496">
        <v>41902</v>
      </c>
      <c r="B65" s="497">
        <v>42004</v>
      </c>
      <c r="C65" s="375">
        <v>108.80000000000001</v>
      </c>
      <c r="D65" s="374">
        <v>162.4</v>
      </c>
      <c r="E65" s="373">
        <v>594.4</v>
      </c>
      <c r="F65" s="375">
        <v>54.400000000000006</v>
      </c>
      <c r="G65" s="374">
        <v>81.2</v>
      </c>
      <c r="H65" s="373">
        <v>297.2</v>
      </c>
    </row>
    <row r="66" spans="1:12" x14ac:dyDescent="0.25">
      <c r="A66" s="496">
        <v>42005</v>
      </c>
      <c r="B66" s="497">
        <v>42082</v>
      </c>
      <c r="C66" s="375">
        <v>108.80000000000001</v>
      </c>
      <c r="D66" s="374">
        <v>162.4</v>
      </c>
      <c r="E66" s="373">
        <v>594.4</v>
      </c>
      <c r="F66" s="375">
        <v>54.400000000000006</v>
      </c>
      <c r="G66" s="374">
        <v>81.2</v>
      </c>
      <c r="H66" s="373">
        <v>297.2</v>
      </c>
    </row>
    <row r="67" spans="1:12" ht="15.75" thickBot="1" x14ac:dyDescent="0.3">
      <c r="A67" s="538">
        <v>42083</v>
      </c>
      <c r="B67" s="539">
        <v>42185</v>
      </c>
      <c r="C67" s="540">
        <v>108.80000000000001</v>
      </c>
      <c r="D67" s="541">
        <v>162.4</v>
      </c>
      <c r="E67" s="542">
        <v>598.4</v>
      </c>
      <c r="F67" s="540">
        <v>54.400000000000006</v>
      </c>
      <c r="G67" s="541">
        <v>81.2</v>
      </c>
      <c r="H67" s="542">
        <v>299.2</v>
      </c>
    </row>
    <row r="68" spans="1:12" x14ac:dyDescent="0.25">
      <c r="A68" s="531">
        <v>42186</v>
      </c>
      <c r="B68" s="532">
        <v>42266</v>
      </c>
      <c r="C68" s="534">
        <v>108.80000000000001</v>
      </c>
      <c r="D68" s="535">
        <v>162.4</v>
      </c>
      <c r="E68" s="533">
        <v>598.4</v>
      </c>
      <c r="F68" s="534">
        <v>54.400000000000006</v>
      </c>
      <c r="G68" s="535">
        <v>81.2</v>
      </c>
      <c r="H68" s="533">
        <v>299.2</v>
      </c>
    </row>
    <row r="69" spans="1:12" x14ac:dyDescent="0.25">
      <c r="A69" s="496">
        <v>42267</v>
      </c>
      <c r="B69" s="497">
        <v>42369</v>
      </c>
      <c r="C69" s="375">
        <v>111.2</v>
      </c>
      <c r="D69" s="374">
        <v>165.60000000000002</v>
      </c>
      <c r="E69" s="373">
        <v>603.20000000000005</v>
      </c>
      <c r="F69" s="375">
        <v>55.6</v>
      </c>
      <c r="G69" s="374">
        <v>82.800000000000011</v>
      </c>
      <c r="H69" s="373">
        <v>301.60000000000002</v>
      </c>
    </row>
    <row r="70" spans="1:12" x14ac:dyDescent="0.25">
      <c r="A70" s="496">
        <v>42370</v>
      </c>
      <c r="B70" s="497">
        <v>42448</v>
      </c>
      <c r="C70" s="375">
        <v>111.2</v>
      </c>
      <c r="D70" s="374">
        <v>165.60000000000002</v>
      </c>
      <c r="E70" s="373">
        <v>603.20000000000005</v>
      </c>
      <c r="F70" s="375">
        <v>55.6</v>
      </c>
      <c r="G70" s="374">
        <v>82.800000000000011</v>
      </c>
      <c r="H70" s="373">
        <v>301.60000000000002</v>
      </c>
    </row>
    <row r="71" spans="1:12" ht="15.75" thickBot="1" x14ac:dyDescent="0.3">
      <c r="A71" s="538">
        <v>42449</v>
      </c>
      <c r="B71" s="539">
        <v>42551</v>
      </c>
      <c r="C71" s="540">
        <v>111.2</v>
      </c>
      <c r="D71" s="541">
        <v>165.60000000000002</v>
      </c>
      <c r="E71" s="542">
        <v>608</v>
      </c>
      <c r="F71" s="540">
        <v>55.6</v>
      </c>
      <c r="G71" s="541">
        <v>82.800000000000011</v>
      </c>
      <c r="H71" s="542">
        <v>304</v>
      </c>
    </row>
    <row r="72" spans="1:12" x14ac:dyDescent="0.25">
      <c r="A72" s="531">
        <v>42552</v>
      </c>
      <c r="B72" s="532">
        <v>42632</v>
      </c>
      <c r="C72" s="534">
        <v>111.2</v>
      </c>
      <c r="D72" s="535">
        <v>165.60000000000002</v>
      </c>
      <c r="E72" s="533">
        <v>608</v>
      </c>
      <c r="F72" s="534">
        <v>55.6</v>
      </c>
      <c r="G72" s="535">
        <v>82.800000000000011</v>
      </c>
      <c r="H72" s="533">
        <v>304</v>
      </c>
      <c r="J72" s="12"/>
      <c r="K72" s="12"/>
    </row>
    <row r="73" spans="1:12" x14ac:dyDescent="0.25">
      <c r="A73" s="496">
        <v>42633</v>
      </c>
      <c r="B73" s="497">
        <v>42735</v>
      </c>
      <c r="C73" s="375">
        <f>CEILING(C72*indexFctr("peCpiFp",$A72,12),0.8)</f>
        <v>112.80000000000001</v>
      </c>
      <c r="D73" s="374">
        <f>CEILING(D72*indexFctr("peCpiFp",$A72,12),0.8)</f>
        <v>168</v>
      </c>
      <c r="E73" s="373">
        <f>IndexAmt(E72,"peCpiFp",B71,0.4,6)</f>
        <v>609.20000000000005</v>
      </c>
      <c r="F73" s="375">
        <f>C73/2</f>
        <v>56.400000000000006</v>
      </c>
      <c r="G73" s="374">
        <f t="shared" ref="F73:H91" si="0">D73/2</f>
        <v>84</v>
      </c>
      <c r="H73" s="373">
        <f t="shared" si="0"/>
        <v>304.60000000000002</v>
      </c>
      <c r="K73" s="12"/>
      <c r="L73" s="12"/>
    </row>
    <row r="74" spans="1:12" x14ac:dyDescent="0.25">
      <c r="A74" s="496">
        <v>42736</v>
      </c>
      <c r="B74" s="497">
        <v>42813</v>
      </c>
      <c r="C74" s="375">
        <f>C73</f>
        <v>112.80000000000001</v>
      </c>
      <c r="D74" s="374">
        <f>D73</f>
        <v>168</v>
      </c>
      <c r="E74" s="373">
        <f>E73</f>
        <v>609.20000000000005</v>
      </c>
      <c r="F74" s="375">
        <f t="shared" si="0"/>
        <v>56.400000000000006</v>
      </c>
      <c r="G74" s="374">
        <f t="shared" si="0"/>
        <v>84</v>
      </c>
      <c r="H74" s="373">
        <f t="shared" si="0"/>
        <v>304.60000000000002</v>
      </c>
    </row>
    <row r="75" spans="1:12" ht="15.75" thickBot="1" x14ac:dyDescent="0.3">
      <c r="A75" s="538">
        <v>42814</v>
      </c>
      <c r="B75" s="539">
        <v>42916</v>
      </c>
      <c r="C75" s="540">
        <f>C74</f>
        <v>112.80000000000001</v>
      </c>
      <c r="D75" s="541">
        <f>D74</f>
        <v>168</v>
      </c>
      <c r="E75" s="542">
        <f>IndexAmt(E74,"peCpiFp",B73,0.4,6)</f>
        <v>617.20000000000005</v>
      </c>
      <c r="F75" s="540">
        <f t="shared" si="0"/>
        <v>56.400000000000006</v>
      </c>
      <c r="G75" s="541">
        <f t="shared" si="0"/>
        <v>84</v>
      </c>
      <c r="H75" s="542">
        <f t="shared" si="0"/>
        <v>308.60000000000002</v>
      </c>
    </row>
    <row r="76" spans="1:12" x14ac:dyDescent="0.25">
      <c r="A76" s="531">
        <v>42917</v>
      </c>
      <c r="B76" s="532">
        <v>42997</v>
      </c>
      <c r="C76" s="534">
        <f>C75</f>
        <v>112.80000000000001</v>
      </c>
      <c r="D76" s="535">
        <f>D75</f>
        <v>168</v>
      </c>
      <c r="E76" s="533">
        <f>E75</f>
        <v>617.20000000000005</v>
      </c>
      <c r="F76" s="534">
        <f t="shared" si="0"/>
        <v>56.400000000000006</v>
      </c>
      <c r="G76" s="535">
        <f t="shared" si="0"/>
        <v>84</v>
      </c>
      <c r="H76" s="533">
        <f t="shared" si="0"/>
        <v>308.60000000000002</v>
      </c>
    </row>
    <row r="77" spans="1:12" x14ac:dyDescent="0.25">
      <c r="A77" s="165">
        <v>42998</v>
      </c>
      <c r="B77" s="166">
        <v>43100</v>
      </c>
      <c r="C77" s="33">
        <f>CEILING(C76*indexFctr("peCpiFp",$A76,12),0.8)</f>
        <v>115.2</v>
      </c>
      <c r="D77" s="75">
        <f>CEILING(D76*indexFctr("peCpiFp",$A76,12),0.8)</f>
        <v>171.20000000000002</v>
      </c>
      <c r="E77" s="107">
        <f>IndexAmt(E76,"peCpiFp",B75,0.4,6)</f>
        <v>620.80000000000007</v>
      </c>
      <c r="F77" s="33">
        <f t="shared" si="0"/>
        <v>57.6</v>
      </c>
      <c r="G77" s="75">
        <f t="shared" si="0"/>
        <v>85.600000000000009</v>
      </c>
      <c r="H77" s="107">
        <f t="shared" si="0"/>
        <v>310.40000000000003</v>
      </c>
    </row>
    <row r="78" spans="1:12" x14ac:dyDescent="0.25">
      <c r="A78" s="165">
        <v>43101</v>
      </c>
      <c r="B78" s="166">
        <v>43178</v>
      </c>
      <c r="C78" s="33">
        <f>C77</f>
        <v>115.2</v>
      </c>
      <c r="D78" s="75">
        <f>D77</f>
        <v>171.20000000000002</v>
      </c>
      <c r="E78" s="107">
        <f>E77</f>
        <v>620.80000000000007</v>
      </c>
      <c r="F78" s="33">
        <f t="shared" si="0"/>
        <v>57.6</v>
      </c>
      <c r="G78" s="75">
        <f t="shared" si="0"/>
        <v>85.600000000000009</v>
      </c>
      <c r="H78" s="107">
        <f t="shared" si="0"/>
        <v>310.40000000000003</v>
      </c>
    </row>
    <row r="79" spans="1:12" ht="15.75" thickBot="1" x14ac:dyDescent="0.3">
      <c r="A79" s="167">
        <v>43179</v>
      </c>
      <c r="B79" s="168">
        <v>43281</v>
      </c>
      <c r="C79" s="77">
        <f>C78</f>
        <v>115.2</v>
      </c>
      <c r="D79" s="79">
        <f>D78</f>
        <v>171.20000000000002</v>
      </c>
      <c r="E79" s="111">
        <f>IndexAmt(E78,"peCpiFp",B77,0.4,6)</f>
        <v>627.20000000000005</v>
      </c>
      <c r="F79" s="77">
        <f t="shared" si="0"/>
        <v>57.6</v>
      </c>
      <c r="G79" s="79">
        <f t="shared" si="0"/>
        <v>85.600000000000009</v>
      </c>
      <c r="H79" s="111">
        <f t="shared" si="0"/>
        <v>313.60000000000002</v>
      </c>
    </row>
    <row r="80" spans="1:12" x14ac:dyDescent="0.25">
      <c r="A80" s="169">
        <v>43282</v>
      </c>
      <c r="B80" s="170">
        <v>43362</v>
      </c>
      <c r="C80" s="188">
        <f>C79</f>
        <v>115.2</v>
      </c>
      <c r="D80" s="172">
        <f>D79</f>
        <v>171.20000000000002</v>
      </c>
      <c r="E80" s="189">
        <f>E79</f>
        <v>627.20000000000005</v>
      </c>
      <c r="F80" s="188">
        <f t="shared" si="0"/>
        <v>57.6</v>
      </c>
      <c r="G80" s="172">
        <f t="shared" si="0"/>
        <v>85.600000000000009</v>
      </c>
      <c r="H80" s="189">
        <f t="shared" si="0"/>
        <v>313.60000000000002</v>
      </c>
    </row>
    <row r="81" spans="1:8" x14ac:dyDescent="0.25">
      <c r="A81" s="165">
        <v>43363</v>
      </c>
      <c r="B81" s="166">
        <v>43465</v>
      </c>
      <c r="C81" s="33">
        <f>CEILING(C80*indexFctr("peCpiFp",$A80,12),0.8)</f>
        <v>117.60000000000001</v>
      </c>
      <c r="D81" s="75">
        <f>CEILING(D80*indexFctr("peCpiFp",$A80,12),0.8)</f>
        <v>175.20000000000002</v>
      </c>
      <c r="E81" s="107">
        <f>IndexAmt(E80,"peCpiFp",B79,0.4,6)</f>
        <v>633.6</v>
      </c>
      <c r="F81" s="33">
        <f t="shared" si="0"/>
        <v>58.800000000000004</v>
      </c>
      <c r="G81" s="75">
        <f t="shared" si="0"/>
        <v>87.600000000000009</v>
      </c>
      <c r="H81" s="107">
        <f t="shared" si="0"/>
        <v>316.8</v>
      </c>
    </row>
    <row r="82" spans="1:8" x14ac:dyDescent="0.25">
      <c r="A82" s="165">
        <v>43466</v>
      </c>
      <c r="B82" s="166">
        <v>43543</v>
      </c>
      <c r="C82" s="33">
        <f t="shared" ref="C82:E91" si="1">C81</f>
        <v>117.60000000000001</v>
      </c>
      <c r="D82" s="75">
        <f t="shared" si="1"/>
        <v>175.20000000000002</v>
      </c>
      <c r="E82" s="107">
        <f t="shared" si="1"/>
        <v>633.6</v>
      </c>
      <c r="F82" s="33">
        <f t="shared" si="0"/>
        <v>58.800000000000004</v>
      </c>
      <c r="G82" s="75">
        <f t="shared" si="0"/>
        <v>87.600000000000009</v>
      </c>
      <c r="H82" s="107">
        <f t="shared" si="0"/>
        <v>316.8</v>
      </c>
    </row>
    <row r="83" spans="1:8" ht="15.75" thickBot="1" x14ac:dyDescent="0.3">
      <c r="A83" s="167">
        <v>43544</v>
      </c>
      <c r="B83" s="168">
        <v>43646</v>
      </c>
      <c r="C83" s="77">
        <f t="shared" si="1"/>
        <v>117.60000000000001</v>
      </c>
      <c r="D83" s="79">
        <f t="shared" si="1"/>
        <v>175.20000000000002</v>
      </c>
      <c r="E83" s="111">
        <f>IndexAmt(E82,"peCpiFp",B81,0.4,6)</f>
        <v>640.40000000000009</v>
      </c>
      <c r="F83" s="77">
        <f t="shared" si="0"/>
        <v>58.800000000000004</v>
      </c>
      <c r="G83" s="79">
        <f t="shared" si="0"/>
        <v>87.600000000000009</v>
      </c>
      <c r="H83" s="111">
        <f t="shared" si="0"/>
        <v>320.20000000000005</v>
      </c>
    </row>
    <row r="84" spans="1:8" x14ac:dyDescent="0.25">
      <c r="A84" s="169">
        <v>43647</v>
      </c>
      <c r="B84" s="170">
        <v>43727</v>
      </c>
      <c r="C84" s="188">
        <f t="shared" si="1"/>
        <v>117.60000000000001</v>
      </c>
      <c r="D84" s="172">
        <f t="shared" si="1"/>
        <v>175.20000000000002</v>
      </c>
      <c r="E84" s="189">
        <f t="shared" si="1"/>
        <v>640.40000000000009</v>
      </c>
      <c r="F84" s="188">
        <f t="shared" si="0"/>
        <v>58.800000000000004</v>
      </c>
      <c r="G84" s="172">
        <f t="shared" si="0"/>
        <v>87.600000000000009</v>
      </c>
      <c r="H84" s="189">
        <f t="shared" si="0"/>
        <v>320.20000000000005</v>
      </c>
    </row>
    <row r="85" spans="1:8" x14ac:dyDescent="0.25">
      <c r="A85" s="165">
        <v>43728</v>
      </c>
      <c r="B85" s="166">
        <v>43830</v>
      </c>
      <c r="C85" s="33">
        <f>CEILING(C84*indexFctr("peCpiFp",$A84,12),0.8)</f>
        <v>120.80000000000001</v>
      </c>
      <c r="D85" s="75">
        <f>CEILING(D84*indexFctr("peCpiFp",$A84,12),0.8)</f>
        <v>179.20000000000002</v>
      </c>
      <c r="E85" s="107">
        <f>IndexAmt(E84,"peCpiFp",B83,0.4,6)</f>
        <v>647.6</v>
      </c>
      <c r="F85" s="33">
        <f t="shared" si="0"/>
        <v>60.400000000000006</v>
      </c>
      <c r="G85" s="75">
        <f t="shared" si="0"/>
        <v>89.600000000000009</v>
      </c>
      <c r="H85" s="107">
        <f t="shared" si="0"/>
        <v>323.8</v>
      </c>
    </row>
    <row r="86" spans="1:8" x14ac:dyDescent="0.25">
      <c r="A86" s="165">
        <v>43831</v>
      </c>
      <c r="B86" s="166">
        <v>43909</v>
      </c>
      <c r="C86" s="33">
        <f t="shared" si="1"/>
        <v>120.80000000000001</v>
      </c>
      <c r="D86" s="75">
        <f t="shared" si="1"/>
        <v>179.20000000000002</v>
      </c>
      <c r="E86" s="107">
        <f t="shared" si="1"/>
        <v>647.6</v>
      </c>
      <c r="F86" s="33">
        <f t="shared" si="0"/>
        <v>60.400000000000006</v>
      </c>
      <c r="G86" s="75">
        <f t="shared" si="0"/>
        <v>89.600000000000009</v>
      </c>
      <c r="H86" s="107">
        <f t="shared" si="0"/>
        <v>323.8</v>
      </c>
    </row>
    <row r="87" spans="1:8" ht="15.75" thickBot="1" x14ac:dyDescent="0.3">
      <c r="A87" s="167">
        <v>43910</v>
      </c>
      <c r="B87" s="168">
        <v>44012</v>
      </c>
      <c r="C87" s="77">
        <f t="shared" si="1"/>
        <v>120.80000000000001</v>
      </c>
      <c r="D87" s="79">
        <f t="shared" si="1"/>
        <v>179.20000000000002</v>
      </c>
      <c r="E87" s="111">
        <f>IndexAmt(E86,"peCpiFp",B85,0.4,6)</f>
        <v>655.20000000000005</v>
      </c>
      <c r="F87" s="77">
        <f t="shared" si="0"/>
        <v>60.400000000000006</v>
      </c>
      <c r="G87" s="79">
        <f t="shared" si="0"/>
        <v>89.600000000000009</v>
      </c>
      <c r="H87" s="111">
        <f t="shared" si="0"/>
        <v>327.60000000000002</v>
      </c>
    </row>
    <row r="88" spans="1:8" x14ac:dyDescent="0.25">
      <c r="A88" s="169">
        <v>44013</v>
      </c>
      <c r="B88" s="170">
        <v>44093</v>
      </c>
      <c r="C88" s="188">
        <f t="shared" si="1"/>
        <v>120.80000000000001</v>
      </c>
      <c r="D88" s="172">
        <f t="shared" si="1"/>
        <v>179.20000000000002</v>
      </c>
      <c r="E88" s="189">
        <f t="shared" si="1"/>
        <v>655.20000000000005</v>
      </c>
      <c r="F88" s="188">
        <f t="shared" si="0"/>
        <v>60.400000000000006</v>
      </c>
      <c r="G88" s="172">
        <f t="shared" si="0"/>
        <v>89.600000000000009</v>
      </c>
      <c r="H88" s="189">
        <f t="shared" si="0"/>
        <v>327.60000000000002</v>
      </c>
    </row>
    <row r="89" spans="1:8" x14ac:dyDescent="0.25">
      <c r="A89" s="165">
        <v>44094</v>
      </c>
      <c r="B89" s="166">
        <v>44196</v>
      </c>
      <c r="C89" s="33">
        <f>CEILING(C88*indexFctr("peCpiFp",$A88,12),0.8)</f>
        <v>124</v>
      </c>
      <c r="D89" s="75">
        <f>CEILING(D88*indexFctr("peCpiFp",$A88,12),0.8)</f>
        <v>184</v>
      </c>
      <c r="E89" s="107">
        <f>IndexAmt(E88,"peCpiFp",B87,0.4,6)</f>
        <v>663.6</v>
      </c>
      <c r="F89" s="33">
        <f t="shared" si="0"/>
        <v>62</v>
      </c>
      <c r="G89" s="75">
        <f t="shared" si="0"/>
        <v>92</v>
      </c>
      <c r="H89" s="107">
        <f t="shared" si="0"/>
        <v>331.8</v>
      </c>
    </row>
    <row r="90" spans="1:8" x14ac:dyDescent="0.25">
      <c r="A90" s="165">
        <v>44197</v>
      </c>
      <c r="B90" s="166">
        <v>44274</v>
      </c>
      <c r="C90" s="33">
        <f t="shared" si="1"/>
        <v>124</v>
      </c>
      <c r="D90" s="75">
        <f t="shared" si="1"/>
        <v>184</v>
      </c>
      <c r="E90" s="107">
        <f t="shared" si="1"/>
        <v>663.6</v>
      </c>
      <c r="F90" s="33">
        <f t="shared" si="0"/>
        <v>62</v>
      </c>
      <c r="G90" s="75">
        <f t="shared" si="0"/>
        <v>92</v>
      </c>
      <c r="H90" s="107">
        <f t="shared" si="0"/>
        <v>331.8</v>
      </c>
    </row>
    <row r="91" spans="1:8" ht="15.75" thickBot="1" x14ac:dyDescent="0.3">
      <c r="A91" s="167">
        <v>44275</v>
      </c>
      <c r="B91" s="168">
        <v>44377</v>
      </c>
      <c r="C91" s="77">
        <f t="shared" si="1"/>
        <v>124</v>
      </c>
      <c r="D91" s="79">
        <f t="shared" si="1"/>
        <v>184</v>
      </c>
      <c r="E91" s="111">
        <f>IndexAmt(E90,"peCpiFp",B89,0.4,6)</f>
        <v>672.40000000000009</v>
      </c>
      <c r="F91" s="77">
        <f t="shared" si="0"/>
        <v>62</v>
      </c>
      <c r="G91" s="79">
        <f t="shared" si="0"/>
        <v>92</v>
      </c>
      <c r="H91" s="111">
        <f t="shared" si="0"/>
        <v>336.20000000000005</v>
      </c>
    </row>
  </sheetData>
  <customSheetViews>
    <customSheetView guid="{E49C2F27-B0B9-497E-BEC0-5B59561292FE}">
      <pane xSplit="2" ySplit="7" topLeftCell="C62" activePane="bottomRight" state="frozen"/>
      <selection pane="bottomRight" activeCell="P89" sqref="P89"/>
      <pageMargins left="0.7" right="0.7" top="0.75" bottom="0.75" header="0.3" footer="0.3"/>
    </customSheetView>
    <customSheetView guid="{A5953138-1481-4137-BEAD-32FA4FDF03E6}">
      <pane xSplit="2" ySplit="7" topLeftCell="C62" activePane="bottomRight" state="frozen"/>
      <selection pane="bottomRight" activeCell="P89" sqref="P89"/>
      <pageMargins left="0.7" right="0.7" top="0.75" bottom="0.75" header="0.3" footer="0.3"/>
    </customSheetView>
    <customSheetView guid="{2A1F94CA-1A34-4418-88FD-EABF7586C2B2}">
      <pane xSplit="2" ySplit="7" topLeftCell="C62" activePane="bottomRight" state="frozen"/>
      <selection pane="bottomRight" activeCell="P89" sqref="P89"/>
      <pageMargins left="0.7" right="0.7" top="0.75" bottom="0.75" header="0.3" footer="0.3"/>
    </customSheetView>
  </customSheetViews>
  <mergeCells count="10">
    <mergeCell ref="C1:H1"/>
    <mergeCell ref="H4:H6"/>
    <mergeCell ref="A2:B3"/>
    <mergeCell ref="A4:A6"/>
    <mergeCell ref="B4:B6"/>
    <mergeCell ref="C2:E3"/>
    <mergeCell ref="F2:H3"/>
    <mergeCell ref="F4:G5"/>
    <mergeCell ref="C4:D5"/>
    <mergeCell ref="E4:E6"/>
  </mergeCells>
  <pageMargins left="0.7" right="0.7" top="0.75" bottom="0.75" header="0.3" footer="0.3"/>
  <legacyDrawing r:id="rId1"/>
</worksheet>
</file>

<file path=xl/worksheets/sheet3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E00-000000000000}">
  <sheetPr codeName="Sheet61">
    <tabColor rgb="FF00B0F0"/>
  </sheetPr>
  <dimension ref="A1:H28"/>
  <sheetViews>
    <sheetView workbookViewId="0">
      <selection activeCell="N31" sqref="N31"/>
    </sheetView>
  </sheetViews>
  <sheetFormatPr defaultRowHeight="15" x14ac:dyDescent="0.25"/>
  <cols>
    <col min="1" max="1" width="9.7109375" style="28" bestFit="1" customWidth="1"/>
    <col min="2" max="2" width="10.7109375" style="28" bestFit="1" customWidth="1"/>
    <col min="3" max="8" width="15.7109375" style="28" customWidth="1"/>
    <col min="9" max="16384" width="9.140625" style="28"/>
  </cols>
  <sheetData>
    <row r="1" spans="1:8" ht="15.75" thickBot="1" x14ac:dyDescent="0.3">
      <c r="C1" s="1330" t="s">
        <v>67</v>
      </c>
      <c r="D1" s="1331"/>
      <c r="E1" s="1331"/>
      <c r="F1" s="1331"/>
      <c r="G1" s="1331"/>
      <c r="H1" s="1332"/>
    </row>
    <row r="2" spans="1:8" ht="15" customHeight="1" x14ac:dyDescent="0.25">
      <c r="A2" s="1164" t="s">
        <v>13</v>
      </c>
      <c r="B2" s="1214"/>
      <c r="C2" s="1164" t="s">
        <v>135</v>
      </c>
      <c r="D2" s="1214"/>
      <c r="E2" s="1165"/>
      <c r="F2" s="1164" t="s">
        <v>53</v>
      </c>
      <c r="G2" s="1214"/>
      <c r="H2" s="1165"/>
    </row>
    <row r="3" spans="1:8" ht="15.75" thickBot="1" x14ac:dyDescent="0.3">
      <c r="A3" s="1215"/>
      <c r="B3" s="1216"/>
      <c r="C3" s="1166"/>
      <c r="D3" s="1217"/>
      <c r="E3" s="1167"/>
      <c r="F3" s="1166"/>
      <c r="G3" s="1217"/>
      <c r="H3" s="1167"/>
    </row>
    <row r="4" spans="1:8" ht="15" customHeight="1" x14ac:dyDescent="0.25">
      <c r="A4" s="1188" t="s">
        <v>16</v>
      </c>
      <c r="B4" s="1176" t="s">
        <v>17</v>
      </c>
      <c r="C4" s="1254" t="s">
        <v>138</v>
      </c>
      <c r="D4" s="1328"/>
      <c r="E4" s="1157" t="s">
        <v>139</v>
      </c>
      <c r="F4" s="1254" t="s">
        <v>138</v>
      </c>
      <c r="G4" s="1255"/>
      <c r="H4" s="1157" t="s">
        <v>139</v>
      </c>
    </row>
    <row r="5" spans="1:8" ht="15.75" thickBot="1" x14ac:dyDescent="0.3">
      <c r="A5" s="1188"/>
      <c r="B5" s="1176"/>
      <c r="C5" s="1266"/>
      <c r="D5" s="1329"/>
      <c r="E5" s="1158"/>
      <c r="F5" s="1266"/>
      <c r="G5" s="1267"/>
      <c r="H5" s="1158"/>
    </row>
    <row r="6" spans="1:8" ht="15.75" thickBot="1" x14ac:dyDescent="0.3">
      <c r="A6" s="1207"/>
      <c r="B6" s="1177"/>
      <c r="C6" s="381" t="s">
        <v>136</v>
      </c>
      <c r="D6" s="380" t="s">
        <v>137</v>
      </c>
      <c r="E6" s="1158"/>
      <c r="F6" s="381" t="s">
        <v>136</v>
      </c>
      <c r="G6" s="380" t="s">
        <v>137</v>
      </c>
      <c r="H6" s="1159"/>
    </row>
    <row r="7" spans="1:8" ht="15.75" thickBot="1" x14ac:dyDescent="0.3">
      <c r="A7" s="713" t="s">
        <v>550</v>
      </c>
      <c r="B7" s="714" t="s">
        <v>551</v>
      </c>
      <c r="C7" s="83" t="s">
        <v>584</v>
      </c>
      <c r="D7" s="84" t="s">
        <v>585</v>
      </c>
      <c r="E7" s="82" t="s">
        <v>586</v>
      </c>
      <c r="F7" s="83" t="s">
        <v>587</v>
      </c>
      <c r="G7" s="84" t="s">
        <v>588</v>
      </c>
      <c r="H7" s="84" t="s">
        <v>589</v>
      </c>
    </row>
    <row r="8" spans="1:8" x14ac:dyDescent="0.25">
      <c r="A8" s="161">
        <v>36708</v>
      </c>
      <c r="B8" s="162">
        <v>37072</v>
      </c>
      <c r="C8" s="18">
        <f>AnnualAverage($A8,C$7,TelephoneUtilityParms,TelephoneUtilityDates,TelephoneUtilityNames)</f>
        <v>68.246153846153845</v>
      </c>
      <c r="D8" s="60">
        <f t="shared" ref="C8:H17" si="0">AnnualAverage($A8,D$7,TelephoneUtilityParms,TelephoneUtilityDates,TelephoneUtilityNames)</f>
        <v>68.246153846153845</v>
      </c>
      <c r="E8" s="92">
        <f t="shared" si="0"/>
        <v>0</v>
      </c>
      <c r="F8" s="18">
        <f t="shared" si="0"/>
        <v>34.123076923076923</v>
      </c>
      <c r="G8" s="60">
        <f t="shared" si="0"/>
        <v>34.123076923076923</v>
      </c>
      <c r="H8" s="92">
        <f t="shared" si="0"/>
        <v>0</v>
      </c>
    </row>
    <row r="9" spans="1:8" x14ac:dyDescent="0.25">
      <c r="A9" s="163">
        <v>37073</v>
      </c>
      <c r="B9" s="164">
        <v>37437</v>
      </c>
      <c r="C9" s="17">
        <f t="shared" si="0"/>
        <v>71.261538461538464</v>
      </c>
      <c r="D9" s="35">
        <f t="shared" si="0"/>
        <v>71.261538461538464</v>
      </c>
      <c r="E9" s="93">
        <f t="shared" si="0"/>
        <v>0</v>
      </c>
      <c r="F9" s="17">
        <f t="shared" si="0"/>
        <v>35.630769230769232</v>
      </c>
      <c r="G9" s="35">
        <f t="shared" si="0"/>
        <v>35.630769230769232</v>
      </c>
      <c r="H9" s="93">
        <f t="shared" si="0"/>
        <v>0</v>
      </c>
    </row>
    <row r="10" spans="1:8" x14ac:dyDescent="0.25">
      <c r="A10" s="163">
        <v>37438</v>
      </c>
      <c r="B10" s="164">
        <v>37802</v>
      </c>
      <c r="C10" s="17">
        <f t="shared" si="0"/>
        <v>73.846153846153854</v>
      </c>
      <c r="D10" s="35">
        <f t="shared" si="0"/>
        <v>73.846153846153854</v>
      </c>
      <c r="E10" s="93">
        <f t="shared" si="0"/>
        <v>0</v>
      </c>
      <c r="F10" s="17">
        <f t="shared" si="0"/>
        <v>36.923076923076927</v>
      </c>
      <c r="G10" s="35">
        <f t="shared" si="0"/>
        <v>36.923076923076927</v>
      </c>
      <c r="H10" s="93">
        <f t="shared" si="0"/>
        <v>0</v>
      </c>
    </row>
    <row r="11" spans="1:8" x14ac:dyDescent="0.25">
      <c r="A11" s="163">
        <v>37803</v>
      </c>
      <c r="B11" s="164">
        <v>38168</v>
      </c>
      <c r="C11" s="17">
        <f t="shared" si="0"/>
        <v>76.246153846153845</v>
      </c>
      <c r="D11" s="35">
        <f t="shared" si="0"/>
        <v>76.246153846153845</v>
      </c>
      <c r="E11" s="93">
        <f t="shared" si="0"/>
        <v>0</v>
      </c>
      <c r="F11" s="17">
        <f t="shared" si="0"/>
        <v>38.123076923076923</v>
      </c>
      <c r="G11" s="35">
        <f t="shared" si="0"/>
        <v>38.123076923076923</v>
      </c>
      <c r="H11" s="93">
        <f t="shared" si="0"/>
        <v>0</v>
      </c>
    </row>
    <row r="12" spans="1:8" x14ac:dyDescent="0.25">
      <c r="A12" s="163">
        <v>38169</v>
      </c>
      <c r="B12" s="164">
        <v>38533</v>
      </c>
      <c r="C12" s="17">
        <f t="shared" si="0"/>
        <v>78.666666666666671</v>
      </c>
      <c r="D12" s="35">
        <f t="shared" si="0"/>
        <v>78.666666666666671</v>
      </c>
      <c r="E12" s="93">
        <f t="shared" si="0"/>
        <v>29.62962962962963</v>
      </c>
      <c r="F12" s="17">
        <f t="shared" si="0"/>
        <v>39.333333333333336</v>
      </c>
      <c r="G12" s="35">
        <f t="shared" si="0"/>
        <v>39.333333333333336</v>
      </c>
      <c r="H12" s="93">
        <f t="shared" si="0"/>
        <v>14.814814814814815</v>
      </c>
    </row>
    <row r="13" spans="1:8" x14ac:dyDescent="0.25">
      <c r="A13" s="163">
        <v>38534</v>
      </c>
      <c r="B13" s="164">
        <v>38898</v>
      </c>
      <c r="C13" s="17">
        <f t="shared" si="0"/>
        <v>81.138461538461542</v>
      </c>
      <c r="D13" s="35">
        <f t="shared" si="0"/>
        <v>81.138461538461542</v>
      </c>
      <c r="E13" s="93">
        <f t="shared" si="0"/>
        <v>101.46153846153847</v>
      </c>
      <c r="F13" s="17">
        <f t="shared" si="0"/>
        <v>40.569230769230771</v>
      </c>
      <c r="G13" s="35">
        <f t="shared" si="0"/>
        <v>40.569230769230771</v>
      </c>
      <c r="H13" s="93">
        <f t="shared" si="0"/>
        <v>50.730769230769234</v>
      </c>
    </row>
    <row r="14" spans="1:8" x14ac:dyDescent="0.25">
      <c r="A14" s="163">
        <v>38899</v>
      </c>
      <c r="B14" s="164">
        <v>39263</v>
      </c>
      <c r="C14" s="17">
        <f t="shared" si="0"/>
        <v>84.830769230769221</v>
      </c>
      <c r="D14" s="35">
        <f t="shared" si="0"/>
        <v>84.830769230769221</v>
      </c>
      <c r="E14" s="93">
        <f t="shared" si="0"/>
        <v>104.98461538461538</v>
      </c>
      <c r="F14" s="17">
        <f t="shared" si="0"/>
        <v>42.41538461538461</v>
      </c>
      <c r="G14" s="35">
        <f t="shared" si="0"/>
        <v>42.41538461538461</v>
      </c>
      <c r="H14" s="93">
        <f t="shared" si="0"/>
        <v>52.492307692307691</v>
      </c>
    </row>
    <row r="15" spans="1:8" x14ac:dyDescent="0.25">
      <c r="A15" s="163">
        <v>39264</v>
      </c>
      <c r="B15" s="164">
        <v>39629</v>
      </c>
      <c r="C15" s="17">
        <f t="shared" si="0"/>
        <v>87.538461538461533</v>
      </c>
      <c r="D15" s="35">
        <f t="shared" si="0"/>
        <v>101.07692307692308</v>
      </c>
      <c r="E15" s="93">
        <f t="shared" si="0"/>
        <v>227.83076923076922</v>
      </c>
      <c r="F15" s="17">
        <f t="shared" si="0"/>
        <v>43.769230769230766</v>
      </c>
      <c r="G15" s="35">
        <f t="shared" si="0"/>
        <v>50.53846153846154</v>
      </c>
      <c r="H15" s="93">
        <f t="shared" si="0"/>
        <v>113.91538461538461</v>
      </c>
    </row>
    <row r="16" spans="1:8" x14ac:dyDescent="0.25">
      <c r="A16" s="163">
        <v>39630</v>
      </c>
      <c r="B16" s="164">
        <v>39994</v>
      </c>
      <c r="C16" s="17">
        <f t="shared" si="0"/>
        <v>91.07692307692308</v>
      </c>
      <c r="D16" s="35">
        <f t="shared" si="0"/>
        <v>136.92307692307693</v>
      </c>
      <c r="E16" s="93">
        <f t="shared" si="0"/>
        <v>512.06153846153848</v>
      </c>
      <c r="F16" s="17">
        <f t="shared" si="0"/>
        <v>45.53846153846154</v>
      </c>
      <c r="G16" s="35">
        <f t="shared" si="0"/>
        <v>68.461538461538467</v>
      </c>
      <c r="H16" s="93">
        <f t="shared" si="0"/>
        <v>256.03076923076924</v>
      </c>
    </row>
    <row r="17" spans="1:8" x14ac:dyDescent="0.25">
      <c r="A17" s="163">
        <v>39995</v>
      </c>
      <c r="B17" s="164">
        <v>40359</v>
      </c>
      <c r="C17" s="17">
        <f t="shared" si="0"/>
        <v>93.230769230769226</v>
      </c>
      <c r="D17" s="35">
        <f t="shared" si="0"/>
        <v>140.24615384615385</v>
      </c>
      <c r="E17" s="93">
        <f t="shared" si="0"/>
        <v>523.4153846153846</v>
      </c>
      <c r="F17" s="17">
        <f t="shared" si="0"/>
        <v>46.615384615384613</v>
      </c>
      <c r="G17" s="35">
        <f t="shared" si="0"/>
        <v>70.123076923076923</v>
      </c>
      <c r="H17" s="93">
        <f t="shared" si="0"/>
        <v>261.7076923076923</v>
      </c>
    </row>
    <row r="18" spans="1:8" x14ac:dyDescent="0.25">
      <c r="A18" s="163">
        <v>40360</v>
      </c>
      <c r="B18" s="164">
        <v>40724</v>
      </c>
      <c r="C18" s="17">
        <f t="shared" ref="C18:H27" si="1">AnnualAverage($A18,C$7,TelephoneUtilityParms,TelephoneUtilityDates,TelephoneUtilityNames)</f>
        <v>96.061538461538461</v>
      </c>
      <c r="D18" s="35">
        <f t="shared" si="1"/>
        <v>144.49230769230769</v>
      </c>
      <c r="E18" s="93">
        <f t="shared" si="1"/>
        <v>537.76923076923072</v>
      </c>
      <c r="F18" s="17">
        <f t="shared" si="1"/>
        <v>48.030769230769231</v>
      </c>
      <c r="G18" s="35">
        <f t="shared" si="1"/>
        <v>72.246153846153845</v>
      </c>
      <c r="H18" s="93">
        <f t="shared" si="1"/>
        <v>268.88461538461536</v>
      </c>
    </row>
    <row r="19" spans="1:8" x14ac:dyDescent="0.25">
      <c r="A19" s="163">
        <v>40725</v>
      </c>
      <c r="B19" s="164">
        <v>41090</v>
      </c>
      <c r="C19" s="17">
        <f t="shared" si="1"/>
        <v>99.876923076923077</v>
      </c>
      <c r="D19" s="35">
        <f t="shared" si="1"/>
        <v>149.90769230769229</v>
      </c>
      <c r="E19" s="93">
        <f t="shared" si="1"/>
        <v>555.32307692307688</v>
      </c>
      <c r="F19" s="17">
        <f t="shared" si="1"/>
        <v>49.938461538461539</v>
      </c>
      <c r="G19" s="35">
        <f t="shared" si="1"/>
        <v>74.953846153846143</v>
      </c>
      <c r="H19" s="93">
        <f t="shared" si="1"/>
        <v>277.66153846153844</v>
      </c>
    </row>
    <row r="20" spans="1:8" s="5" customFormat="1" x14ac:dyDescent="0.25">
      <c r="A20" s="496">
        <v>41091</v>
      </c>
      <c r="B20" s="497">
        <v>41455</v>
      </c>
      <c r="C20" s="375">
        <f t="shared" si="1"/>
        <v>102.03076923076924</v>
      </c>
      <c r="D20" s="374">
        <f t="shared" si="1"/>
        <v>153.04615384615383</v>
      </c>
      <c r="E20" s="373">
        <f t="shared" si="1"/>
        <v>565.73846153846159</v>
      </c>
      <c r="F20" s="375">
        <f t="shared" si="1"/>
        <v>51.015384615384619</v>
      </c>
      <c r="G20" s="374">
        <f t="shared" si="1"/>
        <v>76.523076923076914</v>
      </c>
      <c r="H20" s="373">
        <f t="shared" si="1"/>
        <v>282.8692307692308</v>
      </c>
    </row>
    <row r="21" spans="1:8" x14ac:dyDescent="0.25">
      <c r="A21" s="496">
        <v>41456</v>
      </c>
      <c r="B21" s="497">
        <v>41820</v>
      </c>
      <c r="C21" s="375">
        <f t="shared" si="1"/>
        <v>104.86153846153846</v>
      </c>
      <c r="D21" s="374">
        <f t="shared" si="1"/>
        <v>156.67692307692306</v>
      </c>
      <c r="E21" s="373">
        <f t="shared" si="1"/>
        <v>579.49230769230769</v>
      </c>
      <c r="F21" s="375">
        <f t="shared" si="1"/>
        <v>52.430769230769229</v>
      </c>
      <c r="G21" s="374">
        <f t="shared" si="1"/>
        <v>78.33846153846153</v>
      </c>
      <c r="H21" s="373">
        <f t="shared" si="1"/>
        <v>289.74615384615385</v>
      </c>
    </row>
    <row r="22" spans="1:8" x14ac:dyDescent="0.25">
      <c r="A22" s="496">
        <v>41821</v>
      </c>
      <c r="B22" s="497">
        <v>42185</v>
      </c>
      <c r="C22" s="375">
        <f t="shared" si="1"/>
        <v>108.06153846153846</v>
      </c>
      <c r="D22" s="374">
        <f t="shared" si="1"/>
        <v>161.2923076923077</v>
      </c>
      <c r="E22" s="373">
        <f t="shared" si="1"/>
        <v>594.09230769230771</v>
      </c>
      <c r="F22" s="375">
        <f t="shared" si="1"/>
        <v>54.030769230769231</v>
      </c>
      <c r="G22" s="374">
        <f t="shared" si="1"/>
        <v>80.646153846153851</v>
      </c>
      <c r="H22" s="373">
        <f t="shared" si="1"/>
        <v>297.04615384615386</v>
      </c>
    </row>
    <row r="23" spans="1:8" x14ac:dyDescent="0.25">
      <c r="A23" s="496">
        <v>42186</v>
      </c>
      <c r="B23" s="497">
        <v>42551</v>
      </c>
      <c r="C23" s="375">
        <f t="shared" si="1"/>
        <v>110.66666666666667</v>
      </c>
      <c r="D23" s="374">
        <f t="shared" si="1"/>
        <v>164.88888888888889</v>
      </c>
      <c r="E23" s="373">
        <f t="shared" si="1"/>
        <v>603.55555555555554</v>
      </c>
      <c r="F23" s="375">
        <f t="shared" si="1"/>
        <v>55.333333333333336</v>
      </c>
      <c r="G23" s="374">
        <f t="shared" si="1"/>
        <v>82.444444444444443</v>
      </c>
      <c r="H23" s="373">
        <f t="shared" si="1"/>
        <v>301.77777777777777</v>
      </c>
    </row>
    <row r="24" spans="1:8" x14ac:dyDescent="0.25">
      <c r="A24" s="496">
        <v>42552</v>
      </c>
      <c r="B24" s="497">
        <v>42916</v>
      </c>
      <c r="C24" s="375">
        <f t="shared" si="1"/>
        <v>112.49230769230769</v>
      </c>
      <c r="D24" s="374">
        <f t="shared" si="1"/>
        <v>167.53846153846155</v>
      </c>
      <c r="E24" s="373">
        <f t="shared" si="1"/>
        <v>611.43076923076922</v>
      </c>
      <c r="F24" s="375">
        <f t="shared" si="1"/>
        <v>56.246153846153845</v>
      </c>
      <c r="G24" s="374">
        <f t="shared" si="1"/>
        <v>83.769230769230774</v>
      </c>
      <c r="H24" s="373">
        <f t="shared" si="1"/>
        <v>305.71538461538461</v>
      </c>
    </row>
    <row r="25" spans="1:8" x14ac:dyDescent="0.25">
      <c r="A25" s="165">
        <v>42917</v>
      </c>
      <c r="B25" s="166">
        <v>43281</v>
      </c>
      <c r="C25" s="33">
        <f t="shared" si="1"/>
        <v>114.73846153846154</v>
      </c>
      <c r="D25" s="75">
        <f t="shared" si="1"/>
        <v>170.58461538461538</v>
      </c>
      <c r="E25" s="107">
        <f t="shared" si="1"/>
        <v>622.07692307692309</v>
      </c>
      <c r="F25" s="33">
        <f t="shared" si="1"/>
        <v>57.369230769230768</v>
      </c>
      <c r="G25" s="75">
        <f t="shared" si="1"/>
        <v>85.292307692307688</v>
      </c>
      <c r="H25" s="107">
        <f t="shared" si="1"/>
        <v>311.03846153846155</v>
      </c>
    </row>
    <row r="26" spans="1:8" x14ac:dyDescent="0.25">
      <c r="A26" s="165">
        <v>43282</v>
      </c>
      <c r="B26" s="166">
        <v>43646</v>
      </c>
      <c r="C26" s="33">
        <f t="shared" si="1"/>
        <v>117.13846153846154</v>
      </c>
      <c r="D26" s="75">
        <f t="shared" si="1"/>
        <v>174.43076923076922</v>
      </c>
      <c r="E26" s="107">
        <f t="shared" si="1"/>
        <v>634.46153846153845</v>
      </c>
      <c r="F26" s="33">
        <f t="shared" si="1"/>
        <v>58.569230769230771</v>
      </c>
      <c r="G26" s="75">
        <f t="shared" si="1"/>
        <v>87.215384615384608</v>
      </c>
      <c r="H26" s="107">
        <f t="shared" si="1"/>
        <v>317.23076923076923</v>
      </c>
    </row>
    <row r="27" spans="1:8" x14ac:dyDescent="0.25">
      <c r="A27" s="165">
        <v>43647</v>
      </c>
      <c r="B27" s="166">
        <v>44012</v>
      </c>
      <c r="C27" s="33">
        <f t="shared" si="1"/>
        <v>120.06153846153846</v>
      </c>
      <c r="D27" s="75">
        <f t="shared" si="1"/>
        <v>178.27692307692305</v>
      </c>
      <c r="E27" s="107">
        <f t="shared" si="1"/>
        <v>647.98461538461538</v>
      </c>
      <c r="F27" s="33">
        <f t="shared" si="1"/>
        <v>60.030769230769231</v>
      </c>
      <c r="G27" s="75">
        <f t="shared" si="1"/>
        <v>89.138461538461527</v>
      </c>
      <c r="H27" s="107">
        <f t="shared" si="1"/>
        <v>323.99230769230769</v>
      </c>
    </row>
    <row r="28" spans="1:8" x14ac:dyDescent="0.25">
      <c r="A28" s="165">
        <v>44013</v>
      </c>
      <c r="B28" s="166">
        <v>44377</v>
      </c>
      <c r="C28" s="33">
        <f t="shared" ref="C28:H28" si="2">AnnualAverage($A28,C$7,TelephoneUtilityParms,TelephoneUtilityDates,TelephoneUtilityNames)</f>
        <v>123.26153846153846</v>
      </c>
      <c r="D28" s="75">
        <f t="shared" si="2"/>
        <v>182.8923076923077</v>
      </c>
      <c r="E28" s="107">
        <f t="shared" si="2"/>
        <v>664.03076923076924</v>
      </c>
      <c r="F28" s="33">
        <f t="shared" si="2"/>
        <v>61.630769230769232</v>
      </c>
      <c r="G28" s="75">
        <f t="shared" si="2"/>
        <v>91.446153846153848</v>
      </c>
      <c r="H28" s="107">
        <f t="shared" si="2"/>
        <v>332.01538461538462</v>
      </c>
    </row>
  </sheetData>
  <customSheetViews>
    <customSheetView guid="{E49C2F27-B0B9-497E-BEC0-5B59561292FE}">
      <selection activeCell="H23" sqref="H23"/>
      <pageMargins left="0.7" right="0.7" top="0.75" bottom="0.75" header="0.3" footer="0.3"/>
      <pageSetup paperSize="9" orientation="portrait" r:id="rId1"/>
    </customSheetView>
    <customSheetView guid="{A5953138-1481-4137-BEAD-32FA4FDF03E6}">
      <selection activeCell="H23" sqref="H23"/>
      <pageMargins left="0.7" right="0.7" top="0.75" bottom="0.75" header="0.3" footer="0.3"/>
      <pageSetup paperSize="9" orientation="portrait" r:id="rId2"/>
    </customSheetView>
    <customSheetView guid="{2A1F94CA-1A34-4418-88FD-EABF7586C2B2}">
      <selection activeCell="H23" sqref="H23"/>
      <pageMargins left="0.7" right="0.7" top="0.75" bottom="0.75" header="0.3" footer="0.3"/>
      <pageSetup paperSize="9" orientation="portrait" r:id="rId3"/>
    </customSheetView>
  </customSheetViews>
  <mergeCells count="10">
    <mergeCell ref="C1:H1"/>
    <mergeCell ref="A2:B3"/>
    <mergeCell ref="C2:E3"/>
    <mergeCell ref="F2:H3"/>
    <mergeCell ref="A4:A6"/>
    <mergeCell ref="B4:B6"/>
    <mergeCell ref="C4:D5"/>
    <mergeCell ref="E4:E6"/>
    <mergeCell ref="F4:G5"/>
    <mergeCell ref="H4:H6"/>
  </mergeCells>
  <pageMargins left="0.7" right="0.7" top="0.75" bottom="0.75" header="0.3" footer="0.3"/>
  <pageSetup paperSize="9" orientation="portrait" r:id="rId4"/>
  <legacyDrawing r:id="rId5"/>
</worksheet>
</file>

<file path=xl/worksheets/sheet3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F00-000000000000}">
  <sheetPr codeName="Sheet62">
    <tabColor rgb="FF00B0F0"/>
  </sheetPr>
  <dimension ref="A1:N91"/>
  <sheetViews>
    <sheetView workbookViewId="0">
      <pane xSplit="2" ySplit="7" topLeftCell="C46" activePane="bottomRight" state="frozen"/>
      <selection pane="topRight" activeCell="C1" sqref="C1"/>
      <selection pane="bottomLeft" activeCell="A8" sqref="A8"/>
      <selection pane="bottomRight" activeCell="C64" sqref="C64"/>
    </sheetView>
  </sheetViews>
  <sheetFormatPr defaultRowHeight="15" x14ac:dyDescent="0.25"/>
  <cols>
    <col min="1" max="2" width="12.42578125" style="28" bestFit="1" customWidth="1"/>
    <col min="3" max="3" width="12.85546875" style="28" bestFit="1" customWidth="1"/>
    <col min="4" max="4" width="16.85546875" style="697" bestFit="1" customWidth="1"/>
    <col min="5" max="5" width="12.85546875" style="28" bestFit="1" customWidth="1"/>
    <col min="6" max="6" width="16.85546875" style="697" bestFit="1" customWidth="1"/>
    <col min="7" max="8" width="18.28515625" style="28" bestFit="1" customWidth="1"/>
    <col min="9" max="9" width="32.42578125" style="28" bestFit="1" customWidth="1"/>
    <col min="10" max="10" width="9.140625" style="28"/>
    <col min="11" max="11" width="10.140625" style="28" bestFit="1" customWidth="1"/>
    <col min="12" max="13" width="9.140625" style="28"/>
    <col min="14" max="14" width="10.140625" style="28" bestFit="1" customWidth="1"/>
    <col min="15" max="16384" width="9.140625" style="28"/>
  </cols>
  <sheetData>
    <row r="1" spans="1:9" ht="15.75" thickBot="1" x14ac:dyDescent="0.3">
      <c r="C1" s="1149" t="s">
        <v>67</v>
      </c>
      <c r="D1" s="1150"/>
      <c r="E1" s="1150"/>
      <c r="F1" s="1151"/>
      <c r="G1" s="1149" t="s">
        <v>327</v>
      </c>
      <c r="H1" s="1150"/>
      <c r="I1" s="1151"/>
    </row>
    <row r="2" spans="1:9" ht="15" customHeight="1" x14ac:dyDescent="0.25">
      <c r="A2" s="1164" t="s">
        <v>13</v>
      </c>
      <c r="B2" s="1165"/>
      <c r="C2" s="1164" t="s">
        <v>140</v>
      </c>
      <c r="D2" s="1214"/>
      <c r="E2" s="1214"/>
      <c r="F2" s="1165"/>
      <c r="G2" s="1164" t="s">
        <v>141</v>
      </c>
      <c r="H2" s="1214"/>
      <c r="I2" s="1165"/>
    </row>
    <row r="3" spans="1:9" ht="15.75" thickBot="1" x14ac:dyDescent="0.3">
      <c r="A3" s="1215"/>
      <c r="B3" s="1236"/>
      <c r="C3" s="1166"/>
      <c r="D3" s="1217"/>
      <c r="E3" s="1217"/>
      <c r="F3" s="1167"/>
      <c r="G3" s="1166"/>
      <c r="H3" s="1217"/>
      <c r="I3" s="1167"/>
    </row>
    <row r="4" spans="1:9" ht="15.75" customHeight="1" x14ac:dyDescent="0.25">
      <c r="A4" s="1188" t="s">
        <v>16</v>
      </c>
      <c r="B4" s="1176" t="s">
        <v>17</v>
      </c>
      <c r="C4" s="1250" t="s">
        <v>12</v>
      </c>
      <c r="D4" s="1256" t="s">
        <v>607</v>
      </c>
      <c r="E4" s="1256" t="s">
        <v>11</v>
      </c>
      <c r="F4" s="1256" t="s">
        <v>608</v>
      </c>
      <c r="G4" s="1250" t="s">
        <v>12</v>
      </c>
      <c r="H4" s="1187" t="s">
        <v>11</v>
      </c>
      <c r="I4" s="1157" t="s">
        <v>142</v>
      </c>
    </row>
    <row r="5" spans="1:9" x14ac:dyDescent="0.25">
      <c r="A5" s="1188"/>
      <c r="B5" s="1189"/>
      <c r="C5" s="1188"/>
      <c r="D5" s="1189"/>
      <c r="E5" s="1189"/>
      <c r="F5" s="1189"/>
      <c r="G5" s="1188"/>
      <c r="H5" s="1176"/>
      <c r="I5" s="1158"/>
    </row>
    <row r="6" spans="1:9" ht="15.75" thickBot="1" x14ac:dyDescent="0.3">
      <c r="A6" s="1207"/>
      <c r="B6" s="1257"/>
      <c r="C6" s="1207"/>
      <c r="D6" s="1257"/>
      <c r="E6" s="1257"/>
      <c r="F6" s="1257"/>
      <c r="G6" s="1207"/>
      <c r="H6" s="1177"/>
      <c r="I6" s="1159"/>
    </row>
    <row r="7" spans="1:9" ht="15.75" thickBot="1" x14ac:dyDescent="0.3">
      <c r="A7" s="713" t="s">
        <v>550</v>
      </c>
      <c r="B7" s="714" t="s">
        <v>551</v>
      </c>
      <c r="C7" s="313" t="s">
        <v>582</v>
      </c>
      <c r="D7" s="807" t="s">
        <v>648</v>
      </c>
      <c r="E7" s="807" t="s">
        <v>583</v>
      </c>
      <c r="F7" s="807" t="s">
        <v>647</v>
      </c>
      <c r="G7" s="303" t="s">
        <v>651</v>
      </c>
      <c r="H7" s="304" t="s">
        <v>652</v>
      </c>
      <c r="I7" s="305" t="s">
        <v>653</v>
      </c>
    </row>
    <row r="8" spans="1:9" x14ac:dyDescent="0.25">
      <c r="A8" s="161">
        <v>36708</v>
      </c>
      <c r="B8" s="162">
        <v>36788</v>
      </c>
      <c r="C8" s="18"/>
      <c r="D8" s="20"/>
      <c r="E8" s="20"/>
      <c r="F8" s="20"/>
      <c r="G8" s="18">
        <v>41000</v>
      </c>
      <c r="H8" s="60">
        <v>34338</v>
      </c>
      <c r="I8" s="92">
        <v>624</v>
      </c>
    </row>
    <row r="9" spans="1:9" x14ac:dyDescent="0.25">
      <c r="A9" s="163">
        <v>36789</v>
      </c>
      <c r="B9" s="164">
        <v>36891</v>
      </c>
      <c r="C9" s="17"/>
      <c r="D9" s="19"/>
      <c r="E9" s="19"/>
      <c r="F9" s="19"/>
      <c r="G9" s="17">
        <f t="shared" ref="G9:I24" si="0">G8</f>
        <v>41000</v>
      </c>
      <c r="H9" s="35">
        <f t="shared" si="0"/>
        <v>34338</v>
      </c>
      <c r="I9" s="93">
        <f t="shared" si="0"/>
        <v>624</v>
      </c>
    </row>
    <row r="10" spans="1:9" x14ac:dyDescent="0.25">
      <c r="A10" s="163">
        <v>36892</v>
      </c>
      <c r="B10" s="164">
        <v>36969</v>
      </c>
      <c r="C10" s="17"/>
      <c r="D10" s="19"/>
      <c r="E10" s="19"/>
      <c r="F10" s="19"/>
      <c r="G10" s="17">
        <f t="shared" si="0"/>
        <v>41000</v>
      </c>
      <c r="H10" s="35">
        <f t="shared" si="0"/>
        <v>34338</v>
      </c>
      <c r="I10" s="93">
        <f t="shared" si="0"/>
        <v>624</v>
      </c>
    </row>
    <row r="11" spans="1:9" ht="15.75" thickBot="1" x14ac:dyDescent="0.3">
      <c r="A11" s="180">
        <v>36970</v>
      </c>
      <c r="B11" s="181">
        <v>37072</v>
      </c>
      <c r="C11" s="65"/>
      <c r="D11" s="68"/>
      <c r="E11" s="68"/>
      <c r="F11" s="68"/>
      <c r="G11" s="65">
        <f t="shared" si="0"/>
        <v>41000</v>
      </c>
      <c r="H11" s="69">
        <f t="shared" si="0"/>
        <v>34338</v>
      </c>
      <c r="I11" s="94">
        <f t="shared" si="0"/>
        <v>624</v>
      </c>
    </row>
    <row r="12" spans="1:9" x14ac:dyDescent="0.25">
      <c r="A12" s="161">
        <v>37073</v>
      </c>
      <c r="B12" s="162">
        <v>37153</v>
      </c>
      <c r="C12" s="18"/>
      <c r="D12" s="20"/>
      <c r="E12" s="20"/>
      <c r="F12" s="20"/>
      <c r="G12" s="18">
        <v>50000</v>
      </c>
      <c r="H12" s="60">
        <v>40000</v>
      </c>
      <c r="I12" s="92">
        <v>639.6</v>
      </c>
    </row>
    <row r="13" spans="1:9" x14ac:dyDescent="0.25">
      <c r="A13" s="163">
        <v>37154</v>
      </c>
      <c r="B13" s="164">
        <v>37256</v>
      </c>
      <c r="C13" s="17"/>
      <c r="D13" s="19"/>
      <c r="E13" s="19"/>
      <c r="F13" s="19"/>
      <c r="G13" s="17">
        <f t="shared" si="0"/>
        <v>50000</v>
      </c>
      <c r="H13" s="35">
        <f t="shared" si="0"/>
        <v>40000</v>
      </c>
      <c r="I13" s="93">
        <f t="shared" si="0"/>
        <v>639.6</v>
      </c>
    </row>
    <row r="14" spans="1:9" x14ac:dyDescent="0.25">
      <c r="A14" s="163">
        <v>37257</v>
      </c>
      <c r="B14" s="164">
        <v>37334</v>
      </c>
      <c r="C14" s="17"/>
      <c r="D14" s="19"/>
      <c r="E14" s="19"/>
      <c r="F14" s="19"/>
      <c r="G14" s="17">
        <f t="shared" si="0"/>
        <v>50000</v>
      </c>
      <c r="H14" s="35">
        <f t="shared" si="0"/>
        <v>40000</v>
      </c>
      <c r="I14" s="93">
        <f t="shared" si="0"/>
        <v>639.6</v>
      </c>
    </row>
    <row r="15" spans="1:9" ht="15.75" thickBot="1" x14ac:dyDescent="0.3">
      <c r="A15" s="180">
        <v>37335</v>
      </c>
      <c r="B15" s="181">
        <v>37437</v>
      </c>
      <c r="C15" s="65"/>
      <c r="D15" s="68"/>
      <c r="E15" s="68"/>
      <c r="F15" s="68"/>
      <c r="G15" s="65">
        <f t="shared" si="0"/>
        <v>50000</v>
      </c>
      <c r="H15" s="69">
        <f t="shared" si="0"/>
        <v>40000</v>
      </c>
      <c r="I15" s="94">
        <f t="shared" si="0"/>
        <v>639.6</v>
      </c>
    </row>
    <row r="16" spans="1:9" x14ac:dyDescent="0.25">
      <c r="A16" s="161">
        <v>37438</v>
      </c>
      <c r="B16" s="162">
        <v>37518</v>
      </c>
      <c r="C16" s="18"/>
      <c r="D16" s="20"/>
      <c r="E16" s="20"/>
      <c r="F16" s="20"/>
      <c r="G16" s="18">
        <f t="shared" si="0"/>
        <v>50000</v>
      </c>
      <c r="H16" s="60">
        <f t="shared" si="0"/>
        <v>40000</v>
      </c>
      <c r="I16" s="92">
        <f t="shared" si="0"/>
        <v>639.6</v>
      </c>
    </row>
    <row r="17" spans="1:9" x14ac:dyDescent="0.25">
      <c r="A17" s="163">
        <v>37519</v>
      </c>
      <c r="B17" s="164">
        <v>37621</v>
      </c>
      <c r="C17" s="17"/>
      <c r="D17" s="19"/>
      <c r="E17" s="19"/>
      <c r="F17" s="19"/>
      <c r="G17" s="17">
        <f t="shared" si="0"/>
        <v>50000</v>
      </c>
      <c r="H17" s="35">
        <f t="shared" si="0"/>
        <v>40000</v>
      </c>
      <c r="I17" s="93">
        <f t="shared" si="0"/>
        <v>639.6</v>
      </c>
    </row>
    <row r="18" spans="1:9" x14ac:dyDescent="0.25">
      <c r="A18" s="163">
        <v>37622</v>
      </c>
      <c r="B18" s="164">
        <v>37699</v>
      </c>
      <c r="C18" s="17"/>
      <c r="D18" s="19"/>
      <c r="E18" s="19"/>
      <c r="F18" s="19"/>
      <c r="G18" s="17">
        <f t="shared" si="0"/>
        <v>50000</v>
      </c>
      <c r="H18" s="35">
        <f t="shared" si="0"/>
        <v>40000</v>
      </c>
      <c r="I18" s="93">
        <f t="shared" si="0"/>
        <v>639.6</v>
      </c>
    </row>
    <row r="19" spans="1:9" ht="15.75" thickBot="1" x14ac:dyDescent="0.3">
      <c r="A19" s="180">
        <v>37700</v>
      </c>
      <c r="B19" s="181">
        <v>37802</v>
      </c>
      <c r="C19" s="65"/>
      <c r="D19" s="68"/>
      <c r="E19" s="68"/>
      <c r="F19" s="68"/>
      <c r="G19" s="65">
        <f t="shared" si="0"/>
        <v>50000</v>
      </c>
      <c r="H19" s="69">
        <f t="shared" si="0"/>
        <v>40000</v>
      </c>
      <c r="I19" s="94">
        <f t="shared" si="0"/>
        <v>639.6</v>
      </c>
    </row>
    <row r="20" spans="1:9" x14ac:dyDescent="0.25">
      <c r="A20" s="161">
        <v>37803</v>
      </c>
      <c r="B20" s="162">
        <v>37883</v>
      </c>
      <c r="C20" s="18"/>
      <c r="D20" s="20"/>
      <c r="E20" s="20"/>
      <c r="F20" s="20"/>
      <c r="G20" s="18">
        <f t="shared" si="0"/>
        <v>50000</v>
      </c>
      <c r="H20" s="60">
        <f t="shared" si="0"/>
        <v>40000</v>
      </c>
      <c r="I20" s="92">
        <f t="shared" si="0"/>
        <v>639.6</v>
      </c>
    </row>
    <row r="21" spans="1:9" x14ac:dyDescent="0.25">
      <c r="A21" s="163">
        <v>37884</v>
      </c>
      <c r="B21" s="164">
        <v>37986</v>
      </c>
      <c r="C21" s="17"/>
      <c r="D21" s="19"/>
      <c r="E21" s="19"/>
      <c r="F21" s="19"/>
      <c r="G21" s="17">
        <f t="shared" si="0"/>
        <v>50000</v>
      </c>
      <c r="H21" s="35">
        <f t="shared" si="0"/>
        <v>40000</v>
      </c>
      <c r="I21" s="93">
        <f t="shared" si="0"/>
        <v>639.6</v>
      </c>
    </row>
    <row r="22" spans="1:9" x14ac:dyDescent="0.25">
      <c r="A22" s="163">
        <v>37987</v>
      </c>
      <c r="B22" s="164">
        <v>38065</v>
      </c>
      <c r="C22" s="17"/>
      <c r="D22" s="19"/>
      <c r="E22" s="19"/>
      <c r="F22" s="19"/>
      <c r="G22" s="17">
        <f t="shared" si="0"/>
        <v>50000</v>
      </c>
      <c r="H22" s="35">
        <f t="shared" si="0"/>
        <v>40000</v>
      </c>
      <c r="I22" s="93">
        <f t="shared" si="0"/>
        <v>639.6</v>
      </c>
    </row>
    <row r="23" spans="1:9" ht="15.75" thickBot="1" x14ac:dyDescent="0.3">
      <c r="A23" s="180">
        <v>38066</v>
      </c>
      <c r="B23" s="181">
        <v>38168</v>
      </c>
      <c r="C23" s="65"/>
      <c r="D23" s="68"/>
      <c r="E23" s="68"/>
      <c r="F23" s="68"/>
      <c r="G23" s="65">
        <f t="shared" si="0"/>
        <v>50000</v>
      </c>
      <c r="H23" s="69">
        <f t="shared" si="0"/>
        <v>40000</v>
      </c>
      <c r="I23" s="94">
        <f t="shared" si="0"/>
        <v>639.6</v>
      </c>
    </row>
    <row r="24" spans="1:9" x14ac:dyDescent="0.25">
      <c r="A24" s="161">
        <v>38169</v>
      </c>
      <c r="B24" s="162">
        <v>38249</v>
      </c>
      <c r="C24" s="18"/>
      <c r="D24" s="20"/>
      <c r="E24" s="20"/>
      <c r="F24" s="20"/>
      <c r="G24" s="18">
        <f t="shared" si="0"/>
        <v>50000</v>
      </c>
      <c r="H24" s="60">
        <f t="shared" si="0"/>
        <v>40000</v>
      </c>
      <c r="I24" s="92">
        <f t="shared" si="0"/>
        <v>639.6</v>
      </c>
    </row>
    <row r="25" spans="1:9" x14ac:dyDescent="0.25">
      <c r="A25" s="163">
        <v>38250</v>
      </c>
      <c r="B25" s="164">
        <v>38352</v>
      </c>
      <c r="C25" s="17"/>
      <c r="D25" s="19"/>
      <c r="E25" s="19"/>
      <c r="F25" s="19"/>
      <c r="G25" s="17">
        <f t="shared" ref="G25:I40" si="1">G24</f>
        <v>50000</v>
      </c>
      <c r="H25" s="35">
        <f t="shared" si="1"/>
        <v>40000</v>
      </c>
      <c r="I25" s="93">
        <f t="shared" si="1"/>
        <v>639.6</v>
      </c>
    </row>
    <row r="26" spans="1:9" x14ac:dyDescent="0.25">
      <c r="A26" s="163">
        <v>38353</v>
      </c>
      <c r="B26" s="164">
        <v>38430</v>
      </c>
      <c r="C26" s="17">
        <v>200</v>
      </c>
      <c r="D26" s="19"/>
      <c r="E26" s="19">
        <f>C26</f>
        <v>200</v>
      </c>
      <c r="F26" s="19"/>
      <c r="G26" s="17">
        <f t="shared" si="1"/>
        <v>50000</v>
      </c>
      <c r="H26" s="35">
        <f t="shared" si="1"/>
        <v>40000</v>
      </c>
      <c r="I26" s="93">
        <f t="shared" si="1"/>
        <v>639.6</v>
      </c>
    </row>
    <row r="27" spans="1:9" ht="15.75" thickBot="1" x14ac:dyDescent="0.3">
      <c r="A27" s="180">
        <v>38431</v>
      </c>
      <c r="B27" s="181">
        <v>38533</v>
      </c>
      <c r="C27" s="65">
        <v>200</v>
      </c>
      <c r="D27" s="68"/>
      <c r="E27" s="68">
        <f t="shared" ref="E27:E44" si="2">C27</f>
        <v>200</v>
      </c>
      <c r="F27" s="68"/>
      <c r="G27" s="65">
        <f t="shared" si="1"/>
        <v>50000</v>
      </c>
      <c r="H27" s="69">
        <f t="shared" si="1"/>
        <v>40000</v>
      </c>
      <c r="I27" s="94">
        <f t="shared" si="1"/>
        <v>639.6</v>
      </c>
    </row>
    <row r="28" spans="1:9" x14ac:dyDescent="0.25">
      <c r="A28" s="161">
        <v>38534</v>
      </c>
      <c r="B28" s="162">
        <v>38614</v>
      </c>
      <c r="C28" s="18">
        <v>202.8</v>
      </c>
      <c r="D28" s="20"/>
      <c r="E28" s="20">
        <f t="shared" si="2"/>
        <v>202.8</v>
      </c>
      <c r="F28" s="20"/>
      <c r="G28" s="18">
        <f t="shared" si="1"/>
        <v>50000</v>
      </c>
      <c r="H28" s="60">
        <f t="shared" si="1"/>
        <v>40000</v>
      </c>
      <c r="I28" s="92">
        <f t="shared" si="1"/>
        <v>639.6</v>
      </c>
    </row>
    <row r="29" spans="1:9" x14ac:dyDescent="0.25">
      <c r="A29" s="163">
        <v>38615</v>
      </c>
      <c r="B29" s="164">
        <v>38717</v>
      </c>
      <c r="C29" s="17">
        <v>202.8</v>
      </c>
      <c r="D29" s="19"/>
      <c r="E29" s="19">
        <f t="shared" si="2"/>
        <v>202.8</v>
      </c>
      <c r="F29" s="19"/>
      <c r="G29" s="17">
        <f t="shared" si="1"/>
        <v>50000</v>
      </c>
      <c r="H29" s="35">
        <f t="shared" si="1"/>
        <v>40000</v>
      </c>
      <c r="I29" s="93">
        <f t="shared" si="1"/>
        <v>639.6</v>
      </c>
    </row>
    <row r="30" spans="1:9" x14ac:dyDescent="0.25">
      <c r="A30" s="163">
        <v>38718</v>
      </c>
      <c r="B30" s="164">
        <v>38795</v>
      </c>
      <c r="C30" s="17">
        <v>206</v>
      </c>
      <c r="D30" s="19"/>
      <c r="E30" s="19">
        <f t="shared" si="2"/>
        <v>206</v>
      </c>
      <c r="F30" s="19"/>
      <c r="G30" s="17">
        <f t="shared" si="1"/>
        <v>50000</v>
      </c>
      <c r="H30" s="35">
        <f t="shared" si="1"/>
        <v>40000</v>
      </c>
      <c r="I30" s="93">
        <f t="shared" si="1"/>
        <v>639.6</v>
      </c>
    </row>
    <row r="31" spans="1:9" ht="15.75" thickBot="1" x14ac:dyDescent="0.3">
      <c r="A31" s="180">
        <v>38796</v>
      </c>
      <c r="B31" s="181">
        <v>38898</v>
      </c>
      <c r="C31" s="65">
        <v>206</v>
      </c>
      <c r="D31" s="68"/>
      <c r="E31" s="68">
        <f t="shared" si="2"/>
        <v>206</v>
      </c>
      <c r="F31" s="68"/>
      <c r="G31" s="65">
        <f t="shared" si="1"/>
        <v>50000</v>
      </c>
      <c r="H31" s="69">
        <f t="shared" si="1"/>
        <v>40000</v>
      </c>
      <c r="I31" s="94">
        <f t="shared" si="1"/>
        <v>639.6</v>
      </c>
    </row>
    <row r="32" spans="1:9" x14ac:dyDescent="0.25">
      <c r="A32" s="161">
        <v>38899</v>
      </c>
      <c r="B32" s="162">
        <v>38979</v>
      </c>
      <c r="C32" s="18">
        <v>208.8</v>
      </c>
      <c r="D32" s="20"/>
      <c r="E32" s="20">
        <f t="shared" si="2"/>
        <v>208.8</v>
      </c>
      <c r="F32" s="20"/>
      <c r="G32" s="18">
        <f t="shared" si="1"/>
        <v>50000</v>
      </c>
      <c r="H32" s="60">
        <f t="shared" si="1"/>
        <v>40000</v>
      </c>
      <c r="I32" s="92">
        <f t="shared" si="1"/>
        <v>639.6</v>
      </c>
    </row>
    <row r="33" spans="1:9" x14ac:dyDescent="0.25">
      <c r="A33" s="163">
        <v>38980</v>
      </c>
      <c r="B33" s="164">
        <v>39082</v>
      </c>
      <c r="C33" s="17">
        <v>208.8</v>
      </c>
      <c r="D33" s="19"/>
      <c r="E33" s="19">
        <f t="shared" si="2"/>
        <v>208.8</v>
      </c>
      <c r="F33" s="19"/>
      <c r="G33" s="17">
        <f t="shared" si="1"/>
        <v>50000</v>
      </c>
      <c r="H33" s="35">
        <f t="shared" si="1"/>
        <v>40000</v>
      </c>
      <c r="I33" s="93">
        <f t="shared" si="1"/>
        <v>639.6</v>
      </c>
    </row>
    <row r="34" spans="1:9" x14ac:dyDescent="0.25">
      <c r="A34" s="163">
        <v>39083</v>
      </c>
      <c r="B34" s="164">
        <v>39160</v>
      </c>
      <c r="C34" s="17">
        <v>214</v>
      </c>
      <c r="D34" s="19"/>
      <c r="E34" s="19">
        <f t="shared" si="2"/>
        <v>214</v>
      </c>
      <c r="F34" s="19"/>
      <c r="G34" s="17">
        <f t="shared" si="1"/>
        <v>50000</v>
      </c>
      <c r="H34" s="35">
        <f t="shared" si="1"/>
        <v>40000</v>
      </c>
      <c r="I34" s="93">
        <f t="shared" si="1"/>
        <v>639.6</v>
      </c>
    </row>
    <row r="35" spans="1:9" ht="15.75" thickBot="1" x14ac:dyDescent="0.3">
      <c r="A35" s="180">
        <v>39161</v>
      </c>
      <c r="B35" s="181">
        <v>39263</v>
      </c>
      <c r="C35" s="65">
        <v>214</v>
      </c>
      <c r="D35" s="68"/>
      <c r="E35" s="68">
        <f t="shared" si="2"/>
        <v>214</v>
      </c>
      <c r="F35" s="68"/>
      <c r="G35" s="65">
        <f t="shared" si="1"/>
        <v>50000</v>
      </c>
      <c r="H35" s="69">
        <f t="shared" si="1"/>
        <v>40000</v>
      </c>
      <c r="I35" s="94">
        <f t="shared" si="1"/>
        <v>639.6</v>
      </c>
    </row>
    <row r="36" spans="1:9" x14ac:dyDescent="0.25">
      <c r="A36" s="161">
        <v>39264</v>
      </c>
      <c r="B36" s="162">
        <v>39344</v>
      </c>
      <c r="C36" s="18">
        <v>214</v>
      </c>
      <c r="D36" s="20"/>
      <c r="E36" s="20">
        <f t="shared" si="2"/>
        <v>214</v>
      </c>
      <c r="F36" s="20"/>
      <c r="G36" s="18">
        <f t="shared" si="1"/>
        <v>50000</v>
      </c>
      <c r="H36" s="60">
        <f t="shared" si="1"/>
        <v>40000</v>
      </c>
      <c r="I36" s="92">
        <f t="shared" si="1"/>
        <v>639.6</v>
      </c>
    </row>
    <row r="37" spans="1:9" x14ac:dyDescent="0.25">
      <c r="A37" s="163">
        <v>39345</v>
      </c>
      <c r="B37" s="164">
        <v>39447</v>
      </c>
      <c r="C37" s="17">
        <v>214</v>
      </c>
      <c r="D37" s="19"/>
      <c r="E37" s="19">
        <f t="shared" si="2"/>
        <v>214</v>
      </c>
      <c r="F37" s="19"/>
      <c r="G37" s="17">
        <f t="shared" si="1"/>
        <v>50000</v>
      </c>
      <c r="H37" s="35">
        <f t="shared" si="1"/>
        <v>40000</v>
      </c>
      <c r="I37" s="93">
        <f t="shared" si="1"/>
        <v>639.6</v>
      </c>
    </row>
    <row r="38" spans="1:9" x14ac:dyDescent="0.25">
      <c r="A38" s="163">
        <v>39448</v>
      </c>
      <c r="B38" s="164">
        <v>39526</v>
      </c>
      <c r="C38" s="17">
        <v>218</v>
      </c>
      <c r="D38" s="19"/>
      <c r="E38" s="19">
        <f t="shared" si="2"/>
        <v>218</v>
      </c>
      <c r="F38" s="19"/>
      <c r="G38" s="17">
        <f t="shared" si="1"/>
        <v>50000</v>
      </c>
      <c r="H38" s="35">
        <f t="shared" si="1"/>
        <v>40000</v>
      </c>
      <c r="I38" s="93">
        <f t="shared" si="1"/>
        <v>639.6</v>
      </c>
    </row>
    <row r="39" spans="1:9" ht="15.75" thickBot="1" x14ac:dyDescent="0.3">
      <c r="A39" s="180">
        <v>39527</v>
      </c>
      <c r="B39" s="181">
        <v>39629</v>
      </c>
      <c r="C39" s="65">
        <v>500</v>
      </c>
      <c r="D39" s="68"/>
      <c r="E39" s="68">
        <f t="shared" si="2"/>
        <v>500</v>
      </c>
      <c r="F39" s="68"/>
      <c r="G39" s="65">
        <f t="shared" si="1"/>
        <v>50000</v>
      </c>
      <c r="H39" s="69">
        <f t="shared" si="1"/>
        <v>40000</v>
      </c>
      <c r="I39" s="94">
        <f t="shared" si="1"/>
        <v>639.6</v>
      </c>
    </row>
    <row r="40" spans="1:9" x14ac:dyDescent="0.25">
      <c r="A40" s="161">
        <v>39630</v>
      </c>
      <c r="B40" s="162">
        <v>39710</v>
      </c>
      <c r="C40" s="18">
        <v>500</v>
      </c>
      <c r="D40" s="20"/>
      <c r="E40" s="20">
        <f t="shared" si="2"/>
        <v>500</v>
      </c>
      <c r="F40" s="20"/>
      <c r="G40" s="18">
        <f t="shared" si="1"/>
        <v>50000</v>
      </c>
      <c r="H40" s="60">
        <f t="shared" si="1"/>
        <v>40000</v>
      </c>
      <c r="I40" s="92">
        <f t="shared" si="1"/>
        <v>639.6</v>
      </c>
    </row>
    <row r="41" spans="1:9" x14ac:dyDescent="0.25">
      <c r="A41" s="163">
        <v>39711</v>
      </c>
      <c r="B41" s="164">
        <v>39813</v>
      </c>
      <c r="C41" s="17">
        <v>514</v>
      </c>
      <c r="D41" s="19"/>
      <c r="E41" s="19">
        <f t="shared" si="2"/>
        <v>514</v>
      </c>
      <c r="F41" s="19"/>
      <c r="G41" s="17">
        <f t="shared" ref="G41:I56" si="3">G40</f>
        <v>50000</v>
      </c>
      <c r="H41" s="35">
        <f t="shared" si="3"/>
        <v>40000</v>
      </c>
      <c r="I41" s="93">
        <f t="shared" si="3"/>
        <v>639.6</v>
      </c>
    </row>
    <row r="42" spans="1:9" x14ac:dyDescent="0.25">
      <c r="A42" s="163">
        <v>39814</v>
      </c>
      <c r="B42" s="164">
        <v>39891</v>
      </c>
      <c r="C42" s="17">
        <v>514</v>
      </c>
      <c r="D42" s="19"/>
      <c r="E42" s="19">
        <f t="shared" si="2"/>
        <v>514</v>
      </c>
      <c r="F42" s="19"/>
      <c r="G42" s="17">
        <f t="shared" si="3"/>
        <v>50000</v>
      </c>
      <c r="H42" s="35">
        <f t="shared" si="3"/>
        <v>40000</v>
      </c>
      <c r="I42" s="93">
        <f t="shared" si="3"/>
        <v>639.6</v>
      </c>
    </row>
    <row r="43" spans="1:9" ht="15.75" thickBot="1" x14ac:dyDescent="0.3">
      <c r="A43" s="180">
        <v>39892</v>
      </c>
      <c r="B43" s="181">
        <v>39994</v>
      </c>
      <c r="C43" s="65">
        <v>518.80000000000007</v>
      </c>
      <c r="D43" s="68"/>
      <c r="E43" s="68">
        <f t="shared" si="2"/>
        <v>518.80000000000007</v>
      </c>
      <c r="F43" s="68"/>
      <c r="G43" s="65">
        <f t="shared" si="3"/>
        <v>50000</v>
      </c>
      <c r="H43" s="69">
        <f t="shared" si="3"/>
        <v>40000</v>
      </c>
      <c r="I43" s="94">
        <f t="shared" si="3"/>
        <v>639.6</v>
      </c>
    </row>
    <row r="44" spans="1:9" x14ac:dyDescent="0.25">
      <c r="A44" s="161">
        <v>39995</v>
      </c>
      <c r="B44" s="162">
        <v>40075</v>
      </c>
      <c r="C44" s="18">
        <v>518.80000000000007</v>
      </c>
      <c r="D44" s="20"/>
      <c r="E44" s="20">
        <f t="shared" si="2"/>
        <v>518.80000000000007</v>
      </c>
      <c r="F44" s="20"/>
      <c r="G44" s="18">
        <f t="shared" si="3"/>
        <v>50000</v>
      </c>
      <c r="H44" s="60">
        <f t="shared" si="3"/>
        <v>40000</v>
      </c>
      <c r="I44" s="92">
        <f t="shared" si="3"/>
        <v>639.6</v>
      </c>
    </row>
    <row r="45" spans="1:9" x14ac:dyDescent="0.25">
      <c r="A45" s="163">
        <v>40076</v>
      </c>
      <c r="B45" s="164">
        <v>40178</v>
      </c>
      <c r="C45" s="17">
        <v>785.2</v>
      </c>
      <c r="D45" s="19"/>
      <c r="E45" s="19">
        <f>Pensions!M45*26</f>
        <v>592.80000000000007</v>
      </c>
      <c r="F45" s="19"/>
      <c r="G45" s="17">
        <f t="shared" si="3"/>
        <v>50000</v>
      </c>
      <c r="H45" s="35">
        <f t="shared" si="3"/>
        <v>40000</v>
      </c>
      <c r="I45" s="93">
        <f t="shared" si="3"/>
        <v>639.6</v>
      </c>
    </row>
    <row r="46" spans="1:9" x14ac:dyDescent="0.25">
      <c r="A46" s="163">
        <v>40179</v>
      </c>
      <c r="B46" s="164">
        <v>40256</v>
      </c>
      <c r="C46" s="17">
        <v>785.2</v>
      </c>
      <c r="D46" s="19"/>
      <c r="E46" s="19">
        <f>Pensions!M46*26</f>
        <v>592.80000000000007</v>
      </c>
      <c r="F46" s="19"/>
      <c r="G46" s="17">
        <f t="shared" si="3"/>
        <v>50000</v>
      </c>
      <c r="H46" s="35">
        <f t="shared" si="3"/>
        <v>40000</v>
      </c>
      <c r="I46" s="93">
        <f t="shared" si="3"/>
        <v>639.6</v>
      </c>
    </row>
    <row r="47" spans="1:9" ht="15.75" thickBot="1" x14ac:dyDescent="0.3">
      <c r="A47" s="180">
        <v>40257</v>
      </c>
      <c r="B47" s="181">
        <v>40359</v>
      </c>
      <c r="C47" s="65">
        <v>795.6</v>
      </c>
      <c r="D47" s="68"/>
      <c r="E47" s="68">
        <f>Pensions!M47*26</f>
        <v>600.6</v>
      </c>
      <c r="F47" s="68"/>
      <c r="G47" s="65">
        <f t="shared" si="3"/>
        <v>50000</v>
      </c>
      <c r="H47" s="69">
        <f t="shared" si="3"/>
        <v>40000</v>
      </c>
      <c r="I47" s="94">
        <f t="shared" si="3"/>
        <v>639.6</v>
      </c>
    </row>
    <row r="48" spans="1:9" x14ac:dyDescent="0.25">
      <c r="A48" s="161">
        <v>40360</v>
      </c>
      <c r="B48" s="162">
        <v>40440</v>
      </c>
      <c r="C48" s="18">
        <v>795.6</v>
      </c>
      <c r="D48" s="20"/>
      <c r="E48" s="20">
        <f>Pensions!M48*26</f>
        <v>600.6</v>
      </c>
      <c r="F48" s="20"/>
      <c r="G48" s="18">
        <f t="shared" si="3"/>
        <v>50000</v>
      </c>
      <c r="H48" s="60">
        <f t="shared" si="3"/>
        <v>40000</v>
      </c>
      <c r="I48" s="92">
        <f t="shared" si="3"/>
        <v>639.6</v>
      </c>
    </row>
    <row r="49" spans="1:9" x14ac:dyDescent="0.25">
      <c r="A49" s="163">
        <v>40441</v>
      </c>
      <c r="B49" s="164">
        <v>40543</v>
      </c>
      <c r="C49" s="17">
        <v>806</v>
      </c>
      <c r="D49" s="19"/>
      <c r="E49" s="19">
        <f>Pensions!M49*26</f>
        <v>608.4</v>
      </c>
      <c r="F49" s="19"/>
      <c r="G49" s="17">
        <f t="shared" si="3"/>
        <v>50000</v>
      </c>
      <c r="H49" s="35">
        <f t="shared" si="3"/>
        <v>40000</v>
      </c>
      <c r="I49" s="93">
        <f t="shared" si="3"/>
        <v>639.6</v>
      </c>
    </row>
    <row r="50" spans="1:9" x14ac:dyDescent="0.25">
      <c r="A50" s="163">
        <v>40544</v>
      </c>
      <c r="B50" s="164">
        <v>40621</v>
      </c>
      <c r="C50" s="17">
        <v>806</v>
      </c>
      <c r="D50" s="19"/>
      <c r="E50" s="19">
        <f>Pensions!M50*26</f>
        <v>608.4</v>
      </c>
      <c r="F50" s="19"/>
      <c r="G50" s="17">
        <f t="shared" si="3"/>
        <v>50000</v>
      </c>
      <c r="H50" s="35">
        <f t="shared" si="3"/>
        <v>40000</v>
      </c>
      <c r="I50" s="93">
        <f t="shared" si="3"/>
        <v>639.6</v>
      </c>
    </row>
    <row r="51" spans="1:9" ht="15.75" thickBot="1" x14ac:dyDescent="0.3">
      <c r="A51" s="180">
        <v>40622</v>
      </c>
      <c r="B51" s="181">
        <v>40724</v>
      </c>
      <c r="C51" s="65">
        <v>816.4</v>
      </c>
      <c r="D51" s="68"/>
      <c r="E51" s="68">
        <f>Pensions!M51*26</f>
        <v>616.20000000000005</v>
      </c>
      <c r="F51" s="68"/>
      <c r="G51" s="65">
        <f t="shared" si="3"/>
        <v>50000</v>
      </c>
      <c r="H51" s="69">
        <f t="shared" si="3"/>
        <v>40000</v>
      </c>
      <c r="I51" s="94">
        <f t="shared" si="3"/>
        <v>639.6</v>
      </c>
    </row>
    <row r="52" spans="1:9" x14ac:dyDescent="0.25">
      <c r="A52" s="161">
        <v>40725</v>
      </c>
      <c r="B52" s="162">
        <v>40805</v>
      </c>
      <c r="C52" s="18">
        <v>816.4</v>
      </c>
      <c r="D52" s="20"/>
      <c r="E52" s="20">
        <f>Pensions!M52*26</f>
        <v>616.20000000000005</v>
      </c>
      <c r="F52" s="20"/>
      <c r="G52" s="18">
        <f t="shared" si="3"/>
        <v>50000</v>
      </c>
      <c r="H52" s="60">
        <f t="shared" si="3"/>
        <v>40000</v>
      </c>
      <c r="I52" s="92">
        <f t="shared" si="3"/>
        <v>639.6</v>
      </c>
    </row>
    <row r="53" spans="1:9" x14ac:dyDescent="0.25">
      <c r="A53" s="163">
        <v>40806</v>
      </c>
      <c r="B53" s="164">
        <v>40908</v>
      </c>
      <c r="C53" s="17">
        <v>837.2</v>
      </c>
      <c r="D53" s="19"/>
      <c r="E53" s="19">
        <f>Pensions!M53*26</f>
        <v>631.80000000000007</v>
      </c>
      <c r="F53" s="19"/>
      <c r="G53" s="17">
        <f t="shared" si="3"/>
        <v>50000</v>
      </c>
      <c r="H53" s="35">
        <f t="shared" si="3"/>
        <v>40000</v>
      </c>
      <c r="I53" s="93">
        <f t="shared" si="3"/>
        <v>639.6</v>
      </c>
    </row>
    <row r="54" spans="1:9" s="5" customFormat="1" x14ac:dyDescent="0.25">
      <c r="A54" s="496">
        <v>40909</v>
      </c>
      <c r="B54" s="497">
        <v>40987</v>
      </c>
      <c r="C54" s="375">
        <v>837.2</v>
      </c>
      <c r="D54" s="242"/>
      <c r="E54" s="19">
        <f>Pensions!M54*26</f>
        <v>631.80000000000007</v>
      </c>
      <c r="F54" s="19"/>
      <c r="G54" s="375">
        <f t="shared" si="3"/>
        <v>50000</v>
      </c>
      <c r="H54" s="374">
        <f t="shared" si="3"/>
        <v>40000</v>
      </c>
      <c r="I54" s="373">
        <f t="shared" si="3"/>
        <v>639.6</v>
      </c>
    </row>
    <row r="55" spans="1:9" s="5" customFormat="1" ht="15.75" thickBot="1" x14ac:dyDescent="0.3">
      <c r="A55" s="538">
        <v>40988</v>
      </c>
      <c r="B55" s="539">
        <v>41090</v>
      </c>
      <c r="C55" s="540">
        <v>842.4</v>
      </c>
      <c r="D55" s="543"/>
      <c r="E55" s="68">
        <f>Pensions!M55*26</f>
        <v>634.4</v>
      </c>
      <c r="F55" s="68"/>
      <c r="G55" s="540">
        <f t="shared" si="3"/>
        <v>50000</v>
      </c>
      <c r="H55" s="541">
        <f t="shared" si="3"/>
        <v>40000</v>
      </c>
      <c r="I55" s="542">
        <f t="shared" si="3"/>
        <v>639.6</v>
      </c>
    </row>
    <row r="56" spans="1:9" s="5" customFormat="1" x14ac:dyDescent="0.25">
      <c r="A56" s="531">
        <v>41091</v>
      </c>
      <c r="B56" s="532">
        <v>41171</v>
      </c>
      <c r="C56" s="534">
        <f>Pensions!F56*26</f>
        <v>842.4</v>
      </c>
      <c r="D56" s="536"/>
      <c r="E56" s="20">
        <f>Pensions!M56*26</f>
        <v>634.4</v>
      </c>
      <c r="F56" s="20"/>
      <c r="G56" s="534">
        <f t="shared" si="3"/>
        <v>50000</v>
      </c>
      <c r="H56" s="535">
        <f t="shared" si="3"/>
        <v>40000</v>
      </c>
      <c r="I56" s="533">
        <f t="shared" si="3"/>
        <v>639.6</v>
      </c>
    </row>
    <row r="57" spans="1:9" s="5" customFormat="1" x14ac:dyDescent="0.25">
      <c r="A57" s="496">
        <v>41172</v>
      </c>
      <c r="B57" s="497">
        <v>41274</v>
      </c>
      <c r="C57" s="375">
        <f>Pensions!F57*26</f>
        <v>845</v>
      </c>
      <c r="D57" s="242"/>
      <c r="E57" s="19">
        <f>Pensions!M57*26</f>
        <v>637</v>
      </c>
      <c r="F57" s="19"/>
      <c r="G57" s="375">
        <f t="shared" ref="G57:I72" si="4">G56</f>
        <v>50000</v>
      </c>
      <c r="H57" s="374">
        <f t="shared" si="4"/>
        <v>40000</v>
      </c>
      <c r="I57" s="373">
        <f t="shared" si="4"/>
        <v>639.6</v>
      </c>
    </row>
    <row r="58" spans="1:9" s="5" customFormat="1" x14ac:dyDescent="0.25">
      <c r="A58" s="496">
        <v>41275</v>
      </c>
      <c r="B58" s="497">
        <v>41352</v>
      </c>
      <c r="C58" s="375">
        <f>Pensions!F58*26</f>
        <v>845</v>
      </c>
      <c r="D58" s="242"/>
      <c r="E58" s="19">
        <f>Pensions!M58*26</f>
        <v>637</v>
      </c>
      <c r="F58" s="19"/>
      <c r="G58" s="375">
        <f t="shared" si="4"/>
        <v>50000</v>
      </c>
      <c r="H58" s="374">
        <f t="shared" si="4"/>
        <v>40000</v>
      </c>
      <c r="I58" s="373">
        <f t="shared" si="4"/>
        <v>639.6</v>
      </c>
    </row>
    <row r="59" spans="1:9" s="5" customFormat="1" ht="15.75" thickBot="1" x14ac:dyDescent="0.3">
      <c r="A59" s="538">
        <v>41353</v>
      </c>
      <c r="B59" s="539">
        <v>41455</v>
      </c>
      <c r="C59" s="540">
        <f>Pensions!F59*26</f>
        <v>852.8</v>
      </c>
      <c r="D59" s="543">
        <v>13.5</v>
      </c>
      <c r="E59" s="68">
        <f>Pensions!M59*26</f>
        <v>642.19999999999993</v>
      </c>
      <c r="F59" s="68">
        <v>10.199999999999999</v>
      </c>
      <c r="G59" s="540">
        <f t="shared" si="4"/>
        <v>50000</v>
      </c>
      <c r="H59" s="541">
        <f t="shared" si="4"/>
        <v>40000</v>
      </c>
      <c r="I59" s="542">
        <f t="shared" si="4"/>
        <v>639.6</v>
      </c>
    </row>
    <row r="60" spans="1:9" x14ac:dyDescent="0.25">
      <c r="A60" s="531">
        <v>41456</v>
      </c>
      <c r="B60" s="532">
        <v>41536</v>
      </c>
      <c r="C60" s="534">
        <f>Pensions!F60*26</f>
        <v>852.8</v>
      </c>
      <c r="D60" s="536">
        <f>D59</f>
        <v>13.5</v>
      </c>
      <c r="E60" s="20">
        <f>Pensions!M60*26</f>
        <v>642.19999999999993</v>
      </c>
      <c r="F60" s="20">
        <f>F59</f>
        <v>10.199999999999999</v>
      </c>
      <c r="G60" s="534">
        <f t="shared" si="4"/>
        <v>50000</v>
      </c>
      <c r="H60" s="535">
        <f t="shared" si="4"/>
        <v>40000</v>
      </c>
      <c r="I60" s="533">
        <f t="shared" si="4"/>
        <v>639.6</v>
      </c>
    </row>
    <row r="61" spans="1:9" x14ac:dyDescent="0.25">
      <c r="A61" s="496">
        <v>41537</v>
      </c>
      <c r="B61" s="497">
        <v>41639</v>
      </c>
      <c r="C61" s="375">
        <f>Pensions!F61*26</f>
        <v>858</v>
      </c>
      <c r="D61" s="242">
        <v>13.7</v>
      </c>
      <c r="E61" s="19">
        <f>Pensions!M61*26</f>
        <v>647.4</v>
      </c>
      <c r="F61" s="19">
        <v>10.3</v>
      </c>
      <c r="G61" s="375">
        <f t="shared" si="4"/>
        <v>50000</v>
      </c>
      <c r="H61" s="374">
        <f t="shared" si="4"/>
        <v>40000</v>
      </c>
      <c r="I61" s="373">
        <f t="shared" si="4"/>
        <v>639.6</v>
      </c>
    </row>
    <row r="62" spans="1:9" x14ac:dyDescent="0.25">
      <c r="A62" s="496">
        <v>41640</v>
      </c>
      <c r="B62" s="497">
        <v>41717</v>
      </c>
      <c r="C62" s="375">
        <f>Pensions!F62*26</f>
        <v>858</v>
      </c>
      <c r="D62" s="242">
        <f>D61</f>
        <v>13.7</v>
      </c>
      <c r="E62" s="19">
        <f>Pensions!M62*26</f>
        <v>647.4</v>
      </c>
      <c r="F62" s="19">
        <f>F61</f>
        <v>10.3</v>
      </c>
      <c r="G62" s="375">
        <f t="shared" si="4"/>
        <v>50000</v>
      </c>
      <c r="H62" s="374">
        <f t="shared" si="4"/>
        <v>40000</v>
      </c>
      <c r="I62" s="373">
        <f t="shared" si="4"/>
        <v>639.6</v>
      </c>
    </row>
    <row r="63" spans="1:9" ht="15.75" thickBot="1" x14ac:dyDescent="0.3">
      <c r="A63" s="538">
        <v>41718</v>
      </c>
      <c r="B63" s="539">
        <v>41820</v>
      </c>
      <c r="C63" s="540">
        <f>Pensions!F63*26</f>
        <v>876.2</v>
      </c>
      <c r="D63" s="543">
        <v>13.9</v>
      </c>
      <c r="E63" s="68">
        <f>Pensions!M63*26</f>
        <v>660.4</v>
      </c>
      <c r="F63" s="68">
        <v>10.5</v>
      </c>
      <c r="G63" s="540">
        <f t="shared" si="4"/>
        <v>50000</v>
      </c>
      <c r="H63" s="541">
        <f t="shared" si="4"/>
        <v>40000</v>
      </c>
      <c r="I63" s="542">
        <f t="shared" si="4"/>
        <v>639.6</v>
      </c>
    </row>
    <row r="64" spans="1:9" x14ac:dyDescent="0.25">
      <c r="A64" s="531">
        <v>41821</v>
      </c>
      <c r="B64" s="532">
        <v>41901</v>
      </c>
      <c r="C64" s="534">
        <f>Pensions!F64*26</f>
        <v>876.2</v>
      </c>
      <c r="D64" s="536">
        <f>D63</f>
        <v>13.9</v>
      </c>
      <c r="E64" s="20">
        <f>Pensions!M64*26</f>
        <v>660.4</v>
      </c>
      <c r="F64" s="20">
        <f>F63</f>
        <v>10.5</v>
      </c>
      <c r="G64" s="534">
        <f t="shared" si="4"/>
        <v>50000</v>
      </c>
      <c r="H64" s="535">
        <f t="shared" si="4"/>
        <v>40000</v>
      </c>
      <c r="I64" s="533">
        <f t="shared" si="4"/>
        <v>639.6</v>
      </c>
    </row>
    <row r="65" spans="1:14" x14ac:dyDescent="0.25">
      <c r="A65" s="496">
        <v>41902</v>
      </c>
      <c r="B65" s="497">
        <v>42004</v>
      </c>
      <c r="C65" s="375">
        <f>Pensions!F65*26</f>
        <v>886.6</v>
      </c>
      <c r="D65" s="242">
        <v>14.1</v>
      </c>
      <c r="E65" s="242">
        <f>Pensions!M65*26</f>
        <v>668.2</v>
      </c>
      <c r="F65" s="242">
        <v>10.6</v>
      </c>
      <c r="G65" s="375">
        <f>IndexAmt(G64,"peCpiFp",$B63,1,12)</f>
        <v>51500</v>
      </c>
      <c r="H65" s="374">
        <f>IndexAmt(H64,"peCpiFp",$B63,1,12)</f>
        <v>41200</v>
      </c>
      <c r="I65" s="373">
        <f t="shared" si="4"/>
        <v>639.6</v>
      </c>
    </row>
    <row r="66" spans="1:14" x14ac:dyDescent="0.25">
      <c r="A66" s="496">
        <v>42005</v>
      </c>
      <c r="B66" s="497">
        <v>42082</v>
      </c>
      <c r="C66" s="375">
        <f>Pensions!F66*26</f>
        <v>886.6</v>
      </c>
      <c r="D66" s="242">
        <f>D65</f>
        <v>14.1</v>
      </c>
      <c r="E66" s="242">
        <f>Pensions!M66*26</f>
        <v>668.2</v>
      </c>
      <c r="F66" s="242">
        <f>F65</f>
        <v>10.6</v>
      </c>
      <c r="G66" s="375">
        <f t="shared" si="4"/>
        <v>51500</v>
      </c>
      <c r="H66" s="374">
        <f t="shared" si="4"/>
        <v>41200</v>
      </c>
      <c r="I66" s="373">
        <f t="shared" si="4"/>
        <v>639.6</v>
      </c>
    </row>
    <row r="67" spans="1:14" ht="15.75" thickBot="1" x14ac:dyDescent="0.3">
      <c r="A67" s="538">
        <v>42083</v>
      </c>
      <c r="B67" s="539">
        <v>42185</v>
      </c>
      <c r="C67" s="540">
        <f>Pensions!F67*26</f>
        <v>894.4</v>
      </c>
      <c r="D67" s="543">
        <f>D66</f>
        <v>14.1</v>
      </c>
      <c r="E67" s="543">
        <f>Pensions!M67*26</f>
        <v>673.4</v>
      </c>
      <c r="F67" s="543">
        <f>F66</f>
        <v>10.6</v>
      </c>
      <c r="G67" s="540">
        <f t="shared" si="4"/>
        <v>51500</v>
      </c>
      <c r="H67" s="541">
        <f t="shared" si="4"/>
        <v>41200</v>
      </c>
      <c r="I67" s="542">
        <f t="shared" si="4"/>
        <v>639.6</v>
      </c>
    </row>
    <row r="68" spans="1:14" x14ac:dyDescent="0.25">
      <c r="A68" s="531">
        <v>42186</v>
      </c>
      <c r="B68" s="532">
        <v>42266</v>
      </c>
      <c r="C68" s="534">
        <v>0</v>
      </c>
      <c r="D68" s="536">
        <v>14.1</v>
      </c>
      <c r="E68" s="536">
        <v>0</v>
      </c>
      <c r="F68" s="536">
        <v>10.6</v>
      </c>
      <c r="G68" s="534">
        <f t="shared" si="4"/>
        <v>51500</v>
      </c>
      <c r="H68" s="535">
        <f t="shared" si="4"/>
        <v>41200</v>
      </c>
      <c r="I68" s="533">
        <f t="shared" si="4"/>
        <v>639.6</v>
      </c>
      <c r="N68" s="12"/>
    </row>
    <row r="69" spans="1:14" x14ac:dyDescent="0.25">
      <c r="A69" s="496">
        <v>42267</v>
      </c>
      <c r="B69" s="497">
        <v>42369</v>
      </c>
      <c r="C69" s="375">
        <v>0</v>
      </c>
      <c r="D69" s="242">
        <v>14.1</v>
      </c>
      <c r="E69" s="242">
        <v>0</v>
      </c>
      <c r="F69" s="242">
        <v>10.6</v>
      </c>
      <c r="G69" s="375">
        <f>IndexAmt(G68,"peCpiFp",$B67,1,12)</f>
        <v>52273</v>
      </c>
      <c r="H69" s="374">
        <f>IndexAmt(H68,"peCpiFp",$B67,1,12)</f>
        <v>41818</v>
      </c>
      <c r="I69" s="373">
        <f t="shared" si="4"/>
        <v>639.6</v>
      </c>
    </row>
    <row r="70" spans="1:14" x14ac:dyDescent="0.25">
      <c r="A70" s="496">
        <v>42370</v>
      </c>
      <c r="B70" s="497">
        <v>42448</v>
      </c>
      <c r="C70" s="375">
        <v>0</v>
      </c>
      <c r="D70" s="242">
        <v>14.1</v>
      </c>
      <c r="E70" s="242">
        <v>0</v>
      </c>
      <c r="F70" s="242">
        <v>10.6</v>
      </c>
      <c r="G70" s="375">
        <f t="shared" ref="G70:H72" si="5">G69</f>
        <v>52273</v>
      </c>
      <c r="H70" s="374">
        <f t="shared" si="5"/>
        <v>41818</v>
      </c>
      <c r="I70" s="373">
        <f t="shared" si="4"/>
        <v>639.6</v>
      </c>
      <c r="N70" s="270"/>
    </row>
    <row r="71" spans="1:14" ht="15.75" thickBot="1" x14ac:dyDescent="0.3">
      <c r="A71" s="538">
        <v>42449</v>
      </c>
      <c r="B71" s="539">
        <v>42551</v>
      </c>
      <c r="C71" s="540">
        <v>0</v>
      </c>
      <c r="D71" s="543">
        <v>14.1</v>
      </c>
      <c r="E71" s="543">
        <v>0</v>
      </c>
      <c r="F71" s="543">
        <v>10.6</v>
      </c>
      <c r="G71" s="540">
        <f>G70</f>
        <v>52273</v>
      </c>
      <c r="H71" s="541">
        <f t="shared" si="5"/>
        <v>41818</v>
      </c>
      <c r="I71" s="542">
        <f t="shared" si="4"/>
        <v>639.6</v>
      </c>
      <c r="K71" s="12"/>
    </row>
    <row r="72" spans="1:14" s="5" customFormat="1" x14ac:dyDescent="0.25">
      <c r="A72" s="531">
        <v>42552</v>
      </c>
      <c r="B72" s="532">
        <v>42632</v>
      </c>
      <c r="C72" s="534">
        <v>0</v>
      </c>
      <c r="D72" s="536">
        <v>14.1</v>
      </c>
      <c r="E72" s="536">
        <v>0</v>
      </c>
      <c r="F72" s="536">
        <v>10.6</v>
      </c>
      <c r="G72" s="534">
        <f t="shared" si="5"/>
        <v>52273</v>
      </c>
      <c r="H72" s="535">
        <f t="shared" si="5"/>
        <v>41818</v>
      </c>
      <c r="I72" s="533">
        <f t="shared" si="4"/>
        <v>639.6</v>
      </c>
    </row>
    <row r="73" spans="1:14" x14ac:dyDescent="0.25">
      <c r="A73" s="496">
        <v>42633</v>
      </c>
      <c r="B73" s="497">
        <v>42735</v>
      </c>
      <c r="C73" s="375">
        <v>0</v>
      </c>
      <c r="D73" s="242">
        <v>14.1</v>
      </c>
      <c r="E73" s="242">
        <v>0</v>
      </c>
      <c r="F73" s="242">
        <v>10.6</v>
      </c>
      <c r="G73" s="375">
        <f>IndexAmt(G72,"peCpiFp",$B71,1,12)</f>
        <v>52796</v>
      </c>
      <c r="H73" s="374">
        <f>IndexAmt(H72,"peCpiFp",$B71,1,12)</f>
        <v>42236</v>
      </c>
      <c r="I73" s="373">
        <f t="shared" ref="I73:I88" si="6">I72</f>
        <v>639.6</v>
      </c>
    </row>
    <row r="74" spans="1:14" x14ac:dyDescent="0.25">
      <c r="A74" s="496">
        <v>42736</v>
      </c>
      <c r="B74" s="497">
        <v>42813</v>
      </c>
      <c r="C74" s="375">
        <v>0</v>
      </c>
      <c r="D74" s="242">
        <v>14.1</v>
      </c>
      <c r="E74" s="242">
        <v>0</v>
      </c>
      <c r="F74" s="242">
        <v>10.6</v>
      </c>
      <c r="G74" s="375">
        <f t="shared" ref="G74:H76" si="7">G73</f>
        <v>52796</v>
      </c>
      <c r="H74" s="374">
        <f t="shared" si="7"/>
        <v>42236</v>
      </c>
      <c r="I74" s="373">
        <f t="shared" si="6"/>
        <v>639.6</v>
      </c>
    </row>
    <row r="75" spans="1:14" ht="15.75" thickBot="1" x14ac:dyDescent="0.3">
      <c r="A75" s="538">
        <v>42814</v>
      </c>
      <c r="B75" s="539">
        <v>42916</v>
      </c>
      <c r="C75" s="540">
        <v>0</v>
      </c>
      <c r="D75" s="543">
        <v>14.1</v>
      </c>
      <c r="E75" s="543">
        <v>0</v>
      </c>
      <c r="F75" s="543">
        <v>10.6</v>
      </c>
      <c r="G75" s="540">
        <f t="shared" si="7"/>
        <v>52796</v>
      </c>
      <c r="H75" s="541">
        <f t="shared" si="7"/>
        <v>42236</v>
      </c>
      <c r="I75" s="542">
        <f t="shared" si="6"/>
        <v>639.6</v>
      </c>
    </row>
    <row r="76" spans="1:14" x14ac:dyDescent="0.25">
      <c r="A76" s="531">
        <v>42917</v>
      </c>
      <c r="B76" s="532">
        <v>42997</v>
      </c>
      <c r="C76" s="534">
        <v>0</v>
      </c>
      <c r="D76" s="536">
        <v>14.1</v>
      </c>
      <c r="E76" s="536">
        <v>0</v>
      </c>
      <c r="F76" s="536">
        <v>10.6</v>
      </c>
      <c r="G76" s="534">
        <f t="shared" si="7"/>
        <v>52796</v>
      </c>
      <c r="H76" s="535">
        <f>H75</f>
        <v>42236</v>
      </c>
      <c r="I76" s="533">
        <f>I75</f>
        <v>639.6</v>
      </c>
    </row>
    <row r="77" spans="1:14" x14ac:dyDescent="0.25">
      <c r="A77" s="165">
        <v>42998</v>
      </c>
      <c r="B77" s="166">
        <v>43100</v>
      </c>
      <c r="C77" s="33">
        <v>0</v>
      </c>
      <c r="D77" s="1024">
        <v>14.1</v>
      </c>
      <c r="E77" s="34">
        <v>0</v>
      </c>
      <c r="F77" s="1024">
        <v>10.6</v>
      </c>
      <c r="G77" s="33">
        <f>IndexAmt(G76,"peCpiFp",$B75,1,12)</f>
        <v>53799</v>
      </c>
      <c r="H77" s="75">
        <f>IndexAmt(H76,"peCpiFp",$B75,1,12)</f>
        <v>43038</v>
      </c>
      <c r="I77" s="107">
        <f t="shared" si="6"/>
        <v>639.6</v>
      </c>
    </row>
    <row r="78" spans="1:14" x14ac:dyDescent="0.25">
      <c r="A78" s="165">
        <v>43101</v>
      </c>
      <c r="B78" s="166">
        <v>43178</v>
      </c>
      <c r="C78" s="33">
        <v>0</v>
      </c>
      <c r="D78" s="34">
        <v>14.1</v>
      </c>
      <c r="E78" s="34">
        <v>0</v>
      </c>
      <c r="F78" s="34">
        <v>10.6</v>
      </c>
      <c r="G78" s="33">
        <f t="shared" ref="G78:H80" si="8">G77</f>
        <v>53799</v>
      </c>
      <c r="H78" s="75">
        <f t="shared" si="8"/>
        <v>43038</v>
      </c>
      <c r="I78" s="107">
        <f t="shared" si="6"/>
        <v>639.6</v>
      </c>
    </row>
    <row r="79" spans="1:14" ht="15.75" thickBot="1" x14ac:dyDescent="0.3">
      <c r="A79" s="167">
        <v>43179</v>
      </c>
      <c r="B79" s="168">
        <v>43281</v>
      </c>
      <c r="C79" s="77">
        <v>0</v>
      </c>
      <c r="D79" s="78">
        <v>14.1</v>
      </c>
      <c r="E79" s="78">
        <v>0</v>
      </c>
      <c r="F79" s="78">
        <v>10.6</v>
      </c>
      <c r="G79" s="77">
        <f t="shared" si="8"/>
        <v>53799</v>
      </c>
      <c r="H79" s="79">
        <f t="shared" si="8"/>
        <v>43038</v>
      </c>
      <c r="I79" s="111">
        <f t="shared" si="6"/>
        <v>639.6</v>
      </c>
    </row>
    <row r="80" spans="1:14" x14ac:dyDescent="0.25">
      <c r="A80" s="169">
        <v>43282</v>
      </c>
      <c r="B80" s="170">
        <v>43362</v>
      </c>
      <c r="C80" s="188">
        <v>0</v>
      </c>
      <c r="D80" s="171">
        <v>14.1</v>
      </c>
      <c r="E80" s="171">
        <v>0</v>
      </c>
      <c r="F80" s="171">
        <v>10.6</v>
      </c>
      <c r="G80" s="188">
        <f t="shared" si="8"/>
        <v>53799</v>
      </c>
      <c r="H80" s="172">
        <f t="shared" si="8"/>
        <v>43038</v>
      </c>
      <c r="I80" s="189">
        <f t="shared" si="6"/>
        <v>639.6</v>
      </c>
    </row>
    <row r="81" spans="1:13" x14ac:dyDescent="0.25">
      <c r="A81" s="165">
        <v>43363</v>
      </c>
      <c r="B81" s="166">
        <v>43465</v>
      </c>
      <c r="C81" s="33">
        <v>0</v>
      </c>
      <c r="D81" s="34">
        <v>14.1</v>
      </c>
      <c r="E81" s="34">
        <v>0</v>
      </c>
      <c r="F81" s="34">
        <v>10.6</v>
      </c>
      <c r="G81" s="33">
        <f>IndexAmt(G80,"peCpiFp",$B79,1,12)</f>
        <v>54875</v>
      </c>
      <c r="H81" s="75">
        <f>IndexAmt(H80,"peCpiFp",$B79,1,12)</f>
        <v>43899</v>
      </c>
      <c r="I81" s="107">
        <f t="shared" si="6"/>
        <v>639.6</v>
      </c>
      <c r="M81" s="28" t="s">
        <v>873</v>
      </c>
    </row>
    <row r="82" spans="1:13" x14ac:dyDescent="0.25">
      <c r="A82" s="165">
        <v>43466</v>
      </c>
      <c r="B82" s="166">
        <v>43543</v>
      </c>
      <c r="C82" s="33">
        <v>0</v>
      </c>
      <c r="D82" s="34">
        <v>14.1</v>
      </c>
      <c r="E82" s="34">
        <v>0</v>
      </c>
      <c r="F82" s="34">
        <v>10.6</v>
      </c>
      <c r="G82" s="33">
        <f t="shared" ref="G82:H84" si="9">G81</f>
        <v>54875</v>
      </c>
      <c r="H82" s="75">
        <f t="shared" si="9"/>
        <v>43899</v>
      </c>
      <c r="I82" s="107">
        <f t="shared" si="6"/>
        <v>639.6</v>
      </c>
    </row>
    <row r="83" spans="1:13" ht="15.75" thickBot="1" x14ac:dyDescent="0.3">
      <c r="A83" s="167">
        <v>43544</v>
      </c>
      <c r="B83" s="168">
        <v>43646</v>
      </c>
      <c r="C83" s="77">
        <v>0</v>
      </c>
      <c r="D83" s="78">
        <v>14.1</v>
      </c>
      <c r="E83" s="78">
        <v>0</v>
      </c>
      <c r="F83" s="78">
        <v>10.6</v>
      </c>
      <c r="G83" s="77">
        <f t="shared" si="9"/>
        <v>54875</v>
      </c>
      <c r="H83" s="79">
        <f t="shared" si="9"/>
        <v>43899</v>
      </c>
      <c r="I83" s="111">
        <f t="shared" si="6"/>
        <v>639.6</v>
      </c>
    </row>
    <row r="84" spans="1:13" x14ac:dyDescent="0.25">
      <c r="A84" s="169">
        <v>43647</v>
      </c>
      <c r="B84" s="170">
        <v>43727</v>
      </c>
      <c r="C84" s="188">
        <v>0</v>
      </c>
      <c r="D84" s="171">
        <v>14.1</v>
      </c>
      <c r="E84" s="171">
        <v>0</v>
      </c>
      <c r="F84" s="171">
        <v>10.6</v>
      </c>
      <c r="G84" s="188">
        <f t="shared" si="9"/>
        <v>54875</v>
      </c>
      <c r="H84" s="172">
        <f t="shared" si="9"/>
        <v>43899</v>
      </c>
      <c r="I84" s="189">
        <f t="shared" si="6"/>
        <v>639.6</v>
      </c>
    </row>
    <row r="85" spans="1:13" x14ac:dyDescent="0.25">
      <c r="A85" s="165">
        <v>43728</v>
      </c>
      <c r="B85" s="166">
        <v>43830</v>
      </c>
      <c r="C85" s="33">
        <v>0</v>
      </c>
      <c r="D85" s="34">
        <v>14.1</v>
      </c>
      <c r="E85" s="34">
        <v>0</v>
      </c>
      <c r="F85" s="34">
        <v>10.6</v>
      </c>
      <c r="G85" s="33">
        <f>IndexAmt(G84,"peCpiFp",$B83,1,12)</f>
        <v>56082</v>
      </c>
      <c r="H85" s="75">
        <f>IndexAmt(H84,"peCpiFp",$B83,1,12)</f>
        <v>44865</v>
      </c>
      <c r="I85" s="107">
        <f t="shared" si="6"/>
        <v>639.6</v>
      </c>
    </row>
    <row r="86" spans="1:13" x14ac:dyDescent="0.25">
      <c r="A86" s="165">
        <v>43831</v>
      </c>
      <c r="B86" s="166">
        <v>43909</v>
      </c>
      <c r="C86" s="33">
        <v>0</v>
      </c>
      <c r="D86" s="34">
        <v>14.1</v>
      </c>
      <c r="E86" s="34">
        <v>0</v>
      </c>
      <c r="F86" s="34">
        <v>10.6</v>
      </c>
      <c r="G86" s="33">
        <f t="shared" ref="G86:H88" si="10">G85</f>
        <v>56082</v>
      </c>
      <c r="H86" s="75">
        <f t="shared" si="10"/>
        <v>44865</v>
      </c>
      <c r="I86" s="107">
        <f t="shared" si="6"/>
        <v>639.6</v>
      </c>
    </row>
    <row r="87" spans="1:13" ht="15.75" thickBot="1" x14ac:dyDescent="0.3">
      <c r="A87" s="167">
        <v>43910</v>
      </c>
      <c r="B87" s="168">
        <v>44012</v>
      </c>
      <c r="C87" s="77">
        <v>0</v>
      </c>
      <c r="D87" s="78">
        <v>14.1</v>
      </c>
      <c r="E87" s="78">
        <v>0</v>
      </c>
      <c r="F87" s="78">
        <v>10.6</v>
      </c>
      <c r="G87" s="77">
        <f t="shared" si="10"/>
        <v>56082</v>
      </c>
      <c r="H87" s="79">
        <f t="shared" si="10"/>
        <v>44865</v>
      </c>
      <c r="I87" s="111">
        <f t="shared" si="6"/>
        <v>639.6</v>
      </c>
    </row>
    <row r="88" spans="1:13" x14ac:dyDescent="0.25">
      <c r="A88" s="169">
        <v>44013</v>
      </c>
      <c r="B88" s="170">
        <v>44093</v>
      </c>
      <c r="C88" s="188">
        <v>0</v>
      </c>
      <c r="D88" s="171">
        <v>14.1</v>
      </c>
      <c r="E88" s="171">
        <v>0</v>
      </c>
      <c r="F88" s="171">
        <v>10.6</v>
      </c>
      <c r="G88" s="188">
        <f t="shared" si="10"/>
        <v>56082</v>
      </c>
      <c r="H88" s="172">
        <f t="shared" si="10"/>
        <v>44865</v>
      </c>
      <c r="I88" s="189">
        <f t="shared" si="6"/>
        <v>639.6</v>
      </c>
    </row>
    <row r="89" spans="1:13" x14ac:dyDescent="0.25">
      <c r="A89" s="165">
        <v>44094</v>
      </c>
      <c r="B89" s="166">
        <v>44196</v>
      </c>
      <c r="C89" s="33">
        <v>0</v>
      </c>
      <c r="D89" s="34">
        <v>14.1</v>
      </c>
      <c r="E89" s="34">
        <v>0</v>
      </c>
      <c r="F89" s="34">
        <v>10.6</v>
      </c>
      <c r="G89" s="33">
        <f>IndexAmt(G88,"peCpiFp",$B87,1,12)</f>
        <v>57484</v>
      </c>
      <c r="H89" s="75">
        <f>IndexAmt(H88,"peCpiFp",$B87,1,12)</f>
        <v>45987</v>
      </c>
      <c r="I89" s="107">
        <f>I88</f>
        <v>639.6</v>
      </c>
    </row>
    <row r="90" spans="1:13" x14ac:dyDescent="0.25">
      <c r="A90" s="165">
        <v>44197</v>
      </c>
      <c r="B90" s="166">
        <v>44274</v>
      </c>
      <c r="C90" s="33">
        <v>0</v>
      </c>
      <c r="D90" s="34">
        <v>14.1</v>
      </c>
      <c r="E90" s="34">
        <v>0</v>
      </c>
      <c r="F90" s="34">
        <v>10.6</v>
      </c>
      <c r="G90" s="33">
        <f>G89</f>
        <v>57484</v>
      </c>
      <c r="H90" s="75">
        <f>H89</f>
        <v>45987</v>
      </c>
      <c r="I90" s="107">
        <f>I89</f>
        <v>639.6</v>
      </c>
    </row>
    <row r="91" spans="1:13" ht="15.75" thickBot="1" x14ac:dyDescent="0.3">
      <c r="A91" s="167">
        <v>44275</v>
      </c>
      <c r="B91" s="168">
        <v>44377</v>
      </c>
      <c r="C91" s="77">
        <v>0</v>
      </c>
      <c r="D91" s="78">
        <v>14.1</v>
      </c>
      <c r="E91" s="78">
        <v>0</v>
      </c>
      <c r="F91" s="78">
        <v>10.6</v>
      </c>
      <c r="G91" s="77">
        <f>G90</f>
        <v>57484</v>
      </c>
      <c r="H91" s="79">
        <f>H90</f>
        <v>45987</v>
      </c>
      <c r="I91" s="111">
        <f>I90</f>
        <v>639.6</v>
      </c>
    </row>
  </sheetData>
  <customSheetViews>
    <customSheetView guid="{E49C2F27-B0B9-497E-BEC0-5B59561292FE}">
      <pane xSplit="2" ySplit="7" topLeftCell="C53" activePane="bottomRight" state="frozen"/>
      <selection pane="bottomRight" activeCell="I71" sqref="I71"/>
      <pageMargins left="0.7" right="0.7" top="0.75" bottom="0.75" header="0.3" footer="0.3"/>
    </customSheetView>
    <customSheetView guid="{A5953138-1481-4137-BEAD-32FA4FDF03E6}">
      <pane xSplit="2" ySplit="7" topLeftCell="C53" activePane="bottomRight" state="frozen"/>
      <selection pane="bottomRight" activeCell="I71" sqref="I71"/>
      <pageMargins left="0.7" right="0.7" top="0.75" bottom="0.75" header="0.3" footer="0.3"/>
    </customSheetView>
    <customSheetView guid="{2A1F94CA-1A34-4418-88FD-EABF7586C2B2}">
      <pane xSplit="2" ySplit="7" topLeftCell="C53" activePane="bottomRight" state="frozen"/>
      <selection pane="bottomRight" activeCell="I71" sqref="I71"/>
      <pageMargins left="0.7" right="0.7" top="0.75" bottom="0.75" header="0.3" footer="0.3"/>
    </customSheetView>
  </customSheetViews>
  <mergeCells count="14">
    <mergeCell ref="A2:B3"/>
    <mergeCell ref="A4:A6"/>
    <mergeCell ref="B4:B6"/>
    <mergeCell ref="C1:F1"/>
    <mergeCell ref="C2:F3"/>
    <mergeCell ref="D4:D6"/>
    <mergeCell ref="F4:F6"/>
    <mergeCell ref="G1:I1"/>
    <mergeCell ref="C4:C6"/>
    <mergeCell ref="E4:E6"/>
    <mergeCell ref="G4:G6"/>
    <mergeCell ref="H4:H6"/>
    <mergeCell ref="G2:I3"/>
    <mergeCell ref="I4:I6"/>
  </mergeCells>
  <pageMargins left="0.7" right="0.7" top="0.75" bottom="0.75" header="0.3" footer="0.3"/>
  <legacyDrawing r:id="rId1"/>
</worksheet>
</file>

<file path=xl/worksheets/sheet3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000-000000000000}">
  <sheetPr codeName="Sheet63">
    <tabColor rgb="FF00B0F0"/>
  </sheetPr>
  <dimension ref="A1:I28"/>
  <sheetViews>
    <sheetView workbookViewId="0">
      <selection activeCell="A29" sqref="A29:XFD108"/>
    </sheetView>
  </sheetViews>
  <sheetFormatPr defaultRowHeight="15" x14ac:dyDescent="0.25"/>
  <cols>
    <col min="1" max="1" width="9.7109375" style="27" bestFit="1" customWidth="1"/>
    <col min="2" max="2" width="10.7109375" style="27" bestFit="1" customWidth="1"/>
    <col min="3" max="3" width="12.85546875" style="27" customWidth="1"/>
    <col min="4" max="4" width="15.5703125" style="27" bestFit="1" customWidth="1"/>
    <col min="5" max="5" width="12.85546875" style="27" customWidth="1"/>
    <col min="6" max="6" width="15.5703125" style="27" bestFit="1" customWidth="1"/>
    <col min="7" max="8" width="18.28515625" style="27" bestFit="1" customWidth="1"/>
    <col min="9" max="9" width="23.42578125" style="27" customWidth="1"/>
    <col min="10" max="16384" width="9.140625" style="28"/>
  </cols>
  <sheetData>
    <row r="1" spans="1:9" ht="15.75" thickBot="1" x14ac:dyDescent="0.3">
      <c r="C1" s="1330" t="s">
        <v>67</v>
      </c>
      <c r="D1" s="1331"/>
      <c r="E1" s="1331"/>
      <c r="F1" s="1332"/>
      <c r="G1" s="1330" t="s">
        <v>327</v>
      </c>
      <c r="H1" s="1331"/>
      <c r="I1" s="1332"/>
    </row>
    <row r="2" spans="1:9" ht="15" customHeight="1" x14ac:dyDescent="0.25">
      <c r="A2" s="1164" t="s">
        <v>13</v>
      </c>
      <c r="B2" s="1165"/>
      <c r="C2" s="1164" t="s">
        <v>140</v>
      </c>
      <c r="D2" s="1214"/>
      <c r="E2" s="1214"/>
      <c r="F2" s="1165"/>
      <c r="G2" s="1164" t="s">
        <v>141</v>
      </c>
      <c r="H2" s="1214"/>
      <c r="I2" s="1165"/>
    </row>
    <row r="3" spans="1:9" ht="15.75" thickBot="1" x14ac:dyDescent="0.3">
      <c r="A3" s="1215"/>
      <c r="B3" s="1236"/>
      <c r="C3" s="1166"/>
      <c r="D3" s="1217"/>
      <c r="E3" s="1217"/>
      <c r="F3" s="1167"/>
      <c r="G3" s="1166"/>
      <c r="H3" s="1217"/>
      <c r="I3" s="1167"/>
    </row>
    <row r="4" spans="1:9" ht="15.75" customHeight="1" x14ac:dyDescent="0.25">
      <c r="A4" s="1188" t="s">
        <v>16</v>
      </c>
      <c r="B4" s="1176" t="s">
        <v>17</v>
      </c>
      <c r="C4" s="1250" t="s">
        <v>12</v>
      </c>
      <c r="D4" s="1256" t="s">
        <v>607</v>
      </c>
      <c r="E4" s="1256" t="s">
        <v>11</v>
      </c>
      <c r="F4" s="1256" t="s">
        <v>608</v>
      </c>
      <c r="G4" s="1250" t="s">
        <v>12</v>
      </c>
      <c r="H4" s="1187" t="s">
        <v>11</v>
      </c>
      <c r="I4" s="1157" t="s">
        <v>142</v>
      </c>
    </row>
    <row r="5" spans="1:9" x14ac:dyDescent="0.25">
      <c r="A5" s="1188"/>
      <c r="B5" s="1189"/>
      <c r="C5" s="1188"/>
      <c r="D5" s="1189"/>
      <c r="E5" s="1189"/>
      <c r="F5" s="1189"/>
      <c r="G5" s="1188"/>
      <c r="H5" s="1176"/>
      <c r="I5" s="1158"/>
    </row>
    <row r="6" spans="1:9" ht="15.75" thickBot="1" x14ac:dyDescent="0.3">
      <c r="A6" s="1207"/>
      <c r="B6" s="1257"/>
      <c r="C6" s="1207"/>
      <c r="D6" s="1257"/>
      <c r="E6" s="1257"/>
      <c r="F6" s="1257"/>
      <c r="G6" s="1207"/>
      <c r="H6" s="1177"/>
      <c r="I6" s="1159"/>
    </row>
    <row r="7" spans="1:9" ht="15.75" thickBot="1" x14ac:dyDescent="0.3">
      <c r="A7" s="713" t="s">
        <v>550</v>
      </c>
      <c r="B7" s="714" t="s">
        <v>551</v>
      </c>
      <c r="C7" s="313" t="s">
        <v>582</v>
      </c>
      <c r="D7" s="807" t="s">
        <v>648</v>
      </c>
      <c r="E7" s="807" t="s">
        <v>583</v>
      </c>
      <c r="F7" s="807" t="s">
        <v>647</v>
      </c>
      <c r="G7" s="303" t="s">
        <v>651</v>
      </c>
      <c r="H7" s="304" t="s">
        <v>652</v>
      </c>
      <c r="I7" s="305" t="s">
        <v>653</v>
      </c>
    </row>
    <row r="8" spans="1:9" x14ac:dyDescent="0.25">
      <c r="A8" s="161">
        <v>36708</v>
      </c>
      <c r="B8" s="162">
        <v>37072</v>
      </c>
      <c r="C8" s="18">
        <f t="shared" ref="C8:I17" si="0">AnnualAverage($A8,C$7,SeniorSupParms,SeniorSupDates,SeniorSupNames)</f>
        <v>0</v>
      </c>
      <c r="D8" s="20">
        <f t="shared" si="0"/>
        <v>0</v>
      </c>
      <c r="E8" s="20">
        <f t="shared" si="0"/>
        <v>0</v>
      </c>
      <c r="F8" s="20">
        <f t="shared" si="0"/>
        <v>0</v>
      </c>
      <c r="G8" s="18">
        <f t="shared" si="0"/>
        <v>41000</v>
      </c>
      <c r="H8" s="60">
        <f t="shared" si="0"/>
        <v>34338</v>
      </c>
      <c r="I8" s="92">
        <f t="shared" si="0"/>
        <v>624</v>
      </c>
    </row>
    <row r="9" spans="1:9" x14ac:dyDescent="0.25">
      <c r="A9" s="163">
        <v>37073</v>
      </c>
      <c r="B9" s="164">
        <v>37437</v>
      </c>
      <c r="C9" s="17">
        <f t="shared" si="0"/>
        <v>0</v>
      </c>
      <c r="D9" s="19">
        <f t="shared" si="0"/>
        <v>0</v>
      </c>
      <c r="E9" s="19">
        <f t="shared" si="0"/>
        <v>0</v>
      </c>
      <c r="F9" s="19">
        <f t="shared" si="0"/>
        <v>0</v>
      </c>
      <c r="G9" s="17">
        <f t="shared" si="0"/>
        <v>50000</v>
      </c>
      <c r="H9" s="35">
        <f t="shared" si="0"/>
        <v>40000</v>
      </c>
      <c r="I9" s="93">
        <f t="shared" si="0"/>
        <v>639.6</v>
      </c>
    </row>
    <row r="10" spans="1:9" x14ac:dyDescent="0.25">
      <c r="A10" s="163">
        <v>37438</v>
      </c>
      <c r="B10" s="164">
        <v>37802</v>
      </c>
      <c r="C10" s="17">
        <f t="shared" si="0"/>
        <v>0</v>
      </c>
      <c r="D10" s="19">
        <f t="shared" si="0"/>
        <v>0</v>
      </c>
      <c r="E10" s="19">
        <f t="shared" si="0"/>
        <v>0</v>
      </c>
      <c r="F10" s="19">
        <f t="shared" si="0"/>
        <v>0</v>
      </c>
      <c r="G10" s="17">
        <f t="shared" si="0"/>
        <v>50000</v>
      </c>
      <c r="H10" s="35">
        <f t="shared" si="0"/>
        <v>40000</v>
      </c>
      <c r="I10" s="93">
        <f t="shared" si="0"/>
        <v>639.6</v>
      </c>
    </row>
    <row r="11" spans="1:9" x14ac:dyDescent="0.25">
      <c r="A11" s="163">
        <v>37803</v>
      </c>
      <c r="B11" s="164">
        <v>38168</v>
      </c>
      <c r="C11" s="17">
        <f t="shared" si="0"/>
        <v>0</v>
      </c>
      <c r="D11" s="19">
        <f t="shared" si="0"/>
        <v>0</v>
      </c>
      <c r="E11" s="19">
        <f t="shared" si="0"/>
        <v>0</v>
      </c>
      <c r="F11" s="19">
        <f t="shared" si="0"/>
        <v>0</v>
      </c>
      <c r="G11" s="17">
        <f t="shared" si="0"/>
        <v>50000</v>
      </c>
      <c r="H11" s="35">
        <f t="shared" si="0"/>
        <v>40000</v>
      </c>
      <c r="I11" s="93">
        <f t="shared" si="0"/>
        <v>639.6</v>
      </c>
    </row>
    <row r="12" spans="1:9" x14ac:dyDescent="0.25">
      <c r="A12" s="163">
        <v>38169</v>
      </c>
      <c r="B12" s="164">
        <v>38533</v>
      </c>
      <c r="C12" s="17">
        <f t="shared" si="0"/>
        <v>96.296296296296291</v>
      </c>
      <c r="D12" s="19">
        <f t="shared" si="0"/>
        <v>0</v>
      </c>
      <c r="E12" s="19">
        <f t="shared" si="0"/>
        <v>96.296296296296291</v>
      </c>
      <c r="F12" s="19">
        <f t="shared" si="0"/>
        <v>0</v>
      </c>
      <c r="G12" s="17">
        <f t="shared" si="0"/>
        <v>50000</v>
      </c>
      <c r="H12" s="35">
        <f t="shared" si="0"/>
        <v>40000</v>
      </c>
      <c r="I12" s="93">
        <f t="shared" si="0"/>
        <v>639.6</v>
      </c>
    </row>
    <row r="13" spans="1:9" x14ac:dyDescent="0.25">
      <c r="A13" s="163">
        <v>38534</v>
      </c>
      <c r="B13" s="164">
        <v>38898</v>
      </c>
      <c r="C13" s="17">
        <f t="shared" si="0"/>
        <v>204.4</v>
      </c>
      <c r="D13" s="19">
        <f t="shared" si="0"/>
        <v>0</v>
      </c>
      <c r="E13" s="19">
        <f t="shared" si="0"/>
        <v>204.4</v>
      </c>
      <c r="F13" s="19">
        <f t="shared" si="0"/>
        <v>0</v>
      </c>
      <c r="G13" s="17">
        <f t="shared" si="0"/>
        <v>50000</v>
      </c>
      <c r="H13" s="35">
        <f t="shared" si="0"/>
        <v>40000</v>
      </c>
      <c r="I13" s="93">
        <f t="shared" si="0"/>
        <v>639.6</v>
      </c>
    </row>
    <row r="14" spans="1:9" x14ac:dyDescent="0.25">
      <c r="A14" s="163">
        <v>38899</v>
      </c>
      <c r="B14" s="164">
        <v>39263</v>
      </c>
      <c r="C14" s="17">
        <f t="shared" si="0"/>
        <v>211.4</v>
      </c>
      <c r="D14" s="19">
        <f t="shared" si="0"/>
        <v>0</v>
      </c>
      <c r="E14" s="19">
        <f t="shared" si="0"/>
        <v>211.4</v>
      </c>
      <c r="F14" s="19">
        <f t="shared" si="0"/>
        <v>0</v>
      </c>
      <c r="G14" s="17">
        <f t="shared" si="0"/>
        <v>50000</v>
      </c>
      <c r="H14" s="35">
        <f t="shared" si="0"/>
        <v>40000</v>
      </c>
      <c r="I14" s="93">
        <f t="shared" si="0"/>
        <v>639.6</v>
      </c>
    </row>
    <row r="15" spans="1:9" x14ac:dyDescent="0.25">
      <c r="A15" s="163">
        <v>39264</v>
      </c>
      <c r="B15" s="164">
        <v>39629</v>
      </c>
      <c r="C15" s="17">
        <f t="shared" si="0"/>
        <v>302.76923076923077</v>
      </c>
      <c r="D15" s="19">
        <f t="shared" si="0"/>
        <v>0</v>
      </c>
      <c r="E15" s="19">
        <f t="shared" si="0"/>
        <v>302.76923076923077</v>
      </c>
      <c r="F15" s="19">
        <f t="shared" si="0"/>
        <v>0</v>
      </c>
      <c r="G15" s="17">
        <f t="shared" si="0"/>
        <v>50000</v>
      </c>
      <c r="H15" s="35">
        <f t="shared" si="0"/>
        <v>40000</v>
      </c>
      <c r="I15" s="93">
        <f t="shared" si="0"/>
        <v>639.6</v>
      </c>
    </row>
    <row r="16" spans="1:9" x14ac:dyDescent="0.25">
      <c r="A16" s="163">
        <v>39630</v>
      </c>
      <c r="B16" s="164">
        <v>39994</v>
      </c>
      <c r="C16" s="17">
        <f t="shared" si="0"/>
        <v>512.06153846153848</v>
      </c>
      <c r="D16" s="19">
        <f t="shared" si="0"/>
        <v>0</v>
      </c>
      <c r="E16" s="19">
        <f t="shared" si="0"/>
        <v>512.06153846153848</v>
      </c>
      <c r="F16" s="19">
        <f t="shared" si="0"/>
        <v>0</v>
      </c>
      <c r="G16" s="17">
        <f t="shared" si="0"/>
        <v>50000</v>
      </c>
      <c r="H16" s="35">
        <f t="shared" si="0"/>
        <v>40000</v>
      </c>
      <c r="I16" s="93">
        <f t="shared" si="0"/>
        <v>639.6</v>
      </c>
    </row>
    <row r="17" spans="1:9" x14ac:dyDescent="0.25">
      <c r="A17" s="163">
        <v>39995</v>
      </c>
      <c r="B17" s="164">
        <v>40359</v>
      </c>
      <c r="C17" s="17">
        <f t="shared" si="0"/>
        <v>726.52307692307693</v>
      </c>
      <c r="D17" s="19">
        <f t="shared" si="0"/>
        <v>0</v>
      </c>
      <c r="E17" s="19">
        <f t="shared" si="0"/>
        <v>577.82307692307688</v>
      </c>
      <c r="F17" s="19">
        <f t="shared" si="0"/>
        <v>0</v>
      </c>
      <c r="G17" s="17">
        <f t="shared" si="0"/>
        <v>50000</v>
      </c>
      <c r="H17" s="35">
        <f t="shared" si="0"/>
        <v>40000</v>
      </c>
      <c r="I17" s="93">
        <f t="shared" si="0"/>
        <v>639.6</v>
      </c>
    </row>
    <row r="18" spans="1:9" x14ac:dyDescent="0.25">
      <c r="A18" s="163">
        <v>40360</v>
      </c>
      <c r="B18" s="164">
        <v>40724</v>
      </c>
      <c r="C18" s="17">
        <f t="shared" ref="C18:I27" si="1">AnnualAverage($A18,C$7,SeniorSupParms,SeniorSupDates,SeniorSupNames)</f>
        <v>806.4</v>
      </c>
      <c r="D18" s="19">
        <f t="shared" si="1"/>
        <v>0</v>
      </c>
      <c r="E18" s="19">
        <f t="shared" si="1"/>
        <v>608.70000000000005</v>
      </c>
      <c r="F18" s="19">
        <f t="shared" si="1"/>
        <v>0</v>
      </c>
      <c r="G18" s="17">
        <f t="shared" si="1"/>
        <v>50000</v>
      </c>
      <c r="H18" s="35">
        <f t="shared" si="1"/>
        <v>40000</v>
      </c>
      <c r="I18" s="93">
        <f t="shared" si="1"/>
        <v>639.6</v>
      </c>
    </row>
    <row r="19" spans="1:9" x14ac:dyDescent="0.25">
      <c r="A19" s="163">
        <v>40725</v>
      </c>
      <c r="B19" s="164">
        <v>41090</v>
      </c>
      <c r="C19" s="17">
        <f t="shared" si="1"/>
        <v>833.8</v>
      </c>
      <c r="D19" s="19">
        <f t="shared" si="1"/>
        <v>0</v>
      </c>
      <c r="E19" s="19">
        <f t="shared" si="1"/>
        <v>628.9</v>
      </c>
      <c r="F19" s="19">
        <f t="shared" si="1"/>
        <v>0</v>
      </c>
      <c r="G19" s="17">
        <f t="shared" si="1"/>
        <v>50000</v>
      </c>
      <c r="H19" s="35">
        <f t="shared" si="1"/>
        <v>40000</v>
      </c>
      <c r="I19" s="93">
        <f t="shared" si="1"/>
        <v>639.6</v>
      </c>
    </row>
    <row r="20" spans="1:9" s="5" customFormat="1" x14ac:dyDescent="0.25">
      <c r="A20" s="496">
        <v>41091</v>
      </c>
      <c r="B20" s="497">
        <v>41455</v>
      </c>
      <c r="C20" s="375">
        <f t="shared" si="1"/>
        <v>846.5</v>
      </c>
      <c r="D20" s="242">
        <f t="shared" si="1"/>
        <v>3.6346153846153846</v>
      </c>
      <c r="E20" s="242">
        <f t="shared" si="1"/>
        <v>637.79999999999995</v>
      </c>
      <c r="F20" s="242">
        <f t="shared" si="1"/>
        <v>2.7461538461538462</v>
      </c>
      <c r="G20" s="375">
        <f t="shared" si="1"/>
        <v>50000</v>
      </c>
      <c r="H20" s="374">
        <f t="shared" si="1"/>
        <v>40000</v>
      </c>
      <c r="I20" s="373">
        <f t="shared" si="1"/>
        <v>639.6</v>
      </c>
    </row>
    <row r="21" spans="1:9" x14ac:dyDescent="0.25">
      <c r="A21" s="496">
        <v>41456</v>
      </c>
      <c r="B21" s="497">
        <v>41820</v>
      </c>
      <c r="C21" s="375">
        <f t="shared" si="1"/>
        <v>861.7</v>
      </c>
      <c r="D21" s="242">
        <f t="shared" si="1"/>
        <v>13.707692307692307</v>
      </c>
      <c r="E21" s="242">
        <f t="shared" si="1"/>
        <v>649.70000000000005</v>
      </c>
      <c r="F21" s="242">
        <f t="shared" si="1"/>
        <v>10.330769230769231</v>
      </c>
      <c r="G21" s="375">
        <f t="shared" si="1"/>
        <v>50000</v>
      </c>
      <c r="H21" s="374">
        <f t="shared" si="1"/>
        <v>40000</v>
      </c>
      <c r="I21" s="373">
        <f t="shared" si="1"/>
        <v>639.6</v>
      </c>
    </row>
    <row r="22" spans="1:9" x14ac:dyDescent="0.25">
      <c r="A22" s="496">
        <v>41821</v>
      </c>
      <c r="B22" s="497">
        <v>42185</v>
      </c>
      <c r="C22" s="375">
        <f t="shared" si="1"/>
        <v>886.30000000000007</v>
      </c>
      <c r="D22" s="242">
        <f t="shared" si="1"/>
        <v>14.053846153846154</v>
      </c>
      <c r="E22" s="242">
        <f t="shared" si="1"/>
        <v>667.8</v>
      </c>
      <c r="F22" s="242">
        <f t="shared" si="1"/>
        <v>10.576923076923077</v>
      </c>
      <c r="G22" s="375">
        <f t="shared" si="1"/>
        <v>51153.846153846156</v>
      </c>
      <c r="H22" s="374">
        <f t="shared" si="1"/>
        <v>40923.076923076922</v>
      </c>
      <c r="I22" s="373">
        <f t="shared" si="1"/>
        <v>639.6</v>
      </c>
    </row>
    <row r="23" spans="1:9" x14ac:dyDescent="0.25">
      <c r="A23" s="496">
        <v>42186</v>
      </c>
      <c r="B23" s="497">
        <v>42551</v>
      </c>
      <c r="C23" s="375">
        <f t="shared" si="1"/>
        <v>0</v>
      </c>
      <c r="D23" s="242">
        <f t="shared" si="1"/>
        <v>14.1</v>
      </c>
      <c r="E23" s="242">
        <f t="shared" si="1"/>
        <v>0</v>
      </c>
      <c r="F23" s="242">
        <f t="shared" si="1"/>
        <v>10.6</v>
      </c>
      <c r="G23" s="375">
        <f>AnnualAverage($A23,G$7,SeniorSupParms,SeniorSupDates,SeniorSupNames)</f>
        <v>52101.222222222219</v>
      </c>
      <c r="H23" s="374">
        <f t="shared" si="1"/>
        <v>41680.666666666664</v>
      </c>
      <c r="I23" s="373">
        <f t="shared" si="1"/>
        <v>639.6</v>
      </c>
    </row>
    <row r="24" spans="1:9" x14ac:dyDescent="0.25">
      <c r="A24" s="496">
        <v>42552</v>
      </c>
      <c r="B24" s="497">
        <v>42916</v>
      </c>
      <c r="C24" s="375">
        <f t="shared" si="1"/>
        <v>0</v>
      </c>
      <c r="D24" s="242">
        <f t="shared" si="1"/>
        <v>14.1</v>
      </c>
      <c r="E24" s="242">
        <f t="shared" si="1"/>
        <v>0</v>
      </c>
      <c r="F24" s="242">
        <f t="shared" si="1"/>
        <v>10.6</v>
      </c>
      <c r="G24" s="375">
        <f t="shared" si="1"/>
        <v>52695.423076923078</v>
      </c>
      <c r="H24" s="374">
        <f t="shared" si="1"/>
        <v>42155.615384615383</v>
      </c>
      <c r="I24" s="373">
        <f t="shared" si="1"/>
        <v>639.6</v>
      </c>
    </row>
    <row r="25" spans="1:9" x14ac:dyDescent="0.25">
      <c r="A25" s="165">
        <v>42917</v>
      </c>
      <c r="B25" s="166">
        <v>43281</v>
      </c>
      <c r="C25" s="33">
        <f t="shared" si="1"/>
        <v>0</v>
      </c>
      <c r="D25" s="34">
        <f t="shared" si="1"/>
        <v>14.1</v>
      </c>
      <c r="E25" s="34">
        <f t="shared" si="1"/>
        <v>0</v>
      </c>
      <c r="F25" s="34">
        <f t="shared" si="1"/>
        <v>10.6</v>
      </c>
      <c r="G25" s="33">
        <f t="shared" si="1"/>
        <v>53606.115384615383</v>
      </c>
      <c r="H25" s="75">
        <f t="shared" si="1"/>
        <v>42883.769230769234</v>
      </c>
      <c r="I25" s="107">
        <f t="shared" si="1"/>
        <v>639.6</v>
      </c>
    </row>
    <row r="26" spans="1:9" x14ac:dyDescent="0.25">
      <c r="A26" s="165">
        <v>43282</v>
      </c>
      <c r="B26" s="166">
        <v>43646</v>
      </c>
      <c r="C26" s="33">
        <f t="shared" si="1"/>
        <v>0</v>
      </c>
      <c r="D26" s="34">
        <f t="shared" si="1"/>
        <v>14.1</v>
      </c>
      <c r="E26" s="34">
        <f t="shared" si="1"/>
        <v>0</v>
      </c>
      <c r="F26" s="34">
        <f t="shared" si="1"/>
        <v>10.6</v>
      </c>
      <c r="G26" s="33">
        <f t="shared" si="1"/>
        <v>54668.076923076922</v>
      </c>
      <c r="H26" s="75">
        <f t="shared" si="1"/>
        <v>43733.423076923078</v>
      </c>
      <c r="I26" s="107">
        <f t="shared" si="1"/>
        <v>639.6</v>
      </c>
    </row>
    <row r="27" spans="1:9" x14ac:dyDescent="0.25">
      <c r="A27" s="165">
        <v>43647</v>
      </c>
      <c r="B27" s="166">
        <v>44012</v>
      </c>
      <c r="C27" s="33">
        <f t="shared" si="1"/>
        <v>0</v>
      </c>
      <c r="D27" s="34">
        <f t="shared" si="1"/>
        <v>14.1</v>
      </c>
      <c r="E27" s="34">
        <f t="shared" si="1"/>
        <v>0</v>
      </c>
      <c r="F27" s="34">
        <f t="shared" si="1"/>
        <v>10.6</v>
      </c>
      <c r="G27" s="33">
        <f t="shared" si="1"/>
        <v>55803.461538461539</v>
      </c>
      <c r="H27" s="75">
        <f t="shared" si="1"/>
        <v>44642.076923076922</v>
      </c>
      <c r="I27" s="107">
        <f t="shared" si="1"/>
        <v>639.6</v>
      </c>
    </row>
    <row r="28" spans="1:9" x14ac:dyDescent="0.25">
      <c r="A28" s="165">
        <v>44013</v>
      </c>
      <c r="B28" s="166">
        <v>44377</v>
      </c>
      <c r="C28" s="33">
        <f t="shared" ref="C28:I28" si="2">AnnualAverage($A28,C$7,SeniorSupParms,SeniorSupDates,SeniorSupNames)</f>
        <v>0</v>
      </c>
      <c r="D28" s="34">
        <f t="shared" si="2"/>
        <v>14.1</v>
      </c>
      <c r="E28" s="34">
        <f t="shared" si="2"/>
        <v>0</v>
      </c>
      <c r="F28" s="34">
        <f t="shared" si="2"/>
        <v>10.6</v>
      </c>
      <c r="G28" s="33">
        <f t="shared" si="2"/>
        <v>57160.461538461539</v>
      </c>
      <c r="H28" s="75">
        <f t="shared" si="2"/>
        <v>45728.076923076922</v>
      </c>
      <c r="I28" s="107">
        <f t="shared" si="2"/>
        <v>639.6</v>
      </c>
    </row>
  </sheetData>
  <customSheetViews>
    <customSheetView guid="{E49C2F27-B0B9-497E-BEC0-5B59561292FE}" topLeftCell="A8">
      <selection activeCell="I23" sqref="I23"/>
      <pageMargins left="0.7" right="0.7" top="0.75" bottom="0.75" header="0.3" footer="0.3"/>
    </customSheetView>
    <customSheetView guid="{A5953138-1481-4137-BEAD-32FA4FDF03E6}" topLeftCell="A8">
      <selection activeCell="I23" sqref="I23"/>
      <pageMargins left="0.7" right="0.7" top="0.75" bottom="0.75" header="0.3" footer="0.3"/>
    </customSheetView>
    <customSheetView guid="{2A1F94CA-1A34-4418-88FD-EABF7586C2B2}" topLeftCell="A8">
      <selection activeCell="I23" sqref="I23"/>
      <pageMargins left="0.7" right="0.7" top="0.75" bottom="0.75" header="0.3" footer="0.3"/>
    </customSheetView>
  </customSheetViews>
  <mergeCells count="14">
    <mergeCell ref="A2:B3"/>
    <mergeCell ref="G2:I3"/>
    <mergeCell ref="A4:A6"/>
    <mergeCell ref="B4:B6"/>
    <mergeCell ref="I4:I6"/>
    <mergeCell ref="G1:I1"/>
    <mergeCell ref="C4:C6"/>
    <mergeCell ref="E4:E6"/>
    <mergeCell ref="G4:G6"/>
    <mergeCell ref="H4:H6"/>
    <mergeCell ref="D4:D6"/>
    <mergeCell ref="C2:F3"/>
    <mergeCell ref="C1:F1"/>
    <mergeCell ref="F4:F6"/>
  </mergeCells>
  <pageMargins left="0.7" right="0.7" top="0.75" bottom="0.75" header="0.3" footer="0.3"/>
  <legacyDrawing r:id="rId1"/>
</worksheet>
</file>

<file path=xl/worksheets/sheet3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100-000000000000}">
  <sheetPr codeName="Sheet47">
    <tabColor rgb="FF00B0F0"/>
  </sheetPr>
  <dimension ref="A1:O91"/>
  <sheetViews>
    <sheetView workbookViewId="0">
      <pane xSplit="2" ySplit="7" topLeftCell="C11" activePane="bottomRight" state="frozen"/>
      <selection pane="topRight" activeCell="C1" sqref="C1"/>
      <selection pane="bottomLeft" activeCell="A8" sqref="A8"/>
      <selection pane="bottomRight" activeCell="R71" sqref="R71"/>
    </sheetView>
  </sheetViews>
  <sheetFormatPr defaultRowHeight="15" x14ac:dyDescent="0.25"/>
  <cols>
    <col min="1" max="2" width="12.5703125" style="28" bestFit="1" customWidth="1"/>
    <col min="3" max="11" width="15.7109375" style="28" customWidth="1"/>
    <col min="12" max="12" width="15.7109375" style="16" customWidth="1"/>
    <col min="13" max="14" width="15.7109375" style="28" customWidth="1"/>
    <col min="15" max="15" width="19" style="28" customWidth="1"/>
    <col min="16" max="16384" width="9.140625" style="28"/>
  </cols>
  <sheetData>
    <row r="1" spans="1:15" s="502" customFormat="1" ht="15.75" thickBot="1" x14ac:dyDescent="0.3">
      <c r="L1" s="16"/>
    </row>
    <row r="2" spans="1:15" ht="15" customHeight="1" x14ac:dyDescent="0.25">
      <c r="A2" s="1164" t="s">
        <v>13</v>
      </c>
      <c r="B2" s="1165"/>
      <c r="C2" s="1164" t="s">
        <v>132</v>
      </c>
      <c r="D2" s="1214"/>
      <c r="E2" s="1214"/>
      <c r="F2" s="1214"/>
      <c r="G2" s="1214"/>
      <c r="H2" s="1165"/>
      <c r="I2" s="1164" t="s">
        <v>133</v>
      </c>
      <c r="J2" s="1214"/>
      <c r="K2" s="1214"/>
      <c r="L2" s="1214"/>
      <c r="M2" s="1214"/>
      <c r="N2" s="1165"/>
      <c r="O2" s="1324" t="s">
        <v>365</v>
      </c>
    </row>
    <row r="3" spans="1:15" ht="15" customHeight="1" x14ac:dyDescent="0.25">
      <c r="A3" s="1215"/>
      <c r="B3" s="1236"/>
      <c r="C3" s="1215"/>
      <c r="D3" s="1216"/>
      <c r="E3" s="1216"/>
      <c r="F3" s="1216"/>
      <c r="G3" s="1216"/>
      <c r="H3" s="1236"/>
      <c r="I3" s="1215"/>
      <c r="J3" s="1216"/>
      <c r="K3" s="1216"/>
      <c r="L3" s="1216"/>
      <c r="M3" s="1216"/>
      <c r="N3" s="1236"/>
      <c r="O3" s="1325"/>
    </row>
    <row r="4" spans="1:15" ht="15.75" thickBot="1" x14ac:dyDescent="0.3">
      <c r="A4" s="1188" t="s">
        <v>16</v>
      </c>
      <c r="B4" s="1176" t="s">
        <v>17</v>
      </c>
      <c r="C4" s="1166"/>
      <c r="D4" s="1217"/>
      <c r="E4" s="1217"/>
      <c r="F4" s="1217"/>
      <c r="G4" s="1217"/>
      <c r="H4" s="1167"/>
      <c r="I4" s="1166"/>
      <c r="J4" s="1217"/>
      <c r="K4" s="1217"/>
      <c r="L4" s="1217"/>
      <c r="M4" s="1217"/>
      <c r="N4" s="1167"/>
      <c r="O4" s="1333"/>
    </row>
    <row r="5" spans="1:15" ht="15.75" thickBot="1" x14ac:dyDescent="0.3">
      <c r="A5" s="1188"/>
      <c r="B5" s="1176"/>
      <c r="C5" s="1248" t="s">
        <v>12</v>
      </c>
      <c r="D5" s="1238"/>
      <c r="E5" s="1239"/>
      <c r="F5" s="1248" t="s">
        <v>21</v>
      </c>
      <c r="G5" s="1238"/>
      <c r="H5" s="1239"/>
      <c r="I5" s="1248" t="s">
        <v>12</v>
      </c>
      <c r="J5" s="1238"/>
      <c r="K5" s="1239"/>
      <c r="L5" s="1248" t="s">
        <v>21</v>
      </c>
      <c r="M5" s="1238"/>
      <c r="N5" s="1239"/>
      <c r="O5" s="754"/>
    </row>
    <row r="6" spans="1:15" ht="15.75" thickBot="1" x14ac:dyDescent="0.3">
      <c r="A6" s="1207"/>
      <c r="B6" s="1177"/>
      <c r="C6" s="88" t="s">
        <v>129</v>
      </c>
      <c r="D6" s="89" t="s">
        <v>130</v>
      </c>
      <c r="E6" s="90" t="s">
        <v>131</v>
      </c>
      <c r="F6" s="88" t="s">
        <v>129</v>
      </c>
      <c r="G6" s="89" t="s">
        <v>130</v>
      </c>
      <c r="H6" s="90" t="s">
        <v>131</v>
      </c>
      <c r="I6" s="88" t="s">
        <v>129</v>
      </c>
      <c r="J6" s="89" t="s">
        <v>130</v>
      </c>
      <c r="K6" s="90" t="s">
        <v>131</v>
      </c>
      <c r="L6" s="88" t="s">
        <v>129</v>
      </c>
      <c r="M6" s="89" t="s">
        <v>130</v>
      </c>
      <c r="N6" s="90" t="s">
        <v>131</v>
      </c>
      <c r="O6" s="755"/>
    </row>
    <row r="7" spans="1:15" ht="18" customHeight="1" thickBot="1" x14ac:dyDescent="0.3">
      <c r="A7" s="713" t="s">
        <v>550</v>
      </c>
      <c r="B7" s="714" t="s">
        <v>551</v>
      </c>
      <c r="C7" s="199" t="s">
        <v>430</v>
      </c>
      <c r="D7" s="200" t="s">
        <v>431</v>
      </c>
      <c r="E7" s="201" t="s">
        <v>432</v>
      </c>
      <c r="F7" s="199" t="s">
        <v>433</v>
      </c>
      <c r="G7" s="200" t="s">
        <v>434</v>
      </c>
      <c r="H7" s="201" t="s">
        <v>435</v>
      </c>
      <c r="I7" s="199" t="s">
        <v>436</v>
      </c>
      <c r="J7" s="200" t="s">
        <v>437</v>
      </c>
      <c r="K7" s="201" t="s">
        <v>438</v>
      </c>
      <c r="L7" s="199" t="s">
        <v>439</v>
      </c>
      <c r="M7" s="200" t="s">
        <v>440</v>
      </c>
      <c r="N7" s="201" t="s">
        <v>441</v>
      </c>
      <c r="O7" s="756" t="s">
        <v>366</v>
      </c>
    </row>
    <row r="8" spans="1:15" x14ac:dyDescent="0.25">
      <c r="A8" s="161">
        <v>36708</v>
      </c>
      <c r="B8" s="162">
        <v>36788</v>
      </c>
      <c r="C8" s="18">
        <v>85</v>
      </c>
      <c r="D8" s="20">
        <v>99.259999999999991</v>
      </c>
      <c r="E8" s="60">
        <v>112.14</v>
      </c>
      <c r="F8" s="18">
        <v>79.8</v>
      </c>
      <c r="G8" s="20">
        <f>D8</f>
        <v>99.259999999999991</v>
      </c>
      <c r="H8" s="60">
        <f>E8</f>
        <v>112.14</v>
      </c>
      <c r="I8" s="18">
        <v>73.8</v>
      </c>
      <c r="J8" s="20">
        <v>97.02</v>
      </c>
      <c r="K8" s="60">
        <f>J8</f>
        <v>97.02</v>
      </c>
      <c r="L8" s="18">
        <v>120.2</v>
      </c>
      <c r="M8" s="20">
        <v>143.63999999999999</v>
      </c>
      <c r="N8" s="60">
        <f>M8</f>
        <v>143.63999999999999</v>
      </c>
      <c r="O8" s="662">
        <v>0.75</v>
      </c>
    </row>
    <row r="9" spans="1:15" x14ac:dyDescent="0.25">
      <c r="A9" s="163">
        <v>36789</v>
      </c>
      <c r="B9" s="164">
        <v>36891</v>
      </c>
      <c r="C9" s="17">
        <v>86.4</v>
      </c>
      <c r="D9" s="19">
        <v>100.94000000000001</v>
      </c>
      <c r="E9" s="35">
        <v>114.10000000000001</v>
      </c>
      <c r="F9" s="17">
        <v>81.2</v>
      </c>
      <c r="G9" s="19">
        <f t="shared" ref="G9:H72" si="0">D9</f>
        <v>100.94000000000001</v>
      </c>
      <c r="H9" s="35">
        <f t="shared" si="0"/>
        <v>114.10000000000001</v>
      </c>
      <c r="I9" s="17">
        <v>75</v>
      </c>
      <c r="J9" s="19">
        <v>98.7</v>
      </c>
      <c r="K9" s="35">
        <f t="shared" ref="K9:K72" si="1">J9</f>
        <v>98.7</v>
      </c>
      <c r="L9" s="17">
        <v>122.2</v>
      </c>
      <c r="M9" s="19">
        <v>146.02000000000001</v>
      </c>
      <c r="N9" s="35">
        <f t="shared" ref="N9:N72" si="2">M9</f>
        <v>146.02000000000001</v>
      </c>
      <c r="O9" s="663">
        <v>0.75</v>
      </c>
    </row>
    <row r="10" spans="1:15" x14ac:dyDescent="0.25">
      <c r="A10" s="163">
        <v>36892</v>
      </c>
      <c r="B10" s="164">
        <v>36969</v>
      </c>
      <c r="C10" s="17">
        <v>86.4</v>
      </c>
      <c r="D10" s="19">
        <v>100.94000000000001</v>
      </c>
      <c r="E10" s="35">
        <v>114.10000000000001</v>
      </c>
      <c r="F10" s="17">
        <v>81.2</v>
      </c>
      <c r="G10" s="19">
        <f t="shared" si="0"/>
        <v>100.94000000000001</v>
      </c>
      <c r="H10" s="35">
        <f t="shared" si="0"/>
        <v>114.10000000000001</v>
      </c>
      <c r="I10" s="17">
        <v>75</v>
      </c>
      <c r="J10" s="19">
        <v>98.7</v>
      </c>
      <c r="K10" s="35">
        <f t="shared" si="1"/>
        <v>98.7</v>
      </c>
      <c r="L10" s="17">
        <v>122.2</v>
      </c>
      <c r="M10" s="19">
        <v>146.02000000000001</v>
      </c>
      <c r="N10" s="35">
        <f t="shared" si="2"/>
        <v>146.02000000000001</v>
      </c>
      <c r="O10" s="663">
        <v>0.75</v>
      </c>
    </row>
    <row r="11" spans="1:15" ht="15.75" thickBot="1" x14ac:dyDescent="0.3">
      <c r="A11" s="180">
        <v>36970</v>
      </c>
      <c r="B11" s="181">
        <v>37072</v>
      </c>
      <c r="C11" s="65">
        <v>88</v>
      </c>
      <c r="D11" s="68">
        <v>103.04</v>
      </c>
      <c r="E11" s="69">
        <v>116.48</v>
      </c>
      <c r="F11" s="65">
        <v>82.8</v>
      </c>
      <c r="G11" s="68">
        <f t="shared" si="0"/>
        <v>103.04</v>
      </c>
      <c r="H11" s="69">
        <f t="shared" si="0"/>
        <v>116.48</v>
      </c>
      <c r="I11" s="65">
        <v>78</v>
      </c>
      <c r="J11" s="68">
        <v>102.62</v>
      </c>
      <c r="K11" s="69">
        <f t="shared" si="1"/>
        <v>102.62</v>
      </c>
      <c r="L11" s="65">
        <v>127</v>
      </c>
      <c r="M11" s="68">
        <v>151.9</v>
      </c>
      <c r="N11" s="69">
        <f t="shared" si="2"/>
        <v>151.9</v>
      </c>
      <c r="O11" s="664">
        <v>0.75</v>
      </c>
    </row>
    <row r="12" spans="1:15" x14ac:dyDescent="0.25">
      <c r="A12" s="161">
        <v>37073</v>
      </c>
      <c r="B12" s="162">
        <v>37153</v>
      </c>
      <c r="C12" s="18">
        <v>88</v>
      </c>
      <c r="D12" s="20">
        <v>103.04</v>
      </c>
      <c r="E12" s="60">
        <v>116.48</v>
      </c>
      <c r="F12" s="18">
        <v>82.8</v>
      </c>
      <c r="G12" s="20">
        <f t="shared" si="0"/>
        <v>103.04</v>
      </c>
      <c r="H12" s="60">
        <f t="shared" si="0"/>
        <v>116.48</v>
      </c>
      <c r="I12" s="18">
        <v>78</v>
      </c>
      <c r="J12" s="20">
        <v>102.62</v>
      </c>
      <c r="K12" s="60">
        <f t="shared" si="1"/>
        <v>102.62</v>
      </c>
      <c r="L12" s="18">
        <v>127</v>
      </c>
      <c r="M12" s="20">
        <v>151.9</v>
      </c>
      <c r="N12" s="60">
        <f t="shared" si="2"/>
        <v>151.9</v>
      </c>
      <c r="O12" s="662">
        <v>0.75</v>
      </c>
    </row>
    <row r="13" spans="1:15" x14ac:dyDescent="0.25">
      <c r="A13" s="163">
        <v>37154</v>
      </c>
      <c r="B13" s="164">
        <v>37256</v>
      </c>
      <c r="C13" s="17">
        <v>89.600000000000009</v>
      </c>
      <c r="D13" s="19">
        <v>105.00000000000001</v>
      </c>
      <c r="E13" s="35">
        <v>118.72000000000001</v>
      </c>
      <c r="F13" s="17">
        <v>84.4</v>
      </c>
      <c r="G13" s="19">
        <f t="shared" si="0"/>
        <v>105.00000000000001</v>
      </c>
      <c r="H13" s="35">
        <f t="shared" si="0"/>
        <v>118.72000000000001</v>
      </c>
      <c r="I13" s="17">
        <v>79.400000000000006</v>
      </c>
      <c r="J13" s="19">
        <v>104.58000000000001</v>
      </c>
      <c r="K13" s="35">
        <f t="shared" si="1"/>
        <v>104.58000000000001</v>
      </c>
      <c r="L13" s="17">
        <v>129.4</v>
      </c>
      <c r="M13" s="19">
        <v>154.84</v>
      </c>
      <c r="N13" s="35">
        <f t="shared" si="2"/>
        <v>154.84</v>
      </c>
      <c r="O13" s="663">
        <v>0.75</v>
      </c>
    </row>
    <row r="14" spans="1:15" x14ac:dyDescent="0.25">
      <c r="A14" s="163">
        <v>37257</v>
      </c>
      <c r="B14" s="164">
        <v>37334</v>
      </c>
      <c r="C14" s="17">
        <v>89.600000000000009</v>
      </c>
      <c r="D14" s="19">
        <v>105.00000000000001</v>
      </c>
      <c r="E14" s="35">
        <v>118.72000000000001</v>
      </c>
      <c r="F14" s="17">
        <v>84.4</v>
      </c>
      <c r="G14" s="19">
        <f t="shared" si="0"/>
        <v>105.00000000000001</v>
      </c>
      <c r="H14" s="35">
        <f t="shared" si="0"/>
        <v>118.72000000000001</v>
      </c>
      <c r="I14" s="17">
        <v>79.400000000000006</v>
      </c>
      <c r="J14" s="19">
        <v>104.58000000000001</v>
      </c>
      <c r="K14" s="35">
        <f t="shared" si="1"/>
        <v>104.58000000000001</v>
      </c>
      <c r="L14" s="17">
        <v>129.4</v>
      </c>
      <c r="M14" s="19">
        <v>154.84</v>
      </c>
      <c r="N14" s="35">
        <f t="shared" si="2"/>
        <v>154.84</v>
      </c>
      <c r="O14" s="663">
        <v>0.75</v>
      </c>
    </row>
    <row r="15" spans="1:15" ht="15.75" thickBot="1" x14ac:dyDescent="0.3">
      <c r="A15" s="180">
        <v>37335</v>
      </c>
      <c r="B15" s="181">
        <v>37437</v>
      </c>
      <c r="C15" s="65">
        <v>90.600000000000009</v>
      </c>
      <c r="D15" s="68">
        <v>106.26</v>
      </c>
      <c r="E15" s="69">
        <v>120.12</v>
      </c>
      <c r="F15" s="65">
        <v>85.4</v>
      </c>
      <c r="G15" s="68">
        <f t="shared" si="0"/>
        <v>106.26</v>
      </c>
      <c r="H15" s="69">
        <f t="shared" si="0"/>
        <v>120.12</v>
      </c>
      <c r="I15" s="65">
        <v>80.400000000000006</v>
      </c>
      <c r="J15" s="68">
        <v>105.84</v>
      </c>
      <c r="K15" s="69">
        <f t="shared" si="1"/>
        <v>105.84</v>
      </c>
      <c r="L15" s="65">
        <v>131</v>
      </c>
      <c r="M15" s="68">
        <v>156.66000000000003</v>
      </c>
      <c r="N15" s="69">
        <f t="shared" si="2"/>
        <v>156.66000000000003</v>
      </c>
      <c r="O15" s="664">
        <v>0.75</v>
      </c>
    </row>
    <row r="16" spans="1:15" x14ac:dyDescent="0.25">
      <c r="A16" s="161">
        <v>37438</v>
      </c>
      <c r="B16" s="162">
        <v>37518</v>
      </c>
      <c r="C16" s="18">
        <v>90.600000000000009</v>
      </c>
      <c r="D16" s="20">
        <v>106.26</v>
      </c>
      <c r="E16" s="60">
        <v>120.12</v>
      </c>
      <c r="F16" s="18">
        <v>85.4</v>
      </c>
      <c r="G16" s="20">
        <f t="shared" si="0"/>
        <v>106.26</v>
      </c>
      <c r="H16" s="60">
        <f t="shared" si="0"/>
        <v>120.12</v>
      </c>
      <c r="I16" s="18">
        <v>80.400000000000006</v>
      </c>
      <c r="J16" s="20">
        <v>105.84</v>
      </c>
      <c r="K16" s="60">
        <f t="shared" si="1"/>
        <v>105.84</v>
      </c>
      <c r="L16" s="18">
        <v>131</v>
      </c>
      <c r="M16" s="20">
        <v>156.66000000000003</v>
      </c>
      <c r="N16" s="60">
        <f t="shared" si="2"/>
        <v>156.66000000000003</v>
      </c>
      <c r="O16" s="662">
        <v>0.75</v>
      </c>
    </row>
    <row r="17" spans="1:15" x14ac:dyDescent="0.25">
      <c r="A17" s="163">
        <v>37519</v>
      </c>
      <c r="B17" s="164">
        <v>37621</v>
      </c>
      <c r="C17" s="17">
        <v>92</v>
      </c>
      <c r="D17" s="19">
        <v>107.94000000000001</v>
      </c>
      <c r="E17" s="35">
        <v>122.08000000000001</v>
      </c>
      <c r="F17" s="17">
        <v>86.800000000000011</v>
      </c>
      <c r="G17" s="19">
        <f t="shared" si="0"/>
        <v>107.94000000000001</v>
      </c>
      <c r="H17" s="35">
        <f t="shared" si="0"/>
        <v>122.08000000000001</v>
      </c>
      <c r="I17" s="17">
        <v>81.600000000000009</v>
      </c>
      <c r="J17" s="19">
        <v>107.52000000000001</v>
      </c>
      <c r="K17" s="35">
        <f t="shared" si="1"/>
        <v>107.52000000000001</v>
      </c>
      <c r="L17" s="17">
        <v>133</v>
      </c>
      <c r="M17" s="19">
        <v>159.18</v>
      </c>
      <c r="N17" s="35">
        <f t="shared" si="2"/>
        <v>159.18</v>
      </c>
      <c r="O17" s="663">
        <v>0.75</v>
      </c>
    </row>
    <row r="18" spans="1:15" x14ac:dyDescent="0.25">
      <c r="A18" s="163">
        <v>37622</v>
      </c>
      <c r="B18" s="164">
        <v>37699</v>
      </c>
      <c r="C18" s="17">
        <v>92</v>
      </c>
      <c r="D18" s="19">
        <v>107.94000000000001</v>
      </c>
      <c r="E18" s="35">
        <v>122.08000000000001</v>
      </c>
      <c r="F18" s="17">
        <v>86.800000000000011</v>
      </c>
      <c r="G18" s="19">
        <f t="shared" si="0"/>
        <v>107.94000000000001</v>
      </c>
      <c r="H18" s="35">
        <f t="shared" si="0"/>
        <v>122.08000000000001</v>
      </c>
      <c r="I18" s="17">
        <v>81.600000000000009</v>
      </c>
      <c r="J18" s="19">
        <v>107.52000000000001</v>
      </c>
      <c r="K18" s="35">
        <f t="shared" si="1"/>
        <v>107.52000000000001</v>
      </c>
      <c r="L18" s="17">
        <v>133</v>
      </c>
      <c r="M18" s="19">
        <v>159.18</v>
      </c>
      <c r="N18" s="35">
        <f t="shared" si="2"/>
        <v>159.18</v>
      </c>
      <c r="O18" s="663">
        <v>0.75</v>
      </c>
    </row>
    <row r="19" spans="1:15" ht="15.75" thickBot="1" x14ac:dyDescent="0.3">
      <c r="A19" s="180">
        <v>37700</v>
      </c>
      <c r="B19" s="181">
        <v>37802</v>
      </c>
      <c r="C19" s="65">
        <v>93.2</v>
      </c>
      <c r="D19" s="68">
        <v>109.48</v>
      </c>
      <c r="E19" s="69">
        <v>123.76</v>
      </c>
      <c r="F19" s="65">
        <v>88</v>
      </c>
      <c r="G19" s="68">
        <f t="shared" si="0"/>
        <v>109.48</v>
      </c>
      <c r="H19" s="69">
        <f t="shared" si="0"/>
        <v>123.76</v>
      </c>
      <c r="I19" s="65">
        <v>82.800000000000011</v>
      </c>
      <c r="J19" s="68">
        <v>109.06000000000002</v>
      </c>
      <c r="K19" s="69">
        <f t="shared" si="1"/>
        <v>109.06000000000002</v>
      </c>
      <c r="L19" s="65">
        <v>134.80000000000001</v>
      </c>
      <c r="M19" s="68">
        <v>161.42000000000002</v>
      </c>
      <c r="N19" s="69">
        <f t="shared" si="2"/>
        <v>161.42000000000002</v>
      </c>
      <c r="O19" s="664">
        <v>0.75</v>
      </c>
    </row>
    <row r="20" spans="1:15" x14ac:dyDescent="0.25">
      <c r="A20" s="161">
        <v>37803</v>
      </c>
      <c r="B20" s="162">
        <v>37883</v>
      </c>
      <c r="C20" s="18">
        <v>93.2</v>
      </c>
      <c r="D20" s="20">
        <v>109.48</v>
      </c>
      <c r="E20" s="60">
        <v>123.76</v>
      </c>
      <c r="F20" s="18">
        <v>88</v>
      </c>
      <c r="G20" s="20">
        <f t="shared" si="0"/>
        <v>109.48</v>
      </c>
      <c r="H20" s="60">
        <f t="shared" si="0"/>
        <v>123.76</v>
      </c>
      <c r="I20" s="18">
        <v>82.800000000000011</v>
      </c>
      <c r="J20" s="20">
        <v>109.06000000000002</v>
      </c>
      <c r="K20" s="60">
        <f t="shared" si="1"/>
        <v>109.06000000000002</v>
      </c>
      <c r="L20" s="18">
        <v>134.80000000000001</v>
      </c>
      <c r="M20" s="20">
        <v>161.42000000000002</v>
      </c>
      <c r="N20" s="60">
        <f t="shared" si="2"/>
        <v>161.42000000000002</v>
      </c>
      <c r="O20" s="662">
        <v>0.75</v>
      </c>
    </row>
    <row r="21" spans="1:15" x14ac:dyDescent="0.25">
      <c r="A21" s="163">
        <v>37884</v>
      </c>
      <c r="B21" s="164">
        <v>37986</v>
      </c>
      <c r="C21" s="17">
        <v>94.4</v>
      </c>
      <c r="D21" s="19">
        <v>110.88000000000001</v>
      </c>
      <c r="E21" s="35">
        <v>125.30000000000001</v>
      </c>
      <c r="F21" s="17">
        <v>89.2</v>
      </c>
      <c r="G21" s="19">
        <f t="shared" si="0"/>
        <v>110.88000000000001</v>
      </c>
      <c r="H21" s="35">
        <f t="shared" si="0"/>
        <v>125.30000000000001</v>
      </c>
      <c r="I21" s="17">
        <v>83.800000000000011</v>
      </c>
      <c r="J21" s="19">
        <v>110.46000000000001</v>
      </c>
      <c r="K21" s="35">
        <f t="shared" si="1"/>
        <v>110.46000000000001</v>
      </c>
      <c r="L21" s="17">
        <v>136.6</v>
      </c>
      <c r="M21" s="19">
        <v>163.52000000000001</v>
      </c>
      <c r="N21" s="35">
        <f t="shared" si="2"/>
        <v>163.52000000000001</v>
      </c>
      <c r="O21" s="663">
        <v>0.75</v>
      </c>
    </row>
    <row r="22" spans="1:15" x14ac:dyDescent="0.25">
      <c r="A22" s="163">
        <v>37987</v>
      </c>
      <c r="B22" s="164">
        <v>38065</v>
      </c>
      <c r="C22" s="17">
        <v>94.4</v>
      </c>
      <c r="D22" s="19">
        <v>110.88000000000001</v>
      </c>
      <c r="E22" s="35">
        <v>125.30000000000001</v>
      </c>
      <c r="F22" s="17">
        <v>89.2</v>
      </c>
      <c r="G22" s="19">
        <f t="shared" si="0"/>
        <v>110.88000000000001</v>
      </c>
      <c r="H22" s="35">
        <f t="shared" si="0"/>
        <v>125.30000000000001</v>
      </c>
      <c r="I22" s="17">
        <v>83.800000000000011</v>
      </c>
      <c r="J22" s="19">
        <v>110.46000000000001</v>
      </c>
      <c r="K22" s="35">
        <f t="shared" si="1"/>
        <v>110.46000000000001</v>
      </c>
      <c r="L22" s="17">
        <v>136.6</v>
      </c>
      <c r="M22" s="19">
        <v>163.52000000000001</v>
      </c>
      <c r="N22" s="35">
        <f t="shared" si="2"/>
        <v>163.52000000000001</v>
      </c>
      <c r="O22" s="663">
        <v>0.75</v>
      </c>
    </row>
    <row r="23" spans="1:15" ht="15.75" thickBot="1" x14ac:dyDescent="0.3">
      <c r="A23" s="180">
        <v>38066</v>
      </c>
      <c r="B23" s="181">
        <v>38168</v>
      </c>
      <c r="C23" s="65">
        <v>95.4</v>
      </c>
      <c r="D23" s="68">
        <v>112.14000000000001</v>
      </c>
      <c r="E23" s="69">
        <v>126.70000000000002</v>
      </c>
      <c r="F23" s="65">
        <v>90.2</v>
      </c>
      <c r="G23" s="68">
        <f t="shared" si="0"/>
        <v>112.14000000000001</v>
      </c>
      <c r="H23" s="69">
        <f t="shared" si="0"/>
        <v>126.70000000000002</v>
      </c>
      <c r="I23" s="65">
        <v>84.800000000000011</v>
      </c>
      <c r="J23" s="68">
        <v>111.72000000000001</v>
      </c>
      <c r="K23" s="69">
        <f t="shared" si="1"/>
        <v>111.72000000000001</v>
      </c>
      <c r="L23" s="65">
        <v>138.20000000000002</v>
      </c>
      <c r="M23" s="68">
        <v>165.34</v>
      </c>
      <c r="N23" s="69">
        <f t="shared" si="2"/>
        <v>165.34</v>
      </c>
      <c r="O23" s="664">
        <v>0.75</v>
      </c>
    </row>
    <row r="24" spans="1:15" x14ac:dyDescent="0.25">
      <c r="A24" s="161">
        <v>38169</v>
      </c>
      <c r="B24" s="162">
        <v>38249</v>
      </c>
      <c r="C24" s="18">
        <v>95.4</v>
      </c>
      <c r="D24" s="20">
        <v>112.14000000000001</v>
      </c>
      <c r="E24" s="60">
        <v>126.70000000000002</v>
      </c>
      <c r="F24" s="18">
        <v>90.2</v>
      </c>
      <c r="G24" s="20">
        <f t="shared" si="0"/>
        <v>112.14000000000001</v>
      </c>
      <c r="H24" s="60">
        <f t="shared" si="0"/>
        <v>126.70000000000002</v>
      </c>
      <c r="I24" s="18">
        <v>84.800000000000011</v>
      </c>
      <c r="J24" s="20">
        <v>111.72000000000001</v>
      </c>
      <c r="K24" s="60">
        <f t="shared" si="1"/>
        <v>111.72000000000001</v>
      </c>
      <c r="L24" s="18">
        <v>138.20000000000002</v>
      </c>
      <c r="M24" s="20">
        <v>165.34</v>
      </c>
      <c r="N24" s="60">
        <f t="shared" si="2"/>
        <v>165.34</v>
      </c>
      <c r="O24" s="662">
        <v>0.75</v>
      </c>
    </row>
    <row r="25" spans="1:15" x14ac:dyDescent="0.25">
      <c r="A25" s="163">
        <v>38250</v>
      </c>
      <c r="B25" s="164">
        <v>38352</v>
      </c>
      <c r="C25" s="17">
        <v>96.800000000000011</v>
      </c>
      <c r="D25" s="19">
        <v>113.68</v>
      </c>
      <c r="E25" s="35">
        <v>128.52000000000001</v>
      </c>
      <c r="F25" s="17">
        <v>91.4</v>
      </c>
      <c r="G25" s="19">
        <f t="shared" si="0"/>
        <v>113.68</v>
      </c>
      <c r="H25" s="35">
        <f t="shared" si="0"/>
        <v>128.52000000000001</v>
      </c>
      <c r="I25" s="17">
        <v>86</v>
      </c>
      <c r="J25" s="19">
        <v>113.26</v>
      </c>
      <c r="K25" s="35">
        <f t="shared" si="1"/>
        <v>113.26</v>
      </c>
      <c r="L25" s="17">
        <v>140.20000000000002</v>
      </c>
      <c r="M25" s="19">
        <v>167.72000000000003</v>
      </c>
      <c r="N25" s="35">
        <f t="shared" si="2"/>
        <v>167.72000000000003</v>
      </c>
      <c r="O25" s="663">
        <v>0.75</v>
      </c>
    </row>
    <row r="26" spans="1:15" x14ac:dyDescent="0.25">
      <c r="A26" s="163">
        <v>38353</v>
      </c>
      <c r="B26" s="164">
        <v>38430</v>
      </c>
      <c r="C26" s="17">
        <v>96.800000000000011</v>
      </c>
      <c r="D26" s="19">
        <v>113.68</v>
      </c>
      <c r="E26" s="35">
        <v>128.52000000000001</v>
      </c>
      <c r="F26" s="17">
        <v>91.4</v>
      </c>
      <c r="G26" s="19">
        <f t="shared" si="0"/>
        <v>113.68</v>
      </c>
      <c r="H26" s="35">
        <f t="shared" si="0"/>
        <v>128.52000000000001</v>
      </c>
      <c r="I26" s="17">
        <v>86</v>
      </c>
      <c r="J26" s="19">
        <v>113.26</v>
      </c>
      <c r="K26" s="35">
        <f t="shared" si="1"/>
        <v>113.26</v>
      </c>
      <c r="L26" s="17">
        <v>140.20000000000002</v>
      </c>
      <c r="M26" s="19">
        <v>167.72000000000003</v>
      </c>
      <c r="N26" s="35">
        <f t="shared" si="2"/>
        <v>167.72000000000003</v>
      </c>
      <c r="O26" s="663">
        <v>0.75</v>
      </c>
    </row>
    <row r="27" spans="1:15" ht="15.75" thickBot="1" x14ac:dyDescent="0.3">
      <c r="A27" s="180">
        <v>38431</v>
      </c>
      <c r="B27" s="181">
        <v>38533</v>
      </c>
      <c r="C27" s="65">
        <v>98</v>
      </c>
      <c r="D27" s="68">
        <v>115.08000000000001</v>
      </c>
      <c r="E27" s="69">
        <v>130.06</v>
      </c>
      <c r="F27" s="65">
        <v>92.4</v>
      </c>
      <c r="G27" s="68">
        <f t="shared" si="0"/>
        <v>115.08000000000001</v>
      </c>
      <c r="H27" s="69">
        <f t="shared" si="0"/>
        <v>130.06</v>
      </c>
      <c r="I27" s="65">
        <v>87</v>
      </c>
      <c r="J27" s="68">
        <v>114.66000000000001</v>
      </c>
      <c r="K27" s="69">
        <f t="shared" si="1"/>
        <v>114.66000000000001</v>
      </c>
      <c r="L27" s="65">
        <v>141.80000000000001</v>
      </c>
      <c r="M27" s="68">
        <v>169.68</v>
      </c>
      <c r="N27" s="69">
        <f t="shared" si="2"/>
        <v>169.68</v>
      </c>
      <c r="O27" s="664">
        <v>0.75</v>
      </c>
    </row>
    <row r="28" spans="1:15" x14ac:dyDescent="0.25">
      <c r="A28" s="161">
        <v>38534</v>
      </c>
      <c r="B28" s="162">
        <v>38614</v>
      </c>
      <c r="C28" s="18">
        <v>98</v>
      </c>
      <c r="D28" s="20">
        <v>115.08000000000001</v>
      </c>
      <c r="E28" s="60">
        <v>130.06</v>
      </c>
      <c r="F28" s="18">
        <v>92.4</v>
      </c>
      <c r="G28" s="20">
        <f t="shared" si="0"/>
        <v>115.08000000000001</v>
      </c>
      <c r="H28" s="60">
        <f t="shared" si="0"/>
        <v>130.06</v>
      </c>
      <c r="I28" s="18">
        <v>87</v>
      </c>
      <c r="J28" s="20">
        <v>114.66000000000001</v>
      </c>
      <c r="K28" s="60">
        <f t="shared" si="1"/>
        <v>114.66000000000001</v>
      </c>
      <c r="L28" s="18">
        <v>141.80000000000001</v>
      </c>
      <c r="M28" s="20">
        <v>169.68</v>
      </c>
      <c r="N28" s="60">
        <f t="shared" si="2"/>
        <v>169.68</v>
      </c>
      <c r="O28" s="662">
        <v>0.75</v>
      </c>
    </row>
    <row r="29" spans="1:15" x14ac:dyDescent="0.25">
      <c r="A29" s="163">
        <v>38615</v>
      </c>
      <c r="B29" s="164">
        <v>38717</v>
      </c>
      <c r="C29" s="17">
        <v>99.2</v>
      </c>
      <c r="D29" s="19">
        <v>116.62</v>
      </c>
      <c r="E29" s="35">
        <v>131.74</v>
      </c>
      <c r="F29" s="17">
        <v>93.600000000000009</v>
      </c>
      <c r="G29" s="19">
        <f t="shared" si="0"/>
        <v>116.62</v>
      </c>
      <c r="H29" s="35">
        <f t="shared" si="0"/>
        <v>131.74</v>
      </c>
      <c r="I29" s="17">
        <v>88.2</v>
      </c>
      <c r="J29" s="19">
        <v>116.20000000000002</v>
      </c>
      <c r="K29" s="35">
        <f t="shared" si="1"/>
        <v>116.20000000000002</v>
      </c>
      <c r="L29" s="17">
        <v>143.6</v>
      </c>
      <c r="M29" s="19">
        <v>171.92000000000002</v>
      </c>
      <c r="N29" s="35">
        <f t="shared" si="2"/>
        <v>171.92000000000002</v>
      </c>
      <c r="O29" s="663">
        <v>0.75</v>
      </c>
    </row>
    <row r="30" spans="1:15" x14ac:dyDescent="0.25">
      <c r="A30" s="163">
        <v>38718</v>
      </c>
      <c r="B30" s="164">
        <v>38795</v>
      </c>
      <c r="C30" s="17">
        <v>99.2</v>
      </c>
      <c r="D30" s="19">
        <v>116.62</v>
      </c>
      <c r="E30" s="35">
        <v>131.74</v>
      </c>
      <c r="F30" s="17">
        <v>93.600000000000009</v>
      </c>
      <c r="G30" s="19">
        <f t="shared" si="0"/>
        <v>116.62</v>
      </c>
      <c r="H30" s="35">
        <f t="shared" si="0"/>
        <v>131.74</v>
      </c>
      <c r="I30" s="17">
        <v>88.2</v>
      </c>
      <c r="J30" s="19">
        <v>116.20000000000002</v>
      </c>
      <c r="K30" s="35">
        <f t="shared" si="1"/>
        <v>116.20000000000002</v>
      </c>
      <c r="L30" s="17">
        <v>143.6</v>
      </c>
      <c r="M30" s="19">
        <v>171.92000000000002</v>
      </c>
      <c r="N30" s="35">
        <f t="shared" si="2"/>
        <v>171.92000000000002</v>
      </c>
      <c r="O30" s="663">
        <v>0.75</v>
      </c>
    </row>
    <row r="31" spans="1:15" ht="15.75" thickBot="1" x14ac:dyDescent="0.3">
      <c r="A31" s="180">
        <v>38796</v>
      </c>
      <c r="B31" s="181">
        <v>38898</v>
      </c>
      <c r="C31" s="65">
        <v>100.60000000000001</v>
      </c>
      <c r="D31" s="68">
        <v>118.30000000000001</v>
      </c>
      <c r="E31" s="69">
        <v>133.70000000000002</v>
      </c>
      <c r="F31" s="65">
        <v>95</v>
      </c>
      <c r="G31" s="68">
        <f t="shared" si="0"/>
        <v>118.30000000000001</v>
      </c>
      <c r="H31" s="69">
        <f t="shared" si="0"/>
        <v>133.70000000000002</v>
      </c>
      <c r="I31" s="65">
        <v>89.600000000000009</v>
      </c>
      <c r="J31" s="68">
        <v>117.88000000000001</v>
      </c>
      <c r="K31" s="69">
        <f t="shared" si="1"/>
        <v>117.88000000000001</v>
      </c>
      <c r="L31" s="65">
        <v>145.80000000000001</v>
      </c>
      <c r="M31" s="68">
        <v>174.44000000000003</v>
      </c>
      <c r="N31" s="69">
        <f t="shared" si="2"/>
        <v>174.44000000000003</v>
      </c>
      <c r="O31" s="664">
        <v>0.75</v>
      </c>
    </row>
    <row r="32" spans="1:15" x14ac:dyDescent="0.25">
      <c r="A32" s="161">
        <v>38899</v>
      </c>
      <c r="B32" s="162">
        <v>38979</v>
      </c>
      <c r="C32" s="18">
        <v>100.60000000000001</v>
      </c>
      <c r="D32" s="20">
        <v>118.30000000000001</v>
      </c>
      <c r="E32" s="60">
        <v>133.70000000000002</v>
      </c>
      <c r="F32" s="18">
        <v>95</v>
      </c>
      <c r="G32" s="20">
        <f t="shared" si="0"/>
        <v>118.30000000000001</v>
      </c>
      <c r="H32" s="60">
        <f t="shared" si="0"/>
        <v>133.70000000000002</v>
      </c>
      <c r="I32" s="18">
        <v>89.600000000000009</v>
      </c>
      <c r="J32" s="20">
        <v>117.88000000000001</v>
      </c>
      <c r="K32" s="60">
        <f t="shared" si="1"/>
        <v>117.88000000000001</v>
      </c>
      <c r="L32" s="18">
        <v>145.80000000000001</v>
      </c>
      <c r="M32" s="20">
        <v>174.44000000000003</v>
      </c>
      <c r="N32" s="60">
        <f t="shared" si="2"/>
        <v>174.44000000000003</v>
      </c>
      <c r="O32" s="662">
        <v>0.75</v>
      </c>
    </row>
    <row r="33" spans="1:15" x14ac:dyDescent="0.25">
      <c r="A33" s="163">
        <v>38980</v>
      </c>
      <c r="B33" s="164">
        <v>39082</v>
      </c>
      <c r="C33" s="17">
        <v>103.2</v>
      </c>
      <c r="D33" s="19">
        <v>121.24000000000001</v>
      </c>
      <c r="E33" s="35">
        <v>137.06</v>
      </c>
      <c r="F33" s="17">
        <v>97.4</v>
      </c>
      <c r="G33" s="19">
        <f t="shared" si="0"/>
        <v>121.24000000000001</v>
      </c>
      <c r="H33" s="35">
        <f t="shared" si="0"/>
        <v>137.06</v>
      </c>
      <c r="I33" s="17">
        <v>91.800000000000011</v>
      </c>
      <c r="J33" s="19">
        <v>120.82000000000001</v>
      </c>
      <c r="K33" s="35">
        <f t="shared" si="1"/>
        <v>120.82000000000001</v>
      </c>
      <c r="L33" s="17">
        <v>149.4</v>
      </c>
      <c r="M33" s="19">
        <v>178.78000000000003</v>
      </c>
      <c r="N33" s="35">
        <f t="shared" si="2"/>
        <v>178.78000000000003</v>
      </c>
      <c r="O33" s="663">
        <v>0.75</v>
      </c>
    </row>
    <row r="34" spans="1:15" x14ac:dyDescent="0.25">
      <c r="A34" s="163">
        <v>39083</v>
      </c>
      <c r="B34" s="164">
        <v>39160</v>
      </c>
      <c r="C34" s="17">
        <v>103.2</v>
      </c>
      <c r="D34" s="19">
        <v>121.24000000000001</v>
      </c>
      <c r="E34" s="35">
        <v>137.06</v>
      </c>
      <c r="F34" s="17">
        <v>97.4</v>
      </c>
      <c r="G34" s="19">
        <f t="shared" si="0"/>
        <v>121.24000000000001</v>
      </c>
      <c r="H34" s="35">
        <f t="shared" si="0"/>
        <v>137.06</v>
      </c>
      <c r="I34" s="17">
        <v>91.800000000000011</v>
      </c>
      <c r="J34" s="19">
        <v>120.82000000000001</v>
      </c>
      <c r="K34" s="35">
        <f t="shared" si="1"/>
        <v>120.82000000000001</v>
      </c>
      <c r="L34" s="17">
        <v>149.4</v>
      </c>
      <c r="M34" s="19">
        <v>178.78000000000003</v>
      </c>
      <c r="N34" s="35">
        <f t="shared" si="2"/>
        <v>178.78000000000003</v>
      </c>
      <c r="O34" s="663">
        <v>0.75</v>
      </c>
    </row>
    <row r="35" spans="1:15" ht="15.75" thickBot="1" x14ac:dyDescent="0.3">
      <c r="A35" s="180">
        <v>39161</v>
      </c>
      <c r="B35" s="181">
        <v>39263</v>
      </c>
      <c r="C35" s="65">
        <v>104</v>
      </c>
      <c r="D35" s="68">
        <v>122.22000000000001</v>
      </c>
      <c r="E35" s="69">
        <v>138.18</v>
      </c>
      <c r="F35" s="65">
        <v>98.2</v>
      </c>
      <c r="G35" s="68">
        <f t="shared" si="0"/>
        <v>122.22000000000001</v>
      </c>
      <c r="H35" s="69">
        <f t="shared" si="0"/>
        <v>138.18</v>
      </c>
      <c r="I35" s="65">
        <v>92.600000000000009</v>
      </c>
      <c r="J35" s="68">
        <v>121.80000000000001</v>
      </c>
      <c r="K35" s="69">
        <f t="shared" si="1"/>
        <v>121.80000000000001</v>
      </c>
      <c r="L35" s="65">
        <v>150.6</v>
      </c>
      <c r="M35" s="68">
        <v>180.18</v>
      </c>
      <c r="N35" s="69">
        <f t="shared" si="2"/>
        <v>180.18</v>
      </c>
      <c r="O35" s="664">
        <v>0.75</v>
      </c>
    </row>
    <row r="36" spans="1:15" x14ac:dyDescent="0.25">
      <c r="A36" s="161">
        <v>39264</v>
      </c>
      <c r="B36" s="162">
        <v>39344</v>
      </c>
      <c r="C36" s="18">
        <v>104</v>
      </c>
      <c r="D36" s="20">
        <v>122.22000000000001</v>
      </c>
      <c r="E36" s="60">
        <v>138.18</v>
      </c>
      <c r="F36" s="18">
        <v>98.2</v>
      </c>
      <c r="G36" s="20">
        <f t="shared" si="0"/>
        <v>122.22000000000001</v>
      </c>
      <c r="H36" s="60">
        <f t="shared" si="0"/>
        <v>138.18</v>
      </c>
      <c r="I36" s="18">
        <v>92.600000000000009</v>
      </c>
      <c r="J36" s="20">
        <v>121.80000000000001</v>
      </c>
      <c r="K36" s="60">
        <f t="shared" si="1"/>
        <v>121.80000000000001</v>
      </c>
      <c r="L36" s="18">
        <v>150.6</v>
      </c>
      <c r="M36" s="20">
        <v>180.18</v>
      </c>
      <c r="N36" s="60">
        <f t="shared" si="2"/>
        <v>180.18</v>
      </c>
      <c r="O36" s="662">
        <v>0.75</v>
      </c>
    </row>
    <row r="37" spans="1:15" x14ac:dyDescent="0.25">
      <c r="A37" s="163">
        <v>39345</v>
      </c>
      <c r="B37" s="164">
        <v>39447</v>
      </c>
      <c r="C37" s="17">
        <v>105.4</v>
      </c>
      <c r="D37" s="19">
        <v>123.76</v>
      </c>
      <c r="E37" s="35">
        <v>140</v>
      </c>
      <c r="F37" s="17">
        <v>99.4</v>
      </c>
      <c r="G37" s="19">
        <f t="shared" si="0"/>
        <v>123.76</v>
      </c>
      <c r="H37" s="35">
        <f t="shared" si="0"/>
        <v>140</v>
      </c>
      <c r="I37" s="17">
        <v>93.800000000000011</v>
      </c>
      <c r="J37" s="19">
        <v>123.34000000000002</v>
      </c>
      <c r="K37" s="35">
        <f t="shared" si="1"/>
        <v>123.34000000000002</v>
      </c>
      <c r="L37" s="17">
        <v>152.6</v>
      </c>
      <c r="M37" s="19">
        <v>182.56000000000003</v>
      </c>
      <c r="N37" s="35">
        <f t="shared" si="2"/>
        <v>182.56000000000003</v>
      </c>
      <c r="O37" s="663">
        <v>0.75</v>
      </c>
    </row>
    <row r="38" spans="1:15" x14ac:dyDescent="0.25">
      <c r="A38" s="163">
        <v>39448</v>
      </c>
      <c r="B38" s="164">
        <v>39526</v>
      </c>
      <c r="C38" s="17">
        <v>105.4</v>
      </c>
      <c r="D38" s="19">
        <v>123.76</v>
      </c>
      <c r="E38" s="35">
        <v>140</v>
      </c>
      <c r="F38" s="17">
        <v>99.4</v>
      </c>
      <c r="G38" s="19">
        <f t="shared" si="0"/>
        <v>123.76</v>
      </c>
      <c r="H38" s="35">
        <f t="shared" si="0"/>
        <v>140</v>
      </c>
      <c r="I38" s="17">
        <v>93.800000000000011</v>
      </c>
      <c r="J38" s="19">
        <v>123.34000000000002</v>
      </c>
      <c r="K38" s="35">
        <f t="shared" si="1"/>
        <v>123.34000000000002</v>
      </c>
      <c r="L38" s="17">
        <v>152.6</v>
      </c>
      <c r="M38" s="19">
        <v>182.56000000000003</v>
      </c>
      <c r="N38" s="35">
        <f t="shared" si="2"/>
        <v>182.56000000000003</v>
      </c>
      <c r="O38" s="663">
        <v>0.75</v>
      </c>
    </row>
    <row r="39" spans="1:15" ht="15.75" thickBot="1" x14ac:dyDescent="0.3">
      <c r="A39" s="180">
        <v>39527</v>
      </c>
      <c r="B39" s="181">
        <v>39629</v>
      </c>
      <c r="C39" s="65">
        <v>107.2</v>
      </c>
      <c r="D39" s="68">
        <v>125.86000000000001</v>
      </c>
      <c r="E39" s="69">
        <v>142.38000000000002</v>
      </c>
      <c r="F39" s="65">
        <v>101</v>
      </c>
      <c r="G39" s="68">
        <f t="shared" si="0"/>
        <v>125.86000000000001</v>
      </c>
      <c r="H39" s="69">
        <f t="shared" si="0"/>
        <v>142.38000000000002</v>
      </c>
      <c r="I39" s="65">
        <v>95.4</v>
      </c>
      <c r="J39" s="68">
        <v>125.44000000000001</v>
      </c>
      <c r="K39" s="69">
        <f t="shared" si="1"/>
        <v>125.44000000000001</v>
      </c>
      <c r="L39" s="65">
        <v>155.20000000000002</v>
      </c>
      <c r="M39" s="68">
        <v>185.64000000000001</v>
      </c>
      <c r="N39" s="69">
        <f t="shared" si="2"/>
        <v>185.64000000000001</v>
      </c>
      <c r="O39" s="664">
        <v>0.75</v>
      </c>
    </row>
    <row r="40" spans="1:15" x14ac:dyDescent="0.25">
      <c r="A40" s="161">
        <v>39630</v>
      </c>
      <c r="B40" s="162">
        <v>39710</v>
      </c>
      <c r="C40" s="18">
        <v>107.2</v>
      </c>
      <c r="D40" s="20">
        <v>125.86000000000001</v>
      </c>
      <c r="E40" s="60">
        <v>142.38000000000002</v>
      </c>
      <c r="F40" s="18">
        <v>101</v>
      </c>
      <c r="G40" s="20">
        <f t="shared" si="0"/>
        <v>125.86000000000001</v>
      </c>
      <c r="H40" s="60">
        <f t="shared" si="0"/>
        <v>142.38000000000002</v>
      </c>
      <c r="I40" s="18">
        <v>95.4</v>
      </c>
      <c r="J40" s="20">
        <v>125.44000000000001</v>
      </c>
      <c r="K40" s="60">
        <f t="shared" si="1"/>
        <v>125.44000000000001</v>
      </c>
      <c r="L40" s="18">
        <v>155.20000000000002</v>
      </c>
      <c r="M40" s="20">
        <v>185.64000000000001</v>
      </c>
      <c r="N40" s="60">
        <f t="shared" si="2"/>
        <v>185.64000000000001</v>
      </c>
      <c r="O40" s="662">
        <v>0.75</v>
      </c>
    </row>
    <row r="41" spans="1:15" x14ac:dyDescent="0.25">
      <c r="A41" s="163">
        <v>39711</v>
      </c>
      <c r="B41" s="164">
        <v>39813</v>
      </c>
      <c r="C41" s="17">
        <v>110.2</v>
      </c>
      <c r="D41" s="19">
        <v>129.36000000000001</v>
      </c>
      <c r="E41" s="35">
        <v>146.30000000000001</v>
      </c>
      <c r="F41" s="17">
        <v>103.80000000000001</v>
      </c>
      <c r="G41" s="19">
        <f t="shared" si="0"/>
        <v>129.36000000000001</v>
      </c>
      <c r="H41" s="35">
        <f t="shared" si="0"/>
        <v>146.30000000000001</v>
      </c>
      <c r="I41" s="17">
        <v>98</v>
      </c>
      <c r="J41" s="19">
        <v>128.94000000000003</v>
      </c>
      <c r="K41" s="35">
        <f t="shared" si="1"/>
        <v>128.94000000000003</v>
      </c>
      <c r="L41" s="17">
        <v>159.60000000000002</v>
      </c>
      <c r="M41" s="19">
        <v>190.82000000000002</v>
      </c>
      <c r="N41" s="35">
        <f t="shared" si="2"/>
        <v>190.82000000000002</v>
      </c>
      <c r="O41" s="663">
        <v>0.75</v>
      </c>
    </row>
    <row r="42" spans="1:15" x14ac:dyDescent="0.25">
      <c r="A42" s="163">
        <v>39814</v>
      </c>
      <c r="B42" s="164">
        <v>39891</v>
      </c>
      <c r="C42" s="17">
        <v>110.2</v>
      </c>
      <c r="D42" s="19">
        <v>129.36000000000001</v>
      </c>
      <c r="E42" s="35">
        <v>146.30000000000001</v>
      </c>
      <c r="F42" s="17">
        <v>103.80000000000001</v>
      </c>
      <c r="G42" s="19">
        <f t="shared" si="0"/>
        <v>129.36000000000001</v>
      </c>
      <c r="H42" s="35">
        <f t="shared" si="0"/>
        <v>146.30000000000001</v>
      </c>
      <c r="I42" s="17">
        <v>98</v>
      </c>
      <c r="J42" s="19">
        <v>128.94000000000003</v>
      </c>
      <c r="K42" s="35">
        <f t="shared" si="1"/>
        <v>128.94000000000003</v>
      </c>
      <c r="L42" s="17">
        <v>159.60000000000002</v>
      </c>
      <c r="M42" s="19">
        <v>190.82000000000002</v>
      </c>
      <c r="N42" s="35">
        <f t="shared" si="2"/>
        <v>190.82000000000002</v>
      </c>
      <c r="O42" s="663">
        <v>0.75</v>
      </c>
    </row>
    <row r="43" spans="1:15" ht="15.75" thickBot="1" x14ac:dyDescent="0.3">
      <c r="A43" s="180">
        <v>39892</v>
      </c>
      <c r="B43" s="181">
        <v>39994</v>
      </c>
      <c r="C43" s="65">
        <v>111.2</v>
      </c>
      <c r="D43" s="68">
        <v>130.48000000000002</v>
      </c>
      <c r="E43" s="69">
        <v>147.56</v>
      </c>
      <c r="F43" s="65">
        <v>104.80000000000001</v>
      </c>
      <c r="G43" s="68">
        <f t="shared" si="0"/>
        <v>130.48000000000002</v>
      </c>
      <c r="H43" s="69">
        <f t="shared" si="0"/>
        <v>147.56</v>
      </c>
      <c r="I43" s="65">
        <v>98.800000000000011</v>
      </c>
      <c r="J43" s="68">
        <v>130.06</v>
      </c>
      <c r="K43" s="69">
        <f t="shared" si="1"/>
        <v>130.06</v>
      </c>
      <c r="L43" s="65">
        <v>161</v>
      </c>
      <c r="M43" s="68">
        <v>192.50000000000003</v>
      </c>
      <c r="N43" s="69">
        <f t="shared" si="2"/>
        <v>192.50000000000003</v>
      </c>
      <c r="O43" s="664">
        <v>0.75</v>
      </c>
    </row>
    <row r="44" spans="1:15" x14ac:dyDescent="0.25">
      <c r="A44" s="161">
        <v>39995</v>
      </c>
      <c r="B44" s="162">
        <v>40075</v>
      </c>
      <c r="C44" s="18">
        <v>111.2</v>
      </c>
      <c r="D44" s="20">
        <v>130.48000000000002</v>
      </c>
      <c r="E44" s="60">
        <v>147.56</v>
      </c>
      <c r="F44" s="18">
        <v>104.80000000000001</v>
      </c>
      <c r="G44" s="20">
        <f t="shared" si="0"/>
        <v>130.48000000000002</v>
      </c>
      <c r="H44" s="60">
        <f t="shared" si="0"/>
        <v>147.56</v>
      </c>
      <c r="I44" s="18">
        <v>98.800000000000011</v>
      </c>
      <c r="J44" s="20">
        <v>130.06</v>
      </c>
      <c r="K44" s="60">
        <f t="shared" si="1"/>
        <v>130.06</v>
      </c>
      <c r="L44" s="18">
        <v>161</v>
      </c>
      <c r="M44" s="20">
        <v>192.50000000000003</v>
      </c>
      <c r="N44" s="60">
        <f t="shared" si="2"/>
        <v>192.50000000000003</v>
      </c>
      <c r="O44" s="662">
        <v>0.75</v>
      </c>
    </row>
    <row r="45" spans="1:15" x14ac:dyDescent="0.25">
      <c r="A45" s="163">
        <v>40076</v>
      </c>
      <c r="B45" s="164">
        <v>40178</v>
      </c>
      <c r="C45" s="17">
        <v>111.80000000000001</v>
      </c>
      <c r="D45" s="19">
        <v>131.32000000000002</v>
      </c>
      <c r="E45" s="35">
        <v>148.4</v>
      </c>
      <c r="F45" s="17">
        <v>105.4</v>
      </c>
      <c r="G45" s="19">
        <f t="shared" si="0"/>
        <v>131.32000000000002</v>
      </c>
      <c r="H45" s="35">
        <f t="shared" si="0"/>
        <v>148.4</v>
      </c>
      <c r="I45" s="17">
        <v>99.4</v>
      </c>
      <c r="J45" s="19">
        <v>130.9</v>
      </c>
      <c r="K45" s="35">
        <f t="shared" si="1"/>
        <v>130.9</v>
      </c>
      <c r="L45" s="17">
        <v>162</v>
      </c>
      <c r="M45" s="19">
        <v>193.62</v>
      </c>
      <c r="N45" s="35">
        <f t="shared" si="2"/>
        <v>193.62</v>
      </c>
      <c r="O45" s="663">
        <v>0.75</v>
      </c>
    </row>
    <row r="46" spans="1:15" x14ac:dyDescent="0.25">
      <c r="A46" s="163">
        <v>40179</v>
      </c>
      <c r="B46" s="164">
        <v>40256</v>
      </c>
      <c r="C46" s="17">
        <v>111.80000000000001</v>
      </c>
      <c r="D46" s="19">
        <v>131.32000000000002</v>
      </c>
      <c r="E46" s="35">
        <v>148.4</v>
      </c>
      <c r="F46" s="17">
        <v>105.4</v>
      </c>
      <c r="G46" s="19">
        <f t="shared" si="0"/>
        <v>131.32000000000002</v>
      </c>
      <c r="H46" s="35">
        <f t="shared" si="0"/>
        <v>148.4</v>
      </c>
      <c r="I46" s="17">
        <v>99.4</v>
      </c>
      <c r="J46" s="19">
        <v>130.9</v>
      </c>
      <c r="K46" s="35">
        <f t="shared" si="1"/>
        <v>130.9</v>
      </c>
      <c r="L46" s="17">
        <v>162</v>
      </c>
      <c r="M46" s="19">
        <v>193.62</v>
      </c>
      <c r="N46" s="35">
        <f t="shared" si="2"/>
        <v>193.62</v>
      </c>
      <c r="O46" s="663">
        <v>0.75</v>
      </c>
    </row>
    <row r="47" spans="1:15" ht="15.75" thickBot="1" x14ac:dyDescent="0.3">
      <c r="A47" s="180">
        <v>40257</v>
      </c>
      <c r="B47" s="181">
        <v>40359</v>
      </c>
      <c r="C47" s="65">
        <v>113.4</v>
      </c>
      <c r="D47" s="68">
        <v>133.28</v>
      </c>
      <c r="E47" s="69">
        <v>150.64000000000001</v>
      </c>
      <c r="F47" s="65">
        <v>107</v>
      </c>
      <c r="G47" s="68">
        <f t="shared" si="0"/>
        <v>133.28</v>
      </c>
      <c r="H47" s="69">
        <f t="shared" si="0"/>
        <v>150.64000000000001</v>
      </c>
      <c r="I47" s="65">
        <v>100.80000000000001</v>
      </c>
      <c r="J47" s="68">
        <v>132.86000000000001</v>
      </c>
      <c r="K47" s="69">
        <f t="shared" si="1"/>
        <v>132.86000000000001</v>
      </c>
      <c r="L47" s="65">
        <v>164.4</v>
      </c>
      <c r="M47" s="68">
        <v>196.56000000000003</v>
      </c>
      <c r="N47" s="69">
        <f t="shared" si="2"/>
        <v>196.56000000000003</v>
      </c>
      <c r="O47" s="664">
        <v>0.75</v>
      </c>
    </row>
    <row r="48" spans="1:15" x14ac:dyDescent="0.25">
      <c r="A48" s="161">
        <v>40360</v>
      </c>
      <c r="B48" s="162">
        <v>40440</v>
      </c>
      <c r="C48" s="18">
        <v>113.4</v>
      </c>
      <c r="D48" s="20">
        <v>133.28</v>
      </c>
      <c r="E48" s="60">
        <v>150.64000000000001</v>
      </c>
      <c r="F48" s="18">
        <v>107</v>
      </c>
      <c r="G48" s="20">
        <f t="shared" si="0"/>
        <v>133.28</v>
      </c>
      <c r="H48" s="60">
        <f t="shared" si="0"/>
        <v>150.64000000000001</v>
      </c>
      <c r="I48" s="18">
        <v>100.80000000000001</v>
      </c>
      <c r="J48" s="20">
        <v>132.86000000000001</v>
      </c>
      <c r="K48" s="60">
        <f t="shared" si="1"/>
        <v>132.86000000000001</v>
      </c>
      <c r="L48" s="18">
        <v>164.4</v>
      </c>
      <c r="M48" s="20">
        <v>196.56000000000003</v>
      </c>
      <c r="N48" s="60">
        <f t="shared" si="2"/>
        <v>196.56000000000003</v>
      </c>
      <c r="O48" s="662">
        <v>0.75</v>
      </c>
    </row>
    <row r="49" spans="1:15" x14ac:dyDescent="0.25">
      <c r="A49" s="163">
        <v>40441</v>
      </c>
      <c r="B49" s="164">
        <v>40543</v>
      </c>
      <c r="C49" s="17">
        <v>115.2</v>
      </c>
      <c r="D49" s="19">
        <v>135.24</v>
      </c>
      <c r="E49" s="35">
        <v>152.88000000000002</v>
      </c>
      <c r="F49" s="17">
        <v>108.60000000000001</v>
      </c>
      <c r="G49" s="19">
        <f t="shared" si="0"/>
        <v>135.24</v>
      </c>
      <c r="H49" s="35">
        <f t="shared" si="0"/>
        <v>152.88000000000002</v>
      </c>
      <c r="I49" s="17">
        <v>102.4</v>
      </c>
      <c r="J49" s="19">
        <v>134.82000000000002</v>
      </c>
      <c r="K49" s="35">
        <f t="shared" si="1"/>
        <v>134.82000000000002</v>
      </c>
      <c r="L49" s="17">
        <v>166.8</v>
      </c>
      <c r="M49" s="19">
        <v>199.50000000000003</v>
      </c>
      <c r="N49" s="35">
        <f t="shared" si="2"/>
        <v>199.50000000000003</v>
      </c>
      <c r="O49" s="663">
        <v>0.75</v>
      </c>
    </row>
    <row r="50" spans="1:15" x14ac:dyDescent="0.25">
      <c r="A50" s="163">
        <v>40544</v>
      </c>
      <c r="B50" s="164">
        <v>40621</v>
      </c>
      <c r="C50" s="17">
        <v>115.2</v>
      </c>
      <c r="D50" s="19">
        <v>135.24</v>
      </c>
      <c r="E50" s="35">
        <v>152.88000000000002</v>
      </c>
      <c r="F50" s="17">
        <v>108.60000000000001</v>
      </c>
      <c r="G50" s="19">
        <f t="shared" si="0"/>
        <v>135.24</v>
      </c>
      <c r="H50" s="35">
        <f t="shared" si="0"/>
        <v>152.88000000000002</v>
      </c>
      <c r="I50" s="17">
        <v>102.4</v>
      </c>
      <c r="J50" s="19">
        <v>134.82000000000002</v>
      </c>
      <c r="K50" s="35">
        <f t="shared" si="1"/>
        <v>134.82000000000002</v>
      </c>
      <c r="L50" s="17">
        <v>166.8</v>
      </c>
      <c r="M50" s="19">
        <v>199.50000000000003</v>
      </c>
      <c r="N50" s="35">
        <f t="shared" si="2"/>
        <v>199.50000000000003</v>
      </c>
      <c r="O50" s="663">
        <v>0.75</v>
      </c>
    </row>
    <row r="51" spans="1:15" ht="15.75" thickBot="1" x14ac:dyDescent="0.3">
      <c r="A51" s="180">
        <v>40622</v>
      </c>
      <c r="B51" s="181">
        <v>40724</v>
      </c>
      <c r="C51" s="65">
        <v>116.4</v>
      </c>
      <c r="D51" s="68">
        <v>136.78</v>
      </c>
      <c r="E51" s="69">
        <v>154.56</v>
      </c>
      <c r="F51" s="65">
        <v>109.80000000000001</v>
      </c>
      <c r="G51" s="68">
        <f t="shared" si="0"/>
        <v>136.78</v>
      </c>
      <c r="H51" s="69">
        <f t="shared" si="0"/>
        <v>154.56</v>
      </c>
      <c r="I51" s="65">
        <v>103.60000000000001</v>
      </c>
      <c r="J51" s="68">
        <v>136.36000000000001</v>
      </c>
      <c r="K51" s="69">
        <f t="shared" si="1"/>
        <v>136.36000000000001</v>
      </c>
      <c r="L51" s="65">
        <v>168.60000000000002</v>
      </c>
      <c r="M51" s="68">
        <v>201.74</v>
      </c>
      <c r="N51" s="69">
        <f t="shared" si="2"/>
        <v>201.74</v>
      </c>
      <c r="O51" s="664">
        <v>0.75</v>
      </c>
    </row>
    <row r="52" spans="1:15" x14ac:dyDescent="0.25">
      <c r="A52" s="161">
        <v>40725</v>
      </c>
      <c r="B52" s="162">
        <v>40805</v>
      </c>
      <c r="C52" s="18">
        <v>116.4</v>
      </c>
      <c r="D52" s="20">
        <v>136.78</v>
      </c>
      <c r="E52" s="60">
        <v>154.56</v>
      </c>
      <c r="F52" s="18">
        <v>109.80000000000001</v>
      </c>
      <c r="G52" s="20">
        <f t="shared" si="0"/>
        <v>136.78</v>
      </c>
      <c r="H52" s="60">
        <f t="shared" si="0"/>
        <v>154.56</v>
      </c>
      <c r="I52" s="18">
        <v>103.60000000000001</v>
      </c>
      <c r="J52" s="20">
        <v>136.36000000000001</v>
      </c>
      <c r="K52" s="60">
        <f t="shared" si="1"/>
        <v>136.36000000000001</v>
      </c>
      <c r="L52" s="18">
        <v>168.60000000000002</v>
      </c>
      <c r="M52" s="20">
        <v>201.74</v>
      </c>
      <c r="N52" s="60">
        <f t="shared" si="2"/>
        <v>201.74</v>
      </c>
      <c r="O52" s="662">
        <v>0.75</v>
      </c>
    </row>
    <row r="53" spans="1:15" x14ac:dyDescent="0.25">
      <c r="A53" s="163">
        <v>40806</v>
      </c>
      <c r="B53" s="164">
        <v>40908</v>
      </c>
      <c r="C53" s="17">
        <v>119.4</v>
      </c>
      <c r="D53" s="19">
        <v>140.14000000000001</v>
      </c>
      <c r="E53" s="35">
        <v>158.48000000000002</v>
      </c>
      <c r="F53" s="17">
        <v>112.60000000000001</v>
      </c>
      <c r="G53" s="19">
        <f t="shared" si="0"/>
        <v>140.14000000000001</v>
      </c>
      <c r="H53" s="35">
        <f t="shared" si="0"/>
        <v>158.48000000000002</v>
      </c>
      <c r="I53" s="17">
        <v>106.2</v>
      </c>
      <c r="J53" s="19">
        <v>139.72000000000003</v>
      </c>
      <c r="K53" s="35">
        <f t="shared" si="1"/>
        <v>139.72000000000003</v>
      </c>
      <c r="L53" s="17">
        <v>172.8</v>
      </c>
      <c r="M53" s="19">
        <v>206.78000000000003</v>
      </c>
      <c r="N53" s="35">
        <f t="shared" si="2"/>
        <v>206.78000000000003</v>
      </c>
      <c r="O53" s="663">
        <v>0.75</v>
      </c>
    </row>
    <row r="54" spans="1:15" s="5" customFormat="1" x14ac:dyDescent="0.25">
      <c r="A54" s="496">
        <v>40909</v>
      </c>
      <c r="B54" s="497">
        <v>40987</v>
      </c>
      <c r="C54" s="375">
        <v>119.4</v>
      </c>
      <c r="D54" s="242">
        <v>140.14000000000001</v>
      </c>
      <c r="E54" s="374">
        <v>158.48000000000002</v>
      </c>
      <c r="F54" s="375">
        <v>112.60000000000001</v>
      </c>
      <c r="G54" s="242">
        <f t="shared" si="0"/>
        <v>140.14000000000001</v>
      </c>
      <c r="H54" s="374">
        <f t="shared" si="0"/>
        <v>158.48000000000002</v>
      </c>
      <c r="I54" s="375">
        <v>106.2</v>
      </c>
      <c r="J54" s="242">
        <v>139.72000000000003</v>
      </c>
      <c r="K54" s="374">
        <f t="shared" si="1"/>
        <v>139.72000000000003</v>
      </c>
      <c r="L54" s="375">
        <v>172.8</v>
      </c>
      <c r="M54" s="242">
        <v>206.78000000000003</v>
      </c>
      <c r="N54" s="374">
        <f t="shared" si="2"/>
        <v>206.78000000000003</v>
      </c>
      <c r="O54" s="599">
        <v>0.75</v>
      </c>
    </row>
    <row r="55" spans="1:15" s="5" customFormat="1" ht="15.75" thickBot="1" x14ac:dyDescent="0.3">
      <c r="A55" s="538">
        <v>40988</v>
      </c>
      <c r="B55" s="539">
        <v>41090</v>
      </c>
      <c r="C55" s="540">
        <v>120.2</v>
      </c>
      <c r="D55" s="543">
        <v>140.98000000000002</v>
      </c>
      <c r="E55" s="541">
        <v>159.46</v>
      </c>
      <c r="F55" s="540">
        <v>113.2</v>
      </c>
      <c r="G55" s="543">
        <f t="shared" si="0"/>
        <v>140.98000000000002</v>
      </c>
      <c r="H55" s="541">
        <f t="shared" si="0"/>
        <v>159.46</v>
      </c>
      <c r="I55" s="540">
        <v>106.80000000000001</v>
      </c>
      <c r="J55" s="543">
        <v>140.56</v>
      </c>
      <c r="K55" s="541">
        <f t="shared" si="1"/>
        <v>140.56</v>
      </c>
      <c r="L55" s="540">
        <v>173.8</v>
      </c>
      <c r="M55" s="543">
        <v>208.04000000000002</v>
      </c>
      <c r="N55" s="541">
        <f t="shared" si="2"/>
        <v>208.04000000000002</v>
      </c>
      <c r="O55" s="665">
        <v>0.75</v>
      </c>
    </row>
    <row r="56" spans="1:15" s="5" customFormat="1" x14ac:dyDescent="0.25">
      <c r="A56" s="531">
        <v>41091</v>
      </c>
      <c r="B56" s="532">
        <v>41171</v>
      </c>
      <c r="C56" s="534">
        <f>C55</f>
        <v>120.2</v>
      </c>
      <c r="D56" s="536">
        <f>D55</f>
        <v>140.98000000000002</v>
      </c>
      <c r="E56" s="535">
        <f>E55</f>
        <v>159.46</v>
      </c>
      <c r="F56" s="534">
        <f>F55</f>
        <v>113.2</v>
      </c>
      <c r="G56" s="536">
        <f t="shared" si="0"/>
        <v>140.98000000000002</v>
      </c>
      <c r="H56" s="535">
        <f t="shared" si="0"/>
        <v>159.46</v>
      </c>
      <c r="I56" s="534">
        <f>I55</f>
        <v>106.80000000000001</v>
      </c>
      <c r="J56" s="536">
        <f>J55</f>
        <v>140.56</v>
      </c>
      <c r="K56" s="535">
        <f t="shared" si="1"/>
        <v>140.56</v>
      </c>
      <c r="L56" s="534">
        <f>L55</f>
        <v>173.8</v>
      </c>
      <c r="M56" s="536">
        <f>M55</f>
        <v>208.04000000000002</v>
      </c>
      <c r="N56" s="535">
        <f t="shared" si="2"/>
        <v>208.04000000000002</v>
      </c>
      <c r="O56" s="666">
        <v>0.75</v>
      </c>
    </row>
    <row r="57" spans="1:15" s="5" customFormat="1" x14ac:dyDescent="0.25">
      <c r="A57" s="496">
        <v>41172</v>
      </c>
      <c r="B57" s="497">
        <v>41274</v>
      </c>
      <c r="C57" s="375">
        <f>IndexAmt(C56,"peCpiFp",$A56,0.2,6)</f>
        <v>121</v>
      </c>
      <c r="D57" s="242">
        <f>IndexAmt(D56,"peCpiFp",$A56,0.14,6)</f>
        <v>141.82000000000002</v>
      </c>
      <c r="E57" s="374">
        <f>IndexAmt(E56,"peCpiFp",$A56,0.14,6)</f>
        <v>160.44000000000003</v>
      </c>
      <c r="F57" s="375">
        <f>IndexAmt(F56,"peCpiFp",$A56,0.2,6)</f>
        <v>113.80000000000001</v>
      </c>
      <c r="G57" s="242">
        <f t="shared" si="0"/>
        <v>141.82000000000002</v>
      </c>
      <c r="H57" s="374">
        <f t="shared" si="0"/>
        <v>160.44000000000003</v>
      </c>
      <c r="I57" s="375">
        <f>IndexAmt(I56,"peCpiFp",$A56,0.2,6)</f>
        <v>107.4</v>
      </c>
      <c r="J57" s="242">
        <f>IndexAmt(J56,"peCpiFp",$A56,0.14,6)</f>
        <v>141.4</v>
      </c>
      <c r="K57" s="374">
        <f t="shared" si="1"/>
        <v>141.4</v>
      </c>
      <c r="L57" s="375">
        <f>IndexAmt(L56,"peCpiFp",$A56,0.2,6)</f>
        <v>174.8</v>
      </c>
      <c r="M57" s="242">
        <f>IndexAmt(M56,"peCpiFp",$A56,0.14,6)</f>
        <v>209.3</v>
      </c>
      <c r="N57" s="374">
        <f t="shared" si="2"/>
        <v>209.3</v>
      </c>
      <c r="O57" s="599">
        <v>0.75</v>
      </c>
    </row>
    <row r="58" spans="1:15" s="5" customFormat="1" x14ac:dyDescent="0.25">
      <c r="A58" s="496">
        <v>41275</v>
      </c>
      <c r="B58" s="497">
        <v>41352</v>
      </c>
      <c r="C58" s="375">
        <f>C57</f>
        <v>121</v>
      </c>
      <c r="D58" s="242">
        <f>D57</f>
        <v>141.82000000000002</v>
      </c>
      <c r="E58" s="374">
        <f>E57</f>
        <v>160.44000000000003</v>
      </c>
      <c r="F58" s="375">
        <f>F57</f>
        <v>113.80000000000001</v>
      </c>
      <c r="G58" s="242">
        <f t="shared" si="0"/>
        <v>141.82000000000002</v>
      </c>
      <c r="H58" s="374">
        <f t="shared" si="0"/>
        <v>160.44000000000003</v>
      </c>
      <c r="I58" s="375">
        <f>I57</f>
        <v>107.4</v>
      </c>
      <c r="J58" s="242">
        <f>J57</f>
        <v>141.4</v>
      </c>
      <c r="K58" s="374">
        <f t="shared" si="1"/>
        <v>141.4</v>
      </c>
      <c r="L58" s="375">
        <f>L57</f>
        <v>174.8</v>
      </c>
      <c r="M58" s="242">
        <f>M57</f>
        <v>209.3</v>
      </c>
      <c r="N58" s="374">
        <f t="shared" si="2"/>
        <v>209.3</v>
      </c>
      <c r="O58" s="599">
        <v>0.75</v>
      </c>
    </row>
    <row r="59" spans="1:15" s="5" customFormat="1" ht="15.75" thickBot="1" x14ac:dyDescent="0.3">
      <c r="A59" s="538">
        <v>41353</v>
      </c>
      <c r="B59" s="539">
        <v>41455</v>
      </c>
      <c r="C59" s="540">
        <f>IndexAmt(C58,"peCpiFp",$A58,0.2,6)</f>
        <v>123</v>
      </c>
      <c r="D59" s="543">
        <f>IndexAmt(D58,"peCpiFp",$A58,0.14,6)</f>
        <v>144.06</v>
      </c>
      <c r="E59" s="541">
        <f>IndexAmt(E58,"peCpiFp",$A58,0.14,6)</f>
        <v>162.96</v>
      </c>
      <c r="F59" s="540">
        <f>IndexAmt(F58,"peCpiFp",$A58,0.2,6)</f>
        <v>115.60000000000001</v>
      </c>
      <c r="G59" s="543">
        <f t="shared" si="0"/>
        <v>144.06</v>
      </c>
      <c r="H59" s="541">
        <f t="shared" si="0"/>
        <v>162.96</v>
      </c>
      <c r="I59" s="540">
        <f>IndexAmt(I58,"peCpiFp",$A58,0.2,6)</f>
        <v>109.2</v>
      </c>
      <c r="J59" s="543">
        <f>IndexAmt(J58,"peCpiFp",$A58,0.14,6)</f>
        <v>143.64000000000001</v>
      </c>
      <c r="K59" s="541">
        <f t="shared" si="1"/>
        <v>143.64000000000001</v>
      </c>
      <c r="L59" s="540">
        <f>IndexAmt(L58,"peCpiFp",$A58,0.2,6)</f>
        <v>177.60000000000002</v>
      </c>
      <c r="M59" s="543">
        <f>IndexAmt(M58,"peCpiFp",$A58,0.14,6)</f>
        <v>212.66000000000003</v>
      </c>
      <c r="N59" s="541">
        <f t="shared" si="2"/>
        <v>212.66000000000003</v>
      </c>
      <c r="O59" s="665">
        <v>0.75</v>
      </c>
    </row>
    <row r="60" spans="1:15" s="5" customFormat="1" x14ac:dyDescent="0.25">
      <c r="A60" s="531">
        <v>41456</v>
      </c>
      <c r="B60" s="532">
        <v>41536</v>
      </c>
      <c r="C60" s="534">
        <f>C59</f>
        <v>123</v>
      </c>
      <c r="D60" s="536">
        <f>D59</f>
        <v>144.06</v>
      </c>
      <c r="E60" s="535">
        <f>E59</f>
        <v>162.96</v>
      </c>
      <c r="F60" s="534">
        <f>F59</f>
        <v>115.60000000000001</v>
      </c>
      <c r="G60" s="536">
        <f t="shared" si="0"/>
        <v>144.06</v>
      </c>
      <c r="H60" s="535">
        <f t="shared" si="0"/>
        <v>162.96</v>
      </c>
      <c r="I60" s="534">
        <f>I59</f>
        <v>109.2</v>
      </c>
      <c r="J60" s="536">
        <f>J59</f>
        <v>143.64000000000001</v>
      </c>
      <c r="K60" s="535">
        <f t="shared" si="1"/>
        <v>143.64000000000001</v>
      </c>
      <c r="L60" s="534">
        <f>L59</f>
        <v>177.60000000000002</v>
      </c>
      <c r="M60" s="536">
        <f>M59</f>
        <v>212.66000000000003</v>
      </c>
      <c r="N60" s="535">
        <f t="shared" si="2"/>
        <v>212.66000000000003</v>
      </c>
      <c r="O60" s="666">
        <v>0.75</v>
      </c>
    </row>
    <row r="61" spans="1:15" s="5" customFormat="1" x14ac:dyDescent="0.25">
      <c r="A61" s="496">
        <v>41537</v>
      </c>
      <c r="B61" s="497">
        <v>41639</v>
      </c>
      <c r="C61" s="375">
        <v>124</v>
      </c>
      <c r="D61" s="242">
        <v>145.18</v>
      </c>
      <c r="E61" s="374">
        <v>164.22</v>
      </c>
      <c r="F61" s="375">
        <v>116.6</v>
      </c>
      <c r="G61" s="242">
        <v>145.18</v>
      </c>
      <c r="H61" s="374">
        <v>164.22</v>
      </c>
      <c r="I61" s="375">
        <v>110</v>
      </c>
      <c r="J61" s="242">
        <v>144.76</v>
      </c>
      <c r="K61" s="374">
        <f t="shared" si="1"/>
        <v>144.76</v>
      </c>
      <c r="L61" s="375">
        <v>179</v>
      </c>
      <c r="M61" s="242">
        <v>214.34</v>
      </c>
      <c r="N61" s="374">
        <f t="shared" si="2"/>
        <v>214.34</v>
      </c>
      <c r="O61" s="599">
        <v>0.75</v>
      </c>
    </row>
    <row r="62" spans="1:15" x14ac:dyDescent="0.25">
      <c r="A62" s="496">
        <v>41640</v>
      </c>
      <c r="B62" s="497">
        <v>41717</v>
      </c>
      <c r="C62" s="375">
        <f>C61</f>
        <v>124</v>
      </c>
      <c r="D62" s="242">
        <f>D61</f>
        <v>145.18</v>
      </c>
      <c r="E62" s="374">
        <f>E61</f>
        <v>164.22</v>
      </c>
      <c r="F62" s="375">
        <f>F61</f>
        <v>116.6</v>
      </c>
      <c r="G62" s="242">
        <f t="shared" si="0"/>
        <v>145.18</v>
      </c>
      <c r="H62" s="374">
        <f t="shared" si="0"/>
        <v>164.22</v>
      </c>
      <c r="I62" s="375">
        <f>I61</f>
        <v>110</v>
      </c>
      <c r="J62" s="242">
        <f>J61</f>
        <v>144.76</v>
      </c>
      <c r="K62" s="374">
        <f t="shared" si="1"/>
        <v>144.76</v>
      </c>
      <c r="L62" s="375">
        <f>L61</f>
        <v>179</v>
      </c>
      <c r="M62" s="242">
        <f>M61</f>
        <v>214.34</v>
      </c>
      <c r="N62" s="374">
        <f t="shared" si="2"/>
        <v>214.34</v>
      </c>
      <c r="O62" s="599">
        <v>0.75</v>
      </c>
    </row>
    <row r="63" spans="1:15" ht="15.75" thickBot="1" x14ac:dyDescent="0.3">
      <c r="A63" s="538">
        <v>41718</v>
      </c>
      <c r="B63" s="539">
        <v>41820</v>
      </c>
      <c r="C63" s="540">
        <f>IndexAmt(C62,"peCpiFp",$A62,0.2,6)</f>
        <v>126.4</v>
      </c>
      <c r="D63" s="543">
        <f>IndexAmt(D62,"peCpiFp",$A62,0.14,6)</f>
        <v>147.98000000000002</v>
      </c>
      <c r="E63" s="541">
        <f>IndexAmt(E62,"peCpiFp",$A62,0.14,6)</f>
        <v>167.3</v>
      </c>
      <c r="F63" s="540">
        <f>IndexAmt(F62,"peCpiFp",$A62,0.2,6)</f>
        <v>118.80000000000001</v>
      </c>
      <c r="G63" s="543">
        <f t="shared" si="0"/>
        <v>147.98000000000002</v>
      </c>
      <c r="H63" s="541">
        <f t="shared" si="0"/>
        <v>167.3</v>
      </c>
      <c r="I63" s="540">
        <f>IndexAmt(I62,"peCpiFp",$A62,0.2,6)</f>
        <v>112</v>
      </c>
      <c r="J63" s="543">
        <f>IndexAmt(J62,"peCpiFp",$A62,0.14,6)</f>
        <v>147.56</v>
      </c>
      <c r="K63" s="541">
        <f t="shared" si="1"/>
        <v>147.56</v>
      </c>
      <c r="L63" s="540">
        <f>IndexAmt(L62,"peCpiFp",$A62,0.2,6)</f>
        <v>182.4</v>
      </c>
      <c r="M63" s="543">
        <f>IndexAmt(M62,"peCpiFp",$A62,0.14,6)</f>
        <v>218.40000000000003</v>
      </c>
      <c r="N63" s="541">
        <f t="shared" si="2"/>
        <v>218.40000000000003</v>
      </c>
      <c r="O63" s="665">
        <v>0.75</v>
      </c>
    </row>
    <row r="64" spans="1:15" x14ac:dyDescent="0.25">
      <c r="A64" s="531">
        <v>41821</v>
      </c>
      <c r="B64" s="532">
        <v>41901</v>
      </c>
      <c r="C64" s="534">
        <f>C63</f>
        <v>126.4</v>
      </c>
      <c r="D64" s="536">
        <f>D63</f>
        <v>147.98000000000002</v>
      </c>
      <c r="E64" s="535">
        <f>E63</f>
        <v>167.3</v>
      </c>
      <c r="F64" s="534">
        <f>F63</f>
        <v>118.80000000000001</v>
      </c>
      <c r="G64" s="536">
        <f t="shared" si="0"/>
        <v>147.98000000000002</v>
      </c>
      <c r="H64" s="535">
        <f t="shared" si="0"/>
        <v>167.3</v>
      </c>
      <c r="I64" s="534">
        <f>I63</f>
        <v>112</v>
      </c>
      <c r="J64" s="536">
        <f>J63</f>
        <v>147.56</v>
      </c>
      <c r="K64" s="535">
        <f t="shared" si="1"/>
        <v>147.56</v>
      </c>
      <c r="L64" s="534">
        <f>L63</f>
        <v>182.4</v>
      </c>
      <c r="M64" s="536">
        <f>M63</f>
        <v>218.40000000000003</v>
      </c>
      <c r="N64" s="535">
        <f t="shared" si="2"/>
        <v>218.40000000000003</v>
      </c>
      <c r="O64" s="666">
        <v>0.75</v>
      </c>
    </row>
    <row r="65" spans="1:15" x14ac:dyDescent="0.25">
      <c r="A65" s="496">
        <v>41902</v>
      </c>
      <c r="B65" s="497">
        <v>42004</v>
      </c>
      <c r="C65" s="375">
        <f>IndexAmt(C64,"peCpiFp",$A64,0.2,6)</f>
        <v>127.60000000000001</v>
      </c>
      <c r="D65" s="242">
        <f>IndexAmt(D64,"peCpiFp",$A64,0.14,6)</f>
        <v>149.52000000000001</v>
      </c>
      <c r="E65" s="374">
        <f>IndexAmt(E64,"peCpiFp",$A64,0.14,6)</f>
        <v>168.98000000000002</v>
      </c>
      <c r="F65" s="375">
        <f>IndexAmt(F64,"peCpiFp",$A64,0.2,6)</f>
        <v>120</v>
      </c>
      <c r="G65" s="242">
        <f t="shared" si="0"/>
        <v>149.52000000000001</v>
      </c>
      <c r="H65" s="374">
        <f t="shared" si="0"/>
        <v>168.98000000000002</v>
      </c>
      <c r="I65" s="375">
        <f>IndexAmt(I64,"peCpiFp",$A64,0.2,6)</f>
        <v>113.2</v>
      </c>
      <c r="J65" s="242">
        <f>IndexAmt(J64,"peCpiFp",$A64,0.14,6)</f>
        <v>149.10000000000002</v>
      </c>
      <c r="K65" s="374">
        <f t="shared" si="1"/>
        <v>149.10000000000002</v>
      </c>
      <c r="L65" s="375">
        <f>IndexAmt(L64,"peCpiFp",$A64,0.2,6)</f>
        <v>184.20000000000002</v>
      </c>
      <c r="M65" s="242">
        <f>IndexAmt(M64,"peCpiFp",$A64,0.14,6)</f>
        <v>220.64000000000001</v>
      </c>
      <c r="N65" s="374">
        <f t="shared" si="2"/>
        <v>220.64000000000001</v>
      </c>
      <c r="O65" s="599">
        <v>0.75</v>
      </c>
    </row>
    <row r="66" spans="1:15" x14ac:dyDescent="0.25">
      <c r="A66" s="496">
        <v>42005</v>
      </c>
      <c r="B66" s="497">
        <v>42082</v>
      </c>
      <c r="C66" s="375">
        <f>C65</f>
        <v>127.60000000000001</v>
      </c>
      <c r="D66" s="242">
        <f>D65</f>
        <v>149.52000000000001</v>
      </c>
      <c r="E66" s="374">
        <f>E65</f>
        <v>168.98000000000002</v>
      </c>
      <c r="F66" s="375">
        <f>F65</f>
        <v>120</v>
      </c>
      <c r="G66" s="242">
        <f t="shared" si="0"/>
        <v>149.52000000000001</v>
      </c>
      <c r="H66" s="374">
        <f t="shared" si="0"/>
        <v>168.98000000000002</v>
      </c>
      <c r="I66" s="375">
        <f>I65</f>
        <v>113.2</v>
      </c>
      <c r="J66" s="242">
        <f>J65</f>
        <v>149.10000000000002</v>
      </c>
      <c r="K66" s="374">
        <f t="shared" si="1"/>
        <v>149.10000000000002</v>
      </c>
      <c r="L66" s="375">
        <f>L65</f>
        <v>184.20000000000002</v>
      </c>
      <c r="M66" s="242">
        <f>M65</f>
        <v>220.64000000000001</v>
      </c>
      <c r="N66" s="374">
        <f t="shared" si="2"/>
        <v>220.64000000000001</v>
      </c>
      <c r="O66" s="599">
        <v>0.75</v>
      </c>
    </row>
    <row r="67" spans="1:15" ht="15.75" thickBot="1" x14ac:dyDescent="0.3">
      <c r="A67" s="538">
        <v>42083</v>
      </c>
      <c r="B67" s="539">
        <v>42185</v>
      </c>
      <c r="C67" s="540">
        <f>IndexAmt(C66,"peCpiFp",$A66,0.2,6)</f>
        <v>128.4</v>
      </c>
      <c r="D67" s="543">
        <f>IndexAmt(D66,"peCpiFp",$A66,0.14,6)</f>
        <v>150.50000000000003</v>
      </c>
      <c r="E67" s="541">
        <f>IndexAmt(E66,"peCpiFp",$A66,0.14,6)</f>
        <v>170.10000000000002</v>
      </c>
      <c r="F67" s="540">
        <f>IndexAmt(F66,"peCpiFp",$A66,0.2,6)</f>
        <v>120.80000000000001</v>
      </c>
      <c r="G67" s="543">
        <f t="shared" si="0"/>
        <v>150.50000000000003</v>
      </c>
      <c r="H67" s="541">
        <f t="shared" si="0"/>
        <v>170.10000000000002</v>
      </c>
      <c r="I67" s="540">
        <f>IndexAmt(I66,"peCpiFp",$A66,0.2,6)</f>
        <v>114</v>
      </c>
      <c r="J67" s="543">
        <f>IndexAmt(J66,"peCpiFp",$A66,0.14,6)</f>
        <v>150.08000000000001</v>
      </c>
      <c r="K67" s="541">
        <f t="shared" si="1"/>
        <v>150.08000000000001</v>
      </c>
      <c r="L67" s="540">
        <f>IndexAmt(L66,"peCpiFp",$A66,0.2,6)</f>
        <v>185.4</v>
      </c>
      <c r="M67" s="543">
        <f>IndexAmt(M66,"peCpiFp",$A66,0.14,6)</f>
        <v>222.18000000000004</v>
      </c>
      <c r="N67" s="541">
        <f t="shared" si="2"/>
        <v>222.18000000000004</v>
      </c>
      <c r="O67" s="665">
        <v>0.75</v>
      </c>
    </row>
    <row r="68" spans="1:15" x14ac:dyDescent="0.25">
      <c r="A68" s="531">
        <v>42186</v>
      </c>
      <c r="B68" s="532">
        <v>42266</v>
      </c>
      <c r="C68" s="534">
        <f>C67</f>
        <v>128.4</v>
      </c>
      <c r="D68" s="536">
        <f>D67</f>
        <v>150.50000000000003</v>
      </c>
      <c r="E68" s="535">
        <f>E67</f>
        <v>170.10000000000002</v>
      </c>
      <c r="F68" s="534">
        <f>F67</f>
        <v>120.80000000000001</v>
      </c>
      <c r="G68" s="536">
        <f t="shared" si="0"/>
        <v>150.50000000000003</v>
      </c>
      <c r="H68" s="535">
        <f t="shared" si="0"/>
        <v>170.10000000000002</v>
      </c>
      <c r="I68" s="534">
        <f>I67</f>
        <v>114</v>
      </c>
      <c r="J68" s="536">
        <f>J67</f>
        <v>150.08000000000001</v>
      </c>
      <c r="K68" s="535">
        <f t="shared" si="1"/>
        <v>150.08000000000001</v>
      </c>
      <c r="L68" s="534">
        <f>L67</f>
        <v>185.4</v>
      </c>
      <c r="M68" s="536">
        <f>M67</f>
        <v>222.18000000000004</v>
      </c>
      <c r="N68" s="535">
        <f t="shared" si="2"/>
        <v>222.18000000000004</v>
      </c>
      <c r="O68" s="666">
        <v>0.75</v>
      </c>
    </row>
    <row r="69" spans="1:15" x14ac:dyDescent="0.25">
      <c r="A69" s="496">
        <v>42267</v>
      </c>
      <c r="B69" s="497">
        <v>42369</v>
      </c>
      <c r="C69" s="375">
        <f>IndexAmt(C68,"peCpiFp",$A68,0.2,6)</f>
        <v>129.4</v>
      </c>
      <c r="D69" s="242">
        <f>IndexAmt(D68,"peCpiFp",$A68,0.14,6)</f>
        <v>151.76000000000002</v>
      </c>
      <c r="E69" s="374">
        <f>IndexAmt(E68,"peCpiFp",$A68,0.14,6)</f>
        <v>171.50000000000003</v>
      </c>
      <c r="F69" s="375">
        <f>IndexAmt(F68,"peCpiFp",$A68,0.2,6)</f>
        <v>121.80000000000001</v>
      </c>
      <c r="G69" s="242">
        <f t="shared" si="0"/>
        <v>151.76000000000002</v>
      </c>
      <c r="H69" s="374">
        <f t="shared" si="0"/>
        <v>171.50000000000003</v>
      </c>
      <c r="I69" s="375">
        <f>IndexAmt(I68,"peCpiFp",$A68,0.2,6)</f>
        <v>115</v>
      </c>
      <c r="J69" s="242">
        <f>IndexAmt(J68,"peCpiFp",$A68,0.14,6)</f>
        <v>151.34</v>
      </c>
      <c r="K69" s="374">
        <f t="shared" si="1"/>
        <v>151.34</v>
      </c>
      <c r="L69" s="375">
        <f>IndexAmt(L68,"peCpiFp",$A68,0.2,6)</f>
        <v>186.8</v>
      </c>
      <c r="M69" s="242">
        <f>IndexAmt(M68,"peCpiFp",$A68,0.14,6)</f>
        <v>224.00000000000003</v>
      </c>
      <c r="N69" s="374">
        <f t="shared" si="2"/>
        <v>224.00000000000003</v>
      </c>
      <c r="O69" s="599">
        <v>0.75</v>
      </c>
    </row>
    <row r="70" spans="1:15" x14ac:dyDescent="0.25">
      <c r="A70" s="496">
        <v>42370</v>
      </c>
      <c r="B70" s="497">
        <v>42448</v>
      </c>
      <c r="C70" s="375">
        <f>C69</f>
        <v>129.4</v>
      </c>
      <c r="D70" s="242">
        <f>D69</f>
        <v>151.76000000000002</v>
      </c>
      <c r="E70" s="374">
        <f>E69</f>
        <v>171.50000000000003</v>
      </c>
      <c r="F70" s="375">
        <f>F69</f>
        <v>121.80000000000001</v>
      </c>
      <c r="G70" s="242">
        <f t="shared" si="0"/>
        <v>151.76000000000002</v>
      </c>
      <c r="H70" s="374">
        <f t="shared" si="0"/>
        <v>171.50000000000003</v>
      </c>
      <c r="I70" s="375">
        <f>I69</f>
        <v>115</v>
      </c>
      <c r="J70" s="242">
        <f>J69</f>
        <v>151.34</v>
      </c>
      <c r="K70" s="374">
        <f t="shared" si="1"/>
        <v>151.34</v>
      </c>
      <c r="L70" s="375">
        <f>L69</f>
        <v>186.8</v>
      </c>
      <c r="M70" s="242">
        <f>M69</f>
        <v>224.00000000000003</v>
      </c>
      <c r="N70" s="374">
        <f t="shared" si="2"/>
        <v>224.00000000000003</v>
      </c>
      <c r="O70" s="599">
        <v>0.75</v>
      </c>
    </row>
    <row r="71" spans="1:15" ht="15.75" thickBot="1" x14ac:dyDescent="0.3">
      <c r="A71" s="538">
        <v>42449</v>
      </c>
      <c r="B71" s="539">
        <v>42551</v>
      </c>
      <c r="C71" s="540">
        <v>130.4</v>
      </c>
      <c r="D71" s="543">
        <v>153.02000000000001</v>
      </c>
      <c r="E71" s="541">
        <v>172.9</v>
      </c>
      <c r="F71" s="540">
        <v>122.8</v>
      </c>
      <c r="G71" s="543">
        <v>153.02000000000001</v>
      </c>
      <c r="H71" s="541">
        <v>172.9</v>
      </c>
      <c r="I71" s="540">
        <v>116</v>
      </c>
      <c r="J71" s="543">
        <v>152.6</v>
      </c>
      <c r="K71" s="541">
        <v>152.6</v>
      </c>
      <c r="L71" s="540">
        <v>188.2</v>
      </c>
      <c r="M71" s="543">
        <v>225.82</v>
      </c>
      <c r="N71" s="541">
        <v>225.82</v>
      </c>
      <c r="O71" s="665">
        <v>0.75</v>
      </c>
    </row>
    <row r="72" spans="1:15" s="5" customFormat="1" x14ac:dyDescent="0.25">
      <c r="A72" s="531">
        <v>42552</v>
      </c>
      <c r="B72" s="532">
        <v>42632</v>
      </c>
      <c r="C72" s="534">
        <f>C71</f>
        <v>130.4</v>
      </c>
      <c r="D72" s="536">
        <f>D71</f>
        <v>153.02000000000001</v>
      </c>
      <c r="E72" s="535">
        <f>E71</f>
        <v>172.9</v>
      </c>
      <c r="F72" s="534">
        <f>F71</f>
        <v>122.8</v>
      </c>
      <c r="G72" s="536">
        <f t="shared" si="0"/>
        <v>153.02000000000001</v>
      </c>
      <c r="H72" s="535">
        <f t="shared" si="0"/>
        <v>172.9</v>
      </c>
      <c r="I72" s="534">
        <f>I71</f>
        <v>116</v>
      </c>
      <c r="J72" s="536">
        <f>J71</f>
        <v>152.6</v>
      </c>
      <c r="K72" s="535">
        <f t="shared" si="1"/>
        <v>152.6</v>
      </c>
      <c r="L72" s="534">
        <f>L71</f>
        <v>188.2</v>
      </c>
      <c r="M72" s="536">
        <f>M71</f>
        <v>225.82</v>
      </c>
      <c r="N72" s="535">
        <f t="shared" si="2"/>
        <v>225.82</v>
      </c>
      <c r="O72" s="666">
        <v>0.75</v>
      </c>
    </row>
    <row r="73" spans="1:15" x14ac:dyDescent="0.25">
      <c r="A73" s="496">
        <v>42633</v>
      </c>
      <c r="B73" s="497">
        <v>42735</v>
      </c>
      <c r="C73" s="375">
        <f>IndexAmt(C72,"peCpiFp",$A72,0.2,6)</f>
        <v>130.6</v>
      </c>
      <c r="D73" s="242">
        <f>IndexAmt(D72,"peCpiFp",$A72,0.14,6)</f>
        <v>153.30000000000001</v>
      </c>
      <c r="E73" s="374">
        <f>IndexAmt(E72,"peCpiFp",$A72,0.14,6)</f>
        <v>173.18</v>
      </c>
      <c r="F73" s="375">
        <f>IndexAmt(F72,"peCpiFp",$A72,0.2,6)</f>
        <v>123</v>
      </c>
      <c r="G73" s="242">
        <f t="shared" ref="G73:H91" si="3">D73</f>
        <v>153.30000000000001</v>
      </c>
      <c r="H73" s="374">
        <f t="shared" si="3"/>
        <v>173.18</v>
      </c>
      <c r="I73" s="375">
        <f>IndexAmt(I72,"peCpiFp",$A72,0.2,6)</f>
        <v>116.2</v>
      </c>
      <c r="J73" s="242">
        <f>IndexAmt(J72,"peCpiFp",$A72,0.14,6)</f>
        <v>152.88000000000002</v>
      </c>
      <c r="K73" s="374">
        <f t="shared" ref="K73:K91" si="4">J73</f>
        <v>152.88000000000002</v>
      </c>
      <c r="L73" s="375">
        <f>IndexAmt(L72,"peCpiFp",$A72,0.2,6)</f>
        <v>188.60000000000002</v>
      </c>
      <c r="M73" s="242">
        <f>IndexAmt(M72,"peCpiFp",$A72,0.14,6)</f>
        <v>226.24</v>
      </c>
      <c r="N73" s="374">
        <f t="shared" ref="N73:N91" si="5">M73</f>
        <v>226.24</v>
      </c>
      <c r="O73" s="599">
        <v>0.75</v>
      </c>
    </row>
    <row r="74" spans="1:15" x14ac:dyDescent="0.25">
      <c r="A74" s="496">
        <v>42736</v>
      </c>
      <c r="B74" s="497">
        <v>42813</v>
      </c>
      <c r="C74" s="375">
        <f>C73</f>
        <v>130.6</v>
      </c>
      <c r="D74" s="242">
        <f>D73</f>
        <v>153.30000000000001</v>
      </c>
      <c r="E74" s="374">
        <f>E73</f>
        <v>173.18</v>
      </c>
      <c r="F74" s="375">
        <f>F73</f>
        <v>123</v>
      </c>
      <c r="G74" s="242">
        <f t="shared" si="3"/>
        <v>153.30000000000001</v>
      </c>
      <c r="H74" s="374">
        <f t="shared" si="3"/>
        <v>173.18</v>
      </c>
      <c r="I74" s="375">
        <f>I73</f>
        <v>116.2</v>
      </c>
      <c r="J74" s="242">
        <f>J73</f>
        <v>152.88000000000002</v>
      </c>
      <c r="K74" s="374">
        <f t="shared" si="4"/>
        <v>152.88000000000002</v>
      </c>
      <c r="L74" s="375">
        <f>L73</f>
        <v>188.60000000000002</v>
      </c>
      <c r="M74" s="242">
        <f>M73</f>
        <v>226.24</v>
      </c>
      <c r="N74" s="374">
        <f t="shared" si="5"/>
        <v>226.24</v>
      </c>
      <c r="O74" s="599">
        <v>0.75</v>
      </c>
    </row>
    <row r="75" spans="1:15" ht="15.75" thickBot="1" x14ac:dyDescent="0.3">
      <c r="A75" s="538">
        <v>42814</v>
      </c>
      <c r="B75" s="539">
        <v>42916</v>
      </c>
      <c r="C75" s="540">
        <f>IndexAmt(C74,"peCpiFp",$A74,0.2,6)</f>
        <v>132.20000000000002</v>
      </c>
      <c r="D75" s="543">
        <f>IndexAmt(D74,"peCpiFp",$A74,0.14,6)</f>
        <v>155.26000000000002</v>
      </c>
      <c r="E75" s="541">
        <f>IndexAmt(E74,"peCpiFp",$A74,0.14,6)</f>
        <v>175.42000000000002</v>
      </c>
      <c r="F75" s="540">
        <f>IndexAmt(F74,"peCpiFp",$A74,0.2,6)</f>
        <v>124.60000000000001</v>
      </c>
      <c r="G75" s="543">
        <f t="shared" si="3"/>
        <v>155.26000000000002</v>
      </c>
      <c r="H75" s="541">
        <f t="shared" si="3"/>
        <v>175.42000000000002</v>
      </c>
      <c r="I75" s="540">
        <f>IndexAmt(I74,"peCpiFp",$A74,0.2,6)</f>
        <v>117.80000000000001</v>
      </c>
      <c r="J75" s="543">
        <f>IndexAmt(J74,"peCpiFp",$A74,0.14,6)</f>
        <v>154.84</v>
      </c>
      <c r="K75" s="541">
        <f t="shared" si="4"/>
        <v>154.84</v>
      </c>
      <c r="L75" s="540">
        <f>IndexAmt(L74,"peCpiFp",$A74,0.2,6)</f>
        <v>191</v>
      </c>
      <c r="M75" s="543">
        <f>IndexAmt(M74,"peCpiFp",$A74,0.14,6)</f>
        <v>229.18000000000004</v>
      </c>
      <c r="N75" s="541">
        <f t="shared" si="5"/>
        <v>229.18000000000004</v>
      </c>
      <c r="O75" s="665">
        <v>0.75</v>
      </c>
    </row>
    <row r="76" spans="1:15" x14ac:dyDescent="0.25">
      <c r="A76" s="531">
        <v>42917</v>
      </c>
      <c r="B76" s="532">
        <v>42997</v>
      </c>
      <c r="C76" s="534">
        <f>C75</f>
        <v>132.20000000000002</v>
      </c>
      <c r="D76" s="536">
        <f>D75</f>
        <v>155.26000000000002</v>
      </c>
      <c r="E76" s="535">
        <f>E75</f>
        <v>175.42000000000002</v>
      </c>
      <c r="F76" s="534">
        <f>F75</f>
        <v>124.60000000000001</v>
      </c>
      <c r="G76" s="536">
        <f t="shared" si="3"/>
        <v>155.26000000000002</v>
      </c>
      <c r="H76" s="535">
        <f t="shared" si="3"/>
        <v>175.42000000000002</v>
      </c>
      <c r="I76" s="534">
        <f>I75</f>
        <v>117.80000000000001</v>
      </c>
      <c r="J76" s="536">
        <f>J75</f>
        <v>154.84</v>
      </c>
      <c r="K76" s="535">
        <f t="shared" si="4"/>
        <v>154.84</v>
      </c>
      <c r="L76" s="534">
        <f>L75</f>
        <v>191</v>
      </c>
      <c r="M76" s="536">
        <f>M75</f>
        <v>229.18000000000004</v>
      </c>
      <c r="N76" s="535">
        <f t="shared" si="5"/>
        <v>229.18000000000004</v>
      </c>
      <c r="O76" s="666">
        <v>0.75</v>
      </c>
    </row>
    <row r="77" spans="1:15" x14ac:dyDescent="0.25">
      <c r="A77" s="165">
        <v>42998</v>
      </c>
      <c r="B77" s="166">
        <v>43100</v>
      </c>
      <c r="C77" s="33">
        <f>IndexAmt(C76,"peCpiFp",$A76,0.2,6)</f>
        <v>133</v>
      </c>
      <c r="D77" s="34">
        <f>IndexAmt(D76,"peCpiFp",$A76,0.14,6)</f>
        <v>156.24</v>
      </c>
      <c r="E77" s="75">
        <f>IndexAmt(E76,"peCpiFp",$A76,0.14,6)</f>
        <v>176.54000000000002</v>
      </c>
      <c r="F77" s="33">
        <f>IndexAmt(F76,"peCpiFp",$A76,0.2,6)</f>
        <v>125.4</v>
      </c>
      <c r="G77" s="34">
        <f t="shared" si="3"/>
        <v>156.24</v>
      </c>
      <c r="H77" s="75">
        <f t="shared" si="3"/>
        <v>176.54000000000002</v>
      </c>
      <c r="I77" s="33">
        <f>IndexAmt(I76,"peCpiFp",$A76,0.2,6)</f>
        <v>118.60000000000001</v>
      </c>
      <c r="J77" s="34">
        <f>IndexAmt(J76,"peCpiFp",$A76,0.14,6)</f>
        <v>155.82000000000002</v>
      </c>
      <c r="K77" s="75">
        <f t="shared" si="4"/>
        <v>155.82000000000002</v>
      </c>
      <c r="L77" s="33">
        <f>IndexAmt(L76,"peCpiFp",$A76,0.2,6)</f>
        <v>192.20000000000002</v>
      </c>
      <c r="M77" s="34">
        <f>IndexAmt(M76,"peCpiFp",$A76,0.14,6)</f>
        <v>230.58</v>
      </c>
      <c r="N77" s="75">
        <f t="shared" si="5"/>
        <v>230.58</v>
      </c>
      <c r="O77" s="667">
        <v>0.75</v>
      </c>
    </row>
    <row r="78" spans="1:15" x14ac:dyDescent="0.25">
      <c r="A78" s="165">
        <v>43101</v>
      </c>
      <c r="B78" s="166">
        <v>43178</v>
      </c>
      <c r="C78" s="33">
        <f>C77</f>
        <v>133</v>
      </c>
      <c r="D78" s="34">
        <f>D77</f>
        <v>156.24</v>
      </c>
      <c r="E78" s="75">
        <f>E77</f>
        <v>176.54000000000002</v>
      </c>
      <c r="F78" s="33">
        <f>F77</f>
        <v>125.4</v>
      </c>
      <c r="G78" s="34">
        <f t="shared" si="3"/>
        <v>156.24</v>
      </c>
      <c r="H78" s="75">
        <f t="shared" si="3"/>
        <v>176.54000000000002</v>
      </c>
      <c r="I78" s="33">
        <f>I77</f>
        <v>118.60000000000001</v>
      </c>
      <c r="J78" s="34">
        <f>J77</f>
        <v>155.82000000000002</v>
      </c>
      <c r="K78" s="75">
        <f t="shared" si="4"/>
        <v>155.82000000000002</v>
      </c>
      <c r="L78" s="33">
        <f>L77</f>
        <v>192.20000000000002</v>
      </c>
      <c r="M78" s="34">
        <f>M77</f>
        <v>230.58</v>
      </c>
      <c r="N78" s="75">
        <f t="shared" si="5"/>
        <v>230.58</v>
      </c>
      <c r="O78" s="667">
        <v>0.75</v>
      </c>
    </row>
    <row r="79" spans="1:15" ht="15.75" thickBot="1" x14ac:dyDescent="0.3">
      <c r="A79" s="167">
        <v>43179</v>
      </c>
      <c r="B79" s="168">
        <v>43281</v>
      </c>
      <c r="C79" s="77">
        <f>IndexAmt(C78,"peCpiFp",$A78,0.2,6)</f>
        <v>134.4</v>
      </c>
      <c r="D79" s="78">
        <f>IndexAmt(D78,"peCpiFp",$A78,0.14,6)</f>
        <v>157.78</v>
      </c>
      <c r="E79" s="79">
        <f>IndexAmt(E78,"peCpiFp",$A78,0.14,6)</f>
        <v>178.36</v>
      </c>
      <c r="F79" s="77">
        <f>IndexAmt(F78,"peCpiFp",$A78,0.2,6)</f>
        <v>126.60000000000001</v>
      </c>
      <c r="G79" s="78">
        <f t="shared" si="3"/>
        <v>157.78</v>
      </c>
      <c r="H79" s="79">
        <f t="shared" si="3"/>
        <v>178.36</v>
      </c>
      <c r="I79" s="77">
        <f>IndexAmt(I78,"peCpiFp",$A78,0.2,6)</f>
        <v>119.80000000000001</v>
      </c>
      <c r="J79" s="78">
        <f>IndexAmt(J78,"peCpiFp",$A78,0.14,6)</f>
        <v>157.36000000000001</v>
      </c>
      <c r="K79" s="79">
        <f t="shared" si="4"/>
        <v>157.36000000000001</v>
      </c>
      <c r="L79" s="77">
        <f>IndexAmt(L78,"peCpiFp",$A78,0.2,6)</f>
        <v>194.20000000000002</v>
      </c>
      <c r="M79" s="78">
        <f>IndexAmt(M78,"peCpiFp",$A78,0.14,6)</f>
        <v>232.82000000000002</v>
      </c>
      <c r="N79" s="79">
        <f t="shared" si="5"/>
        <v>232.82000000000002</v>
      </c>
      <c r="O79" s="668">
        <v>0.75</v>
      </c>
    </row>
    <row r="80" spans="1:15" x14ac:dyDescent="0.25">
      <c r="A80" s="169">
        <v>43282</v>
      </c>
      <c r="B80" s="170">
        <v>43362</v>
      </c>
      <c r="C80" s="188">
        <f>C79</f>
        <v>134.4</v>
      </c>
      <c r="D80" s="171">
        <f>D79</f>
        <v>157.78</v>
      </c>
      <c r="E80" s="172">
        <f>E79</f>
        <v>178.36</v>
      </c>
      <c r="F80" s="188">
        <f>F79</f>
        <v>126.60000000000001</v>
      </c>
      <c r="G80" s="171">
        <f t="shared" si="3"/>
        <v>157.78</v>
      </c>
      <c r="H80" s="172">
        <f t="shared" si="3"/>
        <v>178.36</v>
      </c>
      <c r="I80" s="188">
        <f>I79</f>
        <v>119.80000000000001</v>
      </c>
      <c r="J80" s="171">
        <f>J79</f>
        <v>157.36000000000001</v>
      </c>
      <c r="K80" s="172">
        <f t="shared" si="4"/>
        <v>157.36000000000001</v>
      </c>
      <c r="L80" s="188">
        <f>L79</f>
        <v>194.20000000000002</v>
      </c>
      <c r="M80" s="171">
        <f>M79</f>
        <v>232.82000000000002</v>
      </c>
      <c r="N80" s="172">
        <f t="shared" si="5"/>
        <v>232.82000000000002</v>
      </c>
      <c r="O80" s="669">
        <v>0.75</v>
      </c>
    </row>
    <row r="81" spans="1:15" x14ac:dyDescent="0.25">
      <c r="A81" s="165">
        <v>43363</v>
      </c>
      <c r="B81" s="166">
        <v>43465</v>
      </c>
      <c r="C81" s="33">
        <f>IndexAmt(C80,"peCpiFp",$A80,0.2,6)</f>
        <v>135.80000000000001</v>
      </c>
      <c r="D81" s="34">
        <f>IndexAmt(D80,"peCpiFp",$A80,0.14,6)</f>
        <v>159.32000000000002</v>
      </c>
      <c r="E81" s="75">
        <f>IndexAmt(E80,"peCpiFp",$A80,0.14,6)</f>
        <v>180.18</v>
      </c>
      <c r="F81" s="33">
        <f>IndexAmt(F80,"peCpiFp",$A80,0.2,6)</f>
        <v>127.80000000000001</v>
      </c>
      <c r="G81" s="34">
        <f t="shared" si="3"/>
        <v>159.32000000000002</v>
      </c>
      <c r="H81" s="75">
        <f t="shared" si="3"/>
        <v>180.18</v>
      </c>
      <c r="I81" s="33">
        <f>IndexAmt(I80,"peCpiFp",$A80,0.2,6)</f>
        <v>121</v>
      </c>
      <c r="J81" s="34">
        <f>IndexAmt(J80,"peCpiFp",$A80,0.14,6)</f>
        <v>158.9</v>
      </c>
      <c r="K81" s="75">
        <f t="shared" si="4"/>
        <v>158.9</v>
      </c>
      <c r="L81" s="33">
        <f>IndexAmt(L80,"peCpiFp",$A80,0.2,6)</f>
        <v>196.20000000000002</v>
      </c>
      <c r="M81" s="34">
        <f>IndexAmt(M80,"peCpiFp",$A80,0.14,6)</f>
        <v>235.20000000000002</v>
      </c>
      <c r="N81" s="75">
        <f t="shared" si="5"/>
        <v>235.20000000000002</v>
      </c>
      <c r="O81" s="667">
        <v>0.75</v>
      </c>
    </row>
    <row r="82" spans="1:15" x14ac:dyDescent="0.25">
      <c r="A82" s="165">
        <v>43466</v>
      </c>
      <c r="B82" s="166">
        <v>43543</v>
      </c>
      <c r="C82" s="33">
        <f>C81</f>
        <v>135.80000000000001</v>
      </c>
      <c r="D82" s="34">
        <f>D81</f>
        <v>159.32000000000002</v>
      </c>
      <c r="E82" s="75">
        <f>E81</f>
        <v>180.18</v>
      </c>
      <c r="F82" s="33">
        <f>F81</f>
        <v>127.80000000000001</v>
      </c>
      <c r="G82" s="34">
        <f t="shared" si="3"/>
        <v>159.32000000000002</v>
      </c>
      <c r="H82" s="75">
        <f t="shared" si="3"/>
        <v>180.18</v>
      </c>
      <c r="I82" s="33">
        <f>I81</f>
        <v>121</v>
      </c>
      <c r="J82" s="34">
        <f>J81</f>
        <v>158.9</v>
      </c>
      <c r="K82" s="75">
        <f t="shared" si="4"/>
        <v>158.9</v>
      </c>
      <c r="L82" s="33">
        <f>L81</f>
        <v>196.20000000000002</v>
      </c>
      <c r="M82" s="34">
        <f>M81</f>
        <v>235.20000000000002</v>
      </c>
      <c r="N82" s="75">
        <f t="shared" si="5"/>
        <v>235.20000000000002</v>
      </c>
      <c r="O82" s="667">
        <v>0.75</v>
      </c>
    </row>
    <row r="83" spans="1:15" ht="15.75" thickBot="1" x14ac:dyDescent="0.3">
      <c r="A83" s="167">
        <v>43544</v>
      </c>
      <c r="B83" s="168">
        <v>43646</v>
      </c>
      <c r="C83" s="77">
        <f>IndexAmt(C82,"peCpiFp",$A82,0.2,6)</f>
        <v>137.20000000000002</v>
      </c>
      <c r="D83" s="78">
        <f>IndexAmt(D82,"peCpiFp",$A82,0.14,6)</f>
        <v>161.14000000000001</v>
      </c>
      <c r="E83" s="79">
        <f>IndexAmt(E82,"peCpiFp",$A82,0.14,6)</f>
        <v>182.14000000000001</v>
      </c>
      <c r="F83" s="77">
        <f>IndexAmt(F82,"peCpiFp",$A82,0.2,6)</f>
        <v>129.20000000000002</v>
      </c>
      <c r="G83" s="78">
        <f t="shared" si="3"/>
        <v>161.14000000000001</v>
      </c>
      <c r="H83" s="79">
        <f t="shared" si="3"/>
        <v>182.14000000000001</v>
      </c>
      <c r="I83" s="77">
        <f>IndexAmt(I82,"peCpiFp",$A82,0.2,6)</f>
        <v>122.4</v>
      </c>
      <c r="J83" s="78">
        <f>IndexAmt(J82,"peCpiFp",$A82,0.14,6)</f>
        <v>160.58000000000001</v>
      </c>
      <c r="K83" s="79">
        <f t="shared" si="4"/>
        <v>160.58000000000001</v>
      </c>
      <c r="L83" s="77">
        <f>IndexAmt(L82,"peCpiFp",$A82,0.2,6)</f>
        <v>198.4</v>
      </c>
      <c r="M83" s="78">
        <f>IndexAmt(M82,"peCpiFp",$A82,0.14,6)</f>
        <v>237.72000000000003</v>
      </c>
      <c r="N83" s="79">
        <f t="shared" si="5"/>
        <v>237.72000000000003</v>
      </c>
      <c r="O83" s="668">
        <v>0.75</v>
      </c>
    </row>
    <row r="84" spans="1:15" x14ac:dyDescent="0.25">
      <c r="A84" s="169">
        <v>43647</v>
      </c>
      <c r="B84" s="170">
        <v>43727</v>
      </c>
      <c r="C84" s="188">
        <f>C83</f>
        <v>137.20000000000002</v>
      </c>
      <c r="D84" s="171">
        <f>D83</f>
        <v>161.14000000000001</v>
      </c>
      <c r="E84" s="172">
        <f>E83</f>
        <v>182.14000000000001</v>
      </c>
      <c r="F84" s="188">
        <f>F83</f>
        <v>129.20000000000002</v>
      </c>
      <c r="G84" s="171">
        <f t="shared" si="3"/>
        <v>161.14000000000001</v>
      </c>
      <c r="H84" s="172">
        <f t="shared" si="3"/>
        <v>182.14000000000001</v>
      </c>
      <c r="I84" s="188">
        <f>I83</f>
        <v>122.4</v>
      </c>
      <c r="J84" s="171">
        <f>J83</f>
        <v>160.58000000000001</v>
      </c>
      <c r="K84" s="172">
        <f t="shared" si="4"/>
        <v>160.58000000000001</v>
      </c>
      <c r="L84" s="188">
        <f>L83</f>
        <v>198.4</v>
      </c>
      <c r="M84" s="171">
        <f>M83</f>
        <v>237.72000000000003</v>
      </c>
      <c r="N84" s="172">
        <f t="shared" si="5"/>
        <v>237.72000000000003</v>
      </c>
      <c r="O84" s="669">
        <v>0.75</v>
      </c>
    </row>
    <row r="85" spans="1:15" x14ac:dyDescent="0.25">
      <c r="A85" s="165">
        <v>43728</v>
      </c>
      <c r="B85" s="166">
        <v>43830</v>
      </c>
      <c r="C85" s="33">
        <f>IndexAmt(C84,"peCpiFp",$A84,0.2,6)</f>
        <v>138.80000000000001</v>
      </c>
      <c r="D85" s="34">
        <f>IndexAmt(D84,"peCpiFp",$A84,0.14,6)</f>
        <v>162.96</v>
      </c>
      <c r="E85" s="75">
        <f>IndexAmt(E84,"peCpiFp",$A84,0.14,6)</f>
        <v>184.10000000000002</v>
      </c>
      <c r="F85" s="33">
        <f>IndexAmt(F84,"peCpiFp",$A84,0.2,6)</f>
        <v>130.6</v>
      </c>
      <c r="G85" s="34">
        <f t="shared" si="3"/>
        <v>162.96</v>
      </c>
      <c r="H85" s="75">
        <f t="shared" si="3"/>
        <v>184.10000000000002</v>
      </c>
      <c r="I85" s="33">
        <f>IndexAmt(I84,"peCpiFp",$A84,0.2,6)</f>
        <v>123.80000000000001</v>
      </c>
      <c r="J85" s="34">
        <f>IndexAmt(J84,"peCpiFp",$A84,0.14,6)</f>
        <v>162.4</v>
      </c>
      <c r="K85" s="75">
        <f t="shared" si="4"/>
        <v>162.4</v>
      </c>
      <c r="L85" s="33">
        <f>IndexAmt(L84,"peCpiFp",$A84,0.2,6)</f>
        <v>200.60000000000002</v>
      </c>
      <c r="M85" s="34">
        <f>IndexAmt(M84,"peCpiFp",$A84,0.14,6)</f>
        <v>240.38000000000002</v>
      </c>
      <c r="N85" s="75">
        <f t="shared" si="5"/>
        <v>240.38000000000002</v>
      </c>
      <c r="O85" s="667">
        <v>0.75</v>
      </c>
    </row>
    <row r="86" spans="1:15" x14ac:dyDescent="0.25">
      <c r="A86" s="165">
        <v>43831</v>
      </c>
      <c r="B86" s="166">
        <v>43909</v>
      </c>
      <c r="C86" s="33">
        <f>C85</f>
        <v>138.80000000000001</v>
      </c>
      <c r="D86" s="34">
        <f>D85</f>
        <v>162.96</v>
      </c>
      <c r="E86" s="75">
        <f>E85</f>
        <v>184.10000000000002</v>
      </c>
      <c r="F86" s="33">
        <f>F85</f>
        <v>130.6</v>
      </c>
      <c r="G86" s="34">
        <f t="shared" si="3"/>
        <v>162.96</v>
      </c>
      <c r="H86" s="75">
        <f t="shared" si="3"/>
        <v>184.10000000000002</v>
      </c>
      <c r="I86" s="33">
        <f>I85</f>
        <v>123.80000000000001</v>
      </c>
      <c r="J86" s="34">
        <f>J85</f>
        <v>162.4</v>
      </c>
      <c r="K86" s="75">
        <f t="shared" si="4"/>
        <v>162.4</v>
      </c>
      <c r="L86" s="33">
        <f>L85</f>
        <v>200.60000000000002</v>
      </c>
      <c r="M86" s="34">
        <f>M85</f>
        <v>240.38000000000002</v>
      </c>
      <c r="N86" s="75">
        <f t="shared" si="5"/>
        <v>240.38000000000002</v>
      </c>
      <c r="O86" s="667">
        <v>0.75</v>
      </c>
    </row>
    <row r="87" spans="1:15" ht="15.75" thickBot="1" x14ac:dyDescent="0.3">
      <c r="A87" s="167">
        <v>43910</v>
      </c>
      <c r="B87" s="168">
        <v>44012</v>
      </c>
      <c r="C87" s="77">
        <f>IndexAmt(C86,"peCpiFp",$A86,0.2,6)</f>
        <v>140.4</v>
      </c>
      <c r="D87" s="78">
        <f>IndexAmt(D86,"peCpiFp",$A86,0.14,6)</f>
        <v>164.92000000000002</v>
      </c>
      <c r="E87" s="79">
        <f>IndexAmt(E86,"peCpiFp",$A86,0.14,6)</f>
        <v>186.34000000000003</v>
      </c>
      <c r="F87" s="77">
        <f>IndexAmt(F86,"peCpiFp",$A86,0.2,6)</f>
        <v>132.20000000000002</v>
      </c>
      <c r="G87" s="78">
        <f t="shared" si="3"/>
        <v>164.92000000000002</v>
      </c>
      <c r="H87" s="79">
        <f t="shared" si="3"/>
        <v>186.34000000000003</v>
      </c>
      <c r="I87" s="77">
        <f>IndexAmt(I86,"peCpiFp",$A86,0.2,6)</f>
        <v>125.2</v>
      </c>
      <c r="J87" s="78">
        <f>IndexAmt(J86,"peCpiFp",$A86,0.14,6)</f>
        <v>164.36</v>
      </c>
      <c r="K87" s="79">
        <f t="shared" si="4"/>
        <v>164.36</v>
      </c>
      <c r="L87" s="77">
        <f>IndexAmt(L86,"peCpiFp",$A86,0.2,6)</f>
        <v>203</v>
      </c>
      <c r="M87" s="78">
        <f>IndexAmt(M86,"peCpiFp",$A86,0.14,6)</f>
        <v>243.32000000000002</v>
      </c>
      <c r="N87" s="79">
        <f t="shared" si="5"/>
        <v>243.32000000000002</v>
      </c>
      <c r="O87" s="668">
        <v>0.75</v>
      </c>
    </row>
    <row r="88" spans="1:15" x14ac:dyDescent="0.25">
      <c r="A88" s="169">
        <v>44013</v>
      </c>
      <c r="B88" s="170">
        <v>44093</v>
      </c>
      <c r="C88" s="188">
        <f>C87</f>
        <v>140.4</v>
      </c>
      <c r="D88" s="171">
        <f>D87</f>
        <v>164.92000000000002</v>
      </c>
      <c r="E88" s="172">
        <f>E87</f>
        <v>186.34000000000003</v>
      </c>
      <c r="F88" s="188">
        <f>F87</f>
        <v>132.20000000000002</v>
      </c>
      <c r="G88" s="171">
        <f t="shared" si="3"/>
        <v>164.92000000000002</v>
      </c>
      <c r="H88" s="172">
        <f t="shared" si="3"/>
        <v>186.34000000000003</v>
      </c>
      <c r="I88" s="188">
        <f>I87</f>
        <v>125.2</v>
      </c>
      <c r="J88" s="171">
        <f>J87</f>
        <v>164.36</v>
      </c>
      <c r="K88" s="172">
        <f t="shared" si="4"/>
        <v>164.36</v>
      </c>
      <c r="L88" s="188">
        <f>L87</f>
        <v>203</v>
      </c>
      <c r="M88" s="171">
        <f>M87</f>
        <v>243.32000000000002</v>
      </c>
      <c r="N88" s="172">
        <f t="shared" si="5"/>
        <v>243.32000000000002</v>
      </c>
      <c r="O88" s="669">
        <v>0.75</v>
      </c>
    </row>
    <row r="89" spans="1:15" x14ac:dyDescent="0.25">
      <c r="A89" s="165">
        <v>44094</v>
      </c>
      <c r="B89" s="166">
        <v>44196</v>
      </c>
      <c r="C89" s="33">
        <f>IndexAmt(C88,"peCpiFp",$A88,0.2,6)</f>
        <v>142.20000000000002</v>
      </c>
      <c r="D89" s="34">
        <f>IndexAmt(D88,"peCpiFp",$A88,0.14,6)</f>
        <v>167.02</v>
      </c>
      <c r="E89" s="75">
        <f>IndexAmt(E88,"peCpiFp",$A88,0.14,6)</f>
        <v>188.72000000000003</v>
      </c>
      <c r="F89" s="33">
        <f>IndexAmt(F88,"peCpiFp",$A88,0.2,6)</f>
        <v>134</v>
      </c>
      <c r="G89" s="34">
        <f t="shared" si="3"/>
        <v>167.02</v>
      </c>
      <c r="H89" s="75">
        <f t="shared" si="3"/>
        <v>188.72000000000003</v>
      </c>
      <c r="I89" s="33">
        <f>IndexAmt(I88,"peCpiFp",$A88,0.2,6)</f>
        <v>126.80000000000001</v>
      </c>
      <c r="J89" s="34">
        <f>IndexAmt(J88,"peCpiFp",$A88,0.14,6)</f>
        <v>166.46</v>
      </c>
      <c r="K89" s="75">
        <f t="shared" si="4"/>
        <v>166.46</v>
      </c>
      <c r="L89" s="33">
        <f>IndexAmt(L88,"peCpiFp",$A88,0.2,6)</f>
        <v>205.60000000000002</v>
      </c>
      <c r="M89" s="34">
        <f>IndexAmt(M88,"peCpiFp",$A88,0.14,6)</f>
        <v>246.54000000000002</v>
      </c>
      <c r="N89" s="75">
        <f t="shared" si="5"/>
        <v>246.54000000000002</v>
      </c>
      <c r="O89" s="667">
        <v>0.75</v>
      </c>
    </row>
    <row r="90" spans="1:15" x14ac:dyDescent="0.25">
      <c r="A90" s="165">
        <v>44197</v>
      </c>
      <c r="B90" s="166">
        <v>44274</v>
      </c>
      <c r="C90" s="33">
        <f>C89</f>
        <v>142.20000000000002</v>
      </c>
      <c r="D90" s="34">
        <f>D89</f>
        <v>167.02</v>
      </c>
      <c r="E90" s="75">
        <f>E89</f>
        <v>188.72000000000003</v>
      </c>
      <c r="F90" s="33">
        <f>F89</f>
        <v>134</v>
      </c>
      <c r="G90" s="34">
        <f t="shared" si="3"/>
        <v>167.02</v>
      </c>
      <c r="H90" s="75">
        <f t="shared" si="3"/>
        <v>188.72000000000003</v>
      </c>
      <c r="I90" s="33">
        <f>I89</f>
        <v>126.80000000000001</v>
      </c>
      <c r="J90" s="34">
        <f>J89</f>
        <v>166.46</v>
      </c>
      <c r="K90" s="75">
        <f t="shared" si="4"/>
        <v>166.46</v>
      </c>
      <c r="L90" s="33">
        <f>L89</f>
        <v>205.60000000000002</v>
      </c>
      <c r="M90" s="34">
        <f>M89</f>
        <v>246.54000000000002</v>
      </c>
      <c r="N90" s="75">
        <f t="shared" si="5"/>
        <v>246.54000000000002</v>
      </c>
      <c r="O90" s="667">
        <v>0.75</v>
      </c>
    </row>
    <row r="91" spans="1:15" ht="15.75" thickBot="1" x14ac:dyDescent="0.3">
      <c r="A91" s="167">
        <v>44275</v>
      </c>
      <c r="B91" s="168">
        <v>44377</v>
      </c>
      <c r="C91" s="77">
        <f>IndexAmt(C90,"peCpiFp",$A90,0.2,6)</f>
        <v>144</v>
      </c>
      <c r="D91" s="78">
        <f>IndexAmt(D90,"peCpiFp",$A90,0.14,6)</f>
        <v>169.26000000000002</v>
      </c>
      <c r="E91" s="79">
        <f>IndexAmt(E90,"peCpiFp",$A90,0.14,6)</f>
        <v>191.24</v>
      </c>
      <c r="F91" s="77">
        <f>IndexAmt(F90,"peCpiFp",$A90,0.2,6)</f>
        <v>135.80000000000001</v>
      </c>
      <c r="G91" s="78">
        <f t="shared" si="3"/>
        <v>169.26000000000002</v>
      </c>
      <c r="H91" s="79">
        <f t="shared" si="3"/>
        <v>191.24</v>
      </c>
      <c r="I91" s="77">
        <f>IndexAmt(I90,"peCpiFp",$A90,0.2,6)</f>
        <v>128.4</v>
      </c>
      <c r="J91" s="78">
        <f>IndexAmt(J90,"peCpiFp",$A90,0.14,6)</f>
        <v>168.56</v>
      </c>
      <c r="K91" s="79">
        <f t="shared" si="4"/>
        <v>168.56</v>
      </c>
      <c r="L91" s="77">
        <f>IndexAmt(L90,"peCpiFp",$A90,0.2,6)</f>
        <v>208.20000000000002</v>
      </c>
      <c r="M91" s="78">
        <f>IndexAmt(M90,"peCpiFp",$A90,0.14,6)</f>
        <v>249.76000000000002</v>
      </c>
      <c r="N91" s="79">
        <f t="shared" si="5"/>
        <v>249.76000000000002</v>
      </c>
      <c r="O91" s="668">
        <v>0.75</v>
      </c>
    </row>
  </sheetData>
  <customSheetViews>
    <customSheetView guid="{E49C2F27-B0B9-497E-BEC0-5B59561292FE}">
      <pane xSplit="2" ySplit="7" topLeftCell="C59" activePane="bottomRight" state="frozen"/>
      <selection pane="bottomRight" activeCell="O68" sqref="O68"/>
      <pageMargins left="0.7" right="0.7" top="0.75" bottom="0.75" header="0.3" footer="0.3"/>
      <pageSetup paperSize="9" orientation="portrait" r:id="rId1"/>
    </customSheetView>
    <customSheetView guid="{A5953138-1481-4137-BEAD-32FA4FDF03E6}">
      <pane xSplit="2" ySplit="7" topLeftCell="C59" activePane="bottomRight" state="frozen"/>
      <selection pane="bottomRight" activeCell="O68" sqref="O68"/>
      <pageMargins left="0.7" right="0.7" top="0.75" bottom="0.75" header="0.3" footer="0.3"/>
      <pageSetup paperSize="9" orientation="portrait" r:id="rId2"/>
    </customSheetView>
    <customSheetView guid="{2A1F94CA-1A34-4418-88FD-EABF7586C2B2}">
      <pane xSplit="2" ySplit="7" topLeftCell="C59" activePane="bottomRight" state="frozen"/>
      <selection pane="bottomRight" activeCell="O68" sqref="O68"/>
      <pageMargins left="0.7" right="0.7" top="0.75" bottom="0.75" header="0.3" footer="0.3"/>
      <pageSetup paperSize="9" orientation="portrait" r:id="rId3"/>
    </customSheetView>
  </customSheetViews>
  <mergeCells count="10">
    <mergeCell ref="O2:O4"/>
    <mergeCell ref="C2:H4"/>
    <mergeCell ref="I2:N4"/>
    <mergeCell ref="A2:B3"/>
    <mergeCell ref="A4:A6"/>
    <mergeCell ref="B4:B6"/>
    <mergeCell ref="C5:E5"/>
    <mergeCell ref="F5:H5"/>
    <mergeCell ref="I5:K5"/>
    <mergeCell ref="L5:N5"/>
  </mergeCells>
  <pageMargins left="0.7" right="0.7" top="0.75" bottom="0.75" header="0.3" footer="0.3"/>
  <pageSetup paperSize="9" orientation="portrait" r:id="rId4"/>
  <legacyDrawing r:id="rId5"/>
</worksheet>
</file>

<file path=xl/worksheets/sheet3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200-000000000000}">
  <sheetPr codeName="Sheet48">
    <tabColor rgb="FF00B0F0"/>
  </sheetPr>
  <dimension ref="A1:O28"/>
  <sheetViews>
    <sheetView topLeftCell="A2" workbookViewId="0">
      <selection activeCell="R9" sqref="R9"/>
    </sheetView>
  </sheetViews>
  <sheetFormatPr defaultRowHeight="15" x14ac:dyDescent="0.25"/>
  <cols>
    <col min="1" max="1" width="10.7109375" style="28" bestFit="1" customWidth="1"/>
    <col min="2" max="2" width="12.42578125" style="28" bestFit="1" customWidth="1"/>
    <col min="3" max="11" width="15.7109375" style="28" customWidth="1"/>
    <col min="12" max="12" width="15.7109375" style="16" customWidth="1"/>
    <col min="13" max="14" width="15.7109375" style="28" customWidth="1"/>
    <col min="15" max="15" width="17.42578125" style="28" customWidth="1"/>
    <col min="16" max="16384" width="9.140625" style="28"/>
  </cols>
  <sheetData>
    <row r="1" spans="1:15" s="502" customFormat="1" ht="15.75" hidden="1" thickBot="1" x14ac:dyDescent="0.3">
      <c r="L1" s="16"/>
    </row>
    <row r="2" spans="1:15" ht="15" customHeight="1" x14ac:dyDescent="0.25">
      <c r="A2" s="1164" t="s">
        <v>13</v>
      </c>
      <c r="B2" s="1165"/>
      <c r="C2" s="1164" t="s">
        <v>132</v>
      </c>
      <c r="D2" s="1214"/>
      <c r="E2" s="1214"/>
      <c r="F2" s="1214"/>
      <c r="G2" s="1214"/>
      <c r="H2" s="1165"/>
      <c r="I2" s="1164" t="s">
        <v>133</v>
      </c>
      <c r="J2" s="1214"/>
      <c r="K2" s="1214"/>
      <c r="L2" s="1214"/>
      <c r="M2" s="1214"/>
      <c r="N2" s="1165"/>
      <c r="O2" s="1324" t="s">
        <v>365</v>
      </c>
    </row>
    <row r="3" spans="1:15" x14ac:dyDescent="0.25">
      <c r="A3" s="1215"/>
      <c r="B3" s="1236"/>
      <c r="C3" s="1215"/>
      <c r="D3" s="1216"/>
      <c r="E3" s="1216"/>
      <c r="F3" s="1216"/>
      <c r="G3" s="1216"/>
      <c r="H3" s="1236"/>
      <c r="I3" s="1215"/>
      <c r="J3" s="1216"/>
      <c r="K3" s="1216"/>
      <c r="L3" s="1216"/>
      <c r="M3" s="1216"/>
      <c r="N3" s="1236"/>
      <c r="O3" s="1325"/>
    </row>
    <row r="4" spans="1:15" ht="15.75" thickBot="1" x14ac:dyDescent="0.3">
      <c r="A4" s="1188" t="s">
        <v>16</v>
      </c>
      <c r="B4" s="1176" t="s">
        <v>17</v>
      </c>
      <c r="C4" s="1166"/>
      <c r="D4" s="1217"/>
      <c r="E4" s="1217"/>
      <c r="F4" s="1217"/>
      <c r="G4" s="1217"/>
      <c r="H4" s="1167"/>
      <c r="I4" s="1166"/>
      <c r="J4" s="1217"/>
      <c r="K4" s="1217"/>
      <c r="L4" s="1217"/>
      <c r="M4" s="1217"/>
      <c r="N4" s="1167"/>
      <c r="O4" s="1333"/>
    </row>
    <row r="5" spans="1:15" ht="15.75" thickBot="1" x14ac:dyDescent="0.3">
      <c r="A5" s="1188"/>
      <c r="B5" s="1176"/>
      <c r="C5" s="1248" t="s">
        <v>12</v>
      </c>
      <c r="D5" s="1238"/>
      <c r="E5" s="1239"/>
      <c r="F5" s="1248" t="s">
        <v>21</v>
      </c>
      <c r="G5" s="1238"/>
      <c r="H5" s="1239"/>
      <c r="I5" s="1248" t="s">
        <v>12</v>
      </c>
      <c r="J5" s="1238"/>
      <c r="K5" s="1239"/>
      <c r="L5" s="1248" t="s">
        <v>21</v>
      </c>
      <c r="M5" s="1238"/>
      <c r="N5" s="1239"/>
      <c r="O5" s="754"/>
    </row>
    <row r="6" spans="1:15" ht="15.75" thickBot="1" x14ac:dyDescent="0.3">
      <c r="A6" s="1207"/>
      <c r="B6" s="1177"/>
      <c r="C6" s="88" t="s">
        <v>129</v>
      </c>
      <c r="D6" s="89" t="s">
        <v>130</v>
      </c>
      <c r="E6" s="90" t="s">
        <v>131</v>
      </c>
      <c r="F6" s="88" t="s">
        <v>129</v>
      </c>
      <c r="G6" s="89" t="s">
        <v>130</v>
      </c>
      <c r="H6" s="90" t="s">
        <v>131</v>
      </c>
      <c r="I6" s="88" t="s">
        <v>129</v>
      </c>
      <c r="J6" s="89" t="s">
        <v>130</v>
      </c>
      <c r="K6" s="90" t="s">
        <v>131</v>
      </c>
      <c r="L6" s="88" t="s">
        <v>129</v>
      </c>
      <c r="M6" s="89" t="s">
        <v>130</v>
      </c>
      <c r="N6" s="90" t="s">
        <v>131</v>
      </c>
      <c r="O6" s="755"/>
    </row>
    <row r="7" spans="1:15" ht="18" customHeight="1" thickBot="1" x14ac:dyDescent="0.3">
      <c r="A7" s="713" t="s">
        <v>550</v>
      </c>
      <c r="B7" s="714" t="s">
        <v>551</v>
      </c>
      <c r="C7" s="199" t="s">
        <v>430</v>
      </c>
      <c r="D7" s="200" t="s">
        <v>431</v>
      </c>
      <c r="E7" s="201" t="s">
        <v>432</v>
      </c>
      <c r="F7" s="199" t="s">
        <v>433</v>
      </c>
      <c r="G7" s="200" t="s">
        <v>434</v>
      </c>
      <c r="H7" s="201" t="s">
        <v>435</v>
      </c>
      <c r="I7" s="199" t="s">
        <v>436</v>
      </c>
      <c r="J7" s="200" t="s">
        <v>437</v>
      </c>
      <c r="K7" s="201" t="s">
        <v>438</v>
      </c>
      <c r="L7" s="199" t="s">
        <v>439</v>
      </c>
      <c r="M7" s="200" t="s">
        <v>440</v>
      </c>
      <c r="N7" s="201" t="s">
        <v>441</v>
      </c>
      <c r="O7" s="756" t="s">
        <v>366</v>
      </c>
    </row>
    <row r="8" spans="1:15" x14ac:dyDescent="0.25">
      <c r="A8" s="161">
        <v>36708</v>
      </c>
      <c r="B8" s="162">
        <v>37072</v>
      </c>
      <c r="C8" s="18">
        <f t="shared" ref="C8:O23" si="0">AnnualAverage($A8,C$7,RentAParms,RentADates,RentANames)</f>
        <v>86.507692307692309</v>
      </c>
      <c r="D8" s="20">
        <f t="shared" si="0"/>
        <v>101.11769230769231</v>
      </c>
      <c r="E8" s="60">
        <f t="shared" si="0"/>
        <v>114.28846153846153</v>
      </c>
      <c r="F8" s="18">
        <f t="shared" si="0"/>
        <v>81.307692307692307</v>
      </c>
      <c r="G8" s="20">
        <f t="shared" si="0"/>
        <v>101.11769230769231</v>
      </c>
      <c r="H8" s="60">
        <f t="shared" si="0"/>
        <v>114.28846153846153</v>
      </c>
      <c r="I8" s="18">
        <f t="shared" si="0"/>
        <v>75.530769230769224</v>
      </c>
      <c r="J8" s="20">
        <f t="shared" si="0"/>
        <v>99.367692307692309</v>
      </c>
      <c r="K8" s="60">
        <f t="shared" si="0"/>
        <v>99.367692307692309</v>
      </c>
      <c r="L8" s="18">
        <f t="shared" si="0"/>
        <v>123.03076923076924</v>
      </c>
      <c r="M8" s="20">
        <f t="shared" si="0"/>
        <v>147.05384615384617</v>
      </c>
      <c r="N8" s="60">
        <f t="shared" si="0"/>
        <v>147.05384615384617</v>
      </c>
      <c r="O8" s="11">
        <f t="shared" si="0"/>
        <v>0.75</v>
      </c>
    </row>
    <row r="9" spans="1:15" x14ac:dyDescent="0.25">
      <c r="A9" s="163">
        <v>37073</v>
      </c>
      <c r="B9" s="164">
        <v>37437</v>
      </c>
      <c r="C9" s="17">
        <f t="shared" si="0"/>
        <v>89.5</v>
      </c>
      <c r="D9" s="19">
        <f t="shared" si="0"/>
        <v>104.88692307692308</v>
      </c>
      <c r="E9" s="35">
        <f t="shared" si="0"/>
        <v>118.58</v>
      </c>
      <c r="F9" s="17">
        <f t="shared" si="0"/>
        <v>84.3</v>
      </c>
      <c r="G9" s="19">
        <f t="shared" si="0"/>
        <v>104.88692307692308</v>
      </c>
      <c r="H9" s="35">
        <f t="shared" si="0"/>
        <v>118.58</v>
      </c>
      <c r="I9" s="17">
        <f t="shared" si="0"/>
        <v>79.346153846153854</v>
      </c>
      <c r="J9" s="19">
        <f t="shared" si="0"/>
        <v>104.46692307692308</v>
      </c>
      <c r="K9" s="35">
        <f t="shared" si="0"/>
        <v>104.46692307692308</v>
      </c>
      <c r="L9" s="17">
        <f t="shared" si="0"/>
        <v>129.27692307692308</v>
      </c>
      <c r="M9" s="19">
        <f t="shared" si="0"/>
        <v>154.65153846153845</v>
      </c>
      <c r="N9" s="35">
        <f t="shared" si="0"/>
        <v>154.65153846153845</v>
      </c>
      <c r="O9" s="11">
        <f t="shared" si="0"/>
        <v>0.75</v>
      </c>
    </row>
    <row r="10" spans="1:15" x14ac:dyDescent="0.25">
      <c r="A10" s="163">
        <v>37438</v>
      </c>
      <c r="B10" s="164">
        <v>37802</v>
      </c>
      <c r="C10" s="17">
        <f t="shared" si="0"/>
        <v>92</v>
      </c>
      <c r="D10" s="19">
        <f t="shared" si="0"/>
        <v>107.96692307692308</v>
      </c>
      <c r="E10" s="35">
        <f t="shared" si="0"/>
        <v>122.08</v>
      </c>
      <c r="F10" s="17">
        <f t="shared" si="0"/>
        <v>86.8</v>
      </c>
      <c r="G10" s="19">
        <f t="shared" si="0"/>
        <v>107.96692307692308</v>
      </c>
      <c r="H10" s="35">
        <f t="shared" si="0"/>
        <v>122.08</v>
      </c>
      <c r="I10" s="17">
        <f t="shared" si="0"/>
        <v>81.646153846153851</v>
      </c>
      <c r="J10" s="19">
        <f t="shared" si="0"/>
        <v>107.54692307692308</v>
      </c>
      <c r="K10" s="35">
        <f t="shared" si="0"/>
        <v>107.54692307692308</v>
      </c>
      <c r="L10" s="17">
        <f t="shared" si="0"/>
        <v>133.02307692307693</v>
      </c>
      <c r="M10" s="19">
        <f t="shared" si="0"/>
        <v>159.20153846153846</v>
      </c>
      <c r="N10" s="35">
        <f t="shared" si="0"/>
        <v>159.20153846153846</v>
      </c>
      <c r="O10" s="11">
        <f t="shared" si="0"/>
        <v>0.75</v>
      </c>
    </row>
    <row r="11" spans="1:15" x14ac:dyDescent="0.25">
      <c r="A11" s="163">
        <v>37803</v>
      </c>
      <c r="B11" s="164">
        <v>38168</v>
      </c>
      <c r="C11" s="17">
        <f t="shared" si="0"/>
        <v>94.392307692307696</v>
      </c>
      <c r="D11" s="19">
        <f t="shared" si="0"/>
        <v>110.89615384615385</v>
      </c>
      <c r="E11" s="35">
        <f t="shared" si="0"/>
        <v>125.32153846153847</v>
      </c>
      <c r="F11" s="17">
        <f t="shared" si="0"/>
        <v>89.192307692307693</v>
      </c>
      <c r="G11" s="19">
        <f t="shared" si="0"/>
        <v>110.89615384615385</v>
      </c>
      <c r="H11" s="35">
        <f t="shared" si="0"/>
        <v>125.32153846153847</v>
      </c>
      <c r="I11" s="17">
        <f t="shared" si="0"/>
        <v>83.83846153846153</v>
      </c>
      <c r="J11" s="19">
        <f t="shared" si="0"/>
        <v>110.47615384615385</v>
      </c>
      <c r="K11" s="35">
        <f t="shared" si="0"/>
        <v>110.47615384615385</v>
      </c>
      <c r="L11" s="17">
        <f t="shared" si="0"/>
        <v>136.61538461538461</v>
      </c>
      <c r="M11" s="19">
        <f t="shared" si="0"/>
        <v>163.52538461538461</v>
      </c>
      <c r="N11" s="35">
        <f t="shared" si="0"/>
        <v>163.52538461538461</v>
      </c>
      <c r="O11" s="11">
        <f t="shared" si="0"/>
        <v>0.75</v>
      </c>
    </row>
    <row r="12" spans="1:15" x14ac:dyDescent="0.25">
      <c r="A12" s="163">
        <v>38169</v>
      </c>
      <c r="B12" s="164">
        <v>38533</v>
      </c>
      <c r="C12" s="17">
        <f t="shared" si="0"/>
        <v>96.844444444444449</v>
      </c>
      <c r="D12" s="19">
        <f t="shared" si="0"/>
        <v>113.75259259259259</v>
      </c>
      <c r="E12" s="35">
        <f t="shared" si="0"/>
        <v>128.57185185185185</v>
      </c>
      <c r="F12" s="17">
        <f t="shared" si="0"/>
        <v>91.42962962962963</v>
      </c>
      <c r="G12" s="19">
        <f t="shared" si="0"/>
        <v>113.75259259259259</v>
      </c>
      <c r="H12" s="35">
        <f t="shared" si="0"/>
        <v>128.57185185185185</v>
      </c>
      <c r="I12" s="17">
        <f t="shared" si="0"/>
        <v>86.029629629629625</v>
      </c>
      <c r="J12" s="19">
        <f t="shared" si="0"/>
        <v>113.33259259259259</v>
      </c>
      <c r="K12" s="35">
        <f t="shared" si="0"/>
        <v>113.33259259259259</v>
      </c>
      <c r="L12" s="17">
        <f t="shared" si="0"/>
        <v>140.22962962962961</v>
      </c>
      <c r="M12" s="19">
        <f t="shared" si="0"/>
        <v>167.77185185185186</v>
      </c>
      <c r="N12" s="35">
        <f t="shared" si="0"/>
        <v>167.77185185185186</v>
      </c>
      <c r="O12" s="11">
        <f t="shared" si="0"/>
        <v>0.75</v>
      </c>
    </row>
    <row r="13" spans="1:15" x14ac:dyDescent="0.25">
      <c r="A13" s="163">
        <v>38534</v>
      </c>
      <c r="B13" s="164">
        <v>38898</v>
      </c>
      <c r="C13" s="17">
        <f t="shared" si="0"/>
        <v>99.4</v>
      </c>
      <c r="D13" s="19">
        <f t="shared" si="0"/>
        <v>116.84076923076923</v>
      </c>
      <c r="E13" s="35">
        <f t="shared" si="0"/>
        <v>132.02000000000001</v>
      </c>
      <c r="F13" s="17">
        <f t="shared" si="0"/>
        <v>93.8</v>
      </c>
      <c r="G13" s="19">
        <f t="shared" si="0"/>
        <v>116.84076923076923</v>
      </c>
      <c r="H13" s="35">
        <f t="shared" si="0"/>
        <v>132.02000000000001</v>
      </c>
      <c r="I13" s="17">
        <f t="shared" si="0"/>
        <v>88.4</v>
      </c>
      <c r="J13" s="19">
        <f t="shared" si="0"/>
        <v>116.42076923076922</v>
      </c>
      <c r="K13" s="35">
        <f t="shared" si="0"/>
        <v>116.42076923076922</v>
      </c>
      <c r="L13" s="17">
        <f t="shared" si="0"/>
        <v>143.93076923076924</v>
      </c>
      <c r="M13" s="19">
        <f t="shared" si="0"/>
        <v>172.26461538461538</v>
      </c>
      <c r="N13" s="35">
        <f t="shared" si="0"/>
        <v>172.26461538461538</v>
      </c>
      <c r="O13" s="11">
        <f t="shared" si="0"/>
        <v>0.75</v>
      </c>
    </row>
    <row r="14" spans="1:15" x14ac:dyDescent="0.25">
      <c r="A14" s="163">
        <v>38899</v>
      </c>
      <c r="B14" s="164">
        <v>39263</v>
      </c>
      <c r="C14" s="17">
        <f t="shared" si="0"/>
        <v>102.94615384615385</v>
      </c>
      <c r="D14" s="19">
        <f t="shared" si="0"/>
        <v>120.97615384615385</v>
      </c>
      <c r="E14" s="35">
        <f t="shared" si="0"/>
        <v>136.75846153846155</v>
      </c>
      <c r="F14" s="17">
        <f t="shared" si="0"/>
        <v>97.184615384615384</v>
      </c>
      <c r="G14" s="19">
        <f t="shared" si="0"/>
        <v>120.97615384615385</v>
      </c>
      <c r="H14" s="35">
        <f t="shared" si="0"/>
        <v>136.75846153846155</v>
      </c>
      <c r="I14" s="17">
        <f t="shared" si="0"/>
        <v>91.623076923076923</v>
      </c>
      <c r="J14" s="19">
        <f t="shared" si="0"/>
        <v>120.55615384615385</v>
      </c>
      <c r="K14" s="35">
        <f t="shared" si="0"/>
        <v>120.55615384615385</v>
      </c>
      <c r="L14" s="17">
        <f t="shared" si="0"/>
        <v>149.07692307692309</v>
      </c>
      <c r="M14" s="19">
        <f t="shared" si="0"/>
        <v>178.37615384615384</v>
      </c>
      <c r="N14" s="35">
        <f t="shared" si="0"/>
        <v>178.37615384615384</v>
      </c>
      <c r="O14" s="11">
        <f t="shared" si="0"/>
        <v>0.75</v>
      </c>
    </row>
    <row r="15" spans="1:15" x14ac:dyDescent="0.25">
      <c r="A15" s="163">
        <v>39264</v>
      </c>
      <c r="B15" s="164">
        <v>39629</v>
      </c>
      <c r="C15" s="17">
        <f t="shared" si="0"/>
        <v>105.68461538461538</v>
      </c>
      <c r="D15" s="19">
        <f t="shared" si="0"/>
        <v>124.11</v>
      </c>
      <c r="E15" s="35">
        <f t="shared" si="0"/>
        <v>140.38230769230771</v>
      </c>
      <c r="F15" s="17">
        <f t="shared" si="0"/>
        <v>99.66153846153847</v>
      </c>
      <c r="G15" s="19">
        <f t="shared" si="0"/>
        <v>124.11</v>
      </c>
      <c r="H15" s="35">
        <f t="shared" si="0"/>
        <v>140.38230769230771</v>
      </c>
      <c r="I15" s="17">
        <f t="shared" si="0"/>
        <v>94.061538461538461</v>
      </c>
      <c r="J15" s="19">
        <f t="shared" si="0"/>
        <v>123.69</v>
      </c>
      <c r="K15" s="35">
        <f t="shared" si="0"/>
        <v>123.69</v>
      </c>
      <c r="L15" s="17">
        <f t="shared" si="0"/>
        <v>153.01538461538462</v>
      </c>
      <c r="M15" s="19">
        <f t="shared" si="0"/>
        <v>183.05</v>
      </c>
      <c r="N15" s="35">
        <f t="shared" si="0"/>
        <v>183.05</v>
      </c>
      <c r="O15" s="11">
        <f t="shared" si="0"/>
        <v>0.75</v>
      </c>
    </row>
    <row r="16" spans="1:15" x14ac:dyDescent="0.25">
      <c r="A16" s="163">
        <v>39630</v>
      </c>
      <c r="B16" s="164">
        <v>39994</v>
      </c>
      <c r="C16" s="17">
        <f t="shared" si="0"/>
        <v>109.77692307692308</v>
      </c>
      <c r="D16" s="19">
        <f t="shared" si="0"/>
        <v>128.85384615384615</v>
      </c>
      <c r="E16" s="35">
        <f t="shared" si="0"/>
        <v>145.73461538461538</v>
      </c>
      <c r="F16" s="17">
        <f t="shared" si="0"/>
        <v>103.42307692307692</v>
      </c>
      <c r="G16" s="19">
        <f t="shared" si="0"/>
        <v>128.85384615384615</v>
      </c>
      <c r="H16" s="35">
        <f t="shared" si="0"/>
        <v>145.73461538461538</v>
      </c>
      <c r="I16" s="17">
        <f t="shared" si="0"/>
        <v>97.615384615384613</v>
      </c>
      <c r="J16" s="19">
        <f t="shared" si="0"/>
        <v>128.43384615384616</v>
      </c>
      <c r="K16" s="35">
        <f t="shared" si="0"/>
        <v>128.43384615384616</v>
      </c>
      <c r="L16" s="17">
        <f t="shared" si="0"/>
        <v>158.96153846153845</v>
      </c>
      <c r="M16" s="19">
        <f t="shared" si="0"/>
        <v>190.07692307692307</v>
      </c>
      <c r="N16" s="35">
        <f t="shared" si="0"/>
        <v>190.07692307692307</v>
      </c>
      <c r="O16" s="11">
        <f t="shared" si="0"/>
        <v>0.75</v>
      </c>
    </row>
    <row r="17" spans="1:15" x14ac:dyDescent="0.25">
      <c r="A17" s="163">
        <v>39995</v>
      </c>
      <c r="B17" s="164">
        <v>40359</v>
      </c>
      <c r="C17" s="17">
        <f t="shared" si="0"/>
        <v>112.0923076923077</v>
      </c>
      <c r="D17" s="19">
        <f t="shared" si="0"/>
        <v>131.65384615384616</v>
      </c>
      <c r="E17" s="35">
        <f t="shared" si="0"/>
        <v>148.80923076923077</v>
      </c>
      <c r="F17" s="17">
        <f t="shared" si="0"/>
        <v>105.69230769230769</v>
      </c>
      <c r="G17" s="19">
        <f t="shared" si="0"/>
        <v>131.65384615384616</v>
      </c>
      <c r="H17" s="35">
        <f t="shared" si="0"/>
        <v>148.80923076923077</v>
      </c>
      <c r="I17" s="17">
        <f t="shared" si="0"/>
        <v>99.638461538461542</v>
      </c>
      <c r="J17" s="19">
        <f t="shared" si="0"/>
        <v>131.23384615384617</v>
      </c>
      <c r="K17" s="35">
        <f t="shared" si="0"/>
        <v>131.23384615384617</v>
      </c>
      <c r="L17" s="17">
        <f t="shared" si="0"/>
        <v>162.41538461538462</v>
      </c>
      <c r="M17" s="19">
        <f t="shared" si="0"/>
        <v>194.15307692307692</v>
      </c>
      <c r="N17" s="35">
        <f t="shared" si="0"/>
        <v>194.15307692307692</v>
      </c>
      <c r="O17" s="11">
        <f t="shared" si="0"/>
        <v>0.75</v>
      </c>
    </row>
    <row r="18" spans="1:15" x14ac:dyDescent="0.25">
      <c r="A18" s="163">
        <v>40360</v>
      </c>
      <c r="B18" s="164">
        <v>40724</v>
      </c>
      <c r="C18" s="17">
        <f t="shared" ref="C18:O28" si="1">AnnualAverage($A18,C$7,RentAParms,RentADates,RentANames)</f>
        <v>115.10769230769232</v>
      </c>
      <c r="D18" s="19">
        <f t="shared" si="1"/>
        <v>135.2023076923077</v>
      </c>
      <c r="E18" s="35">
        <f t="shared" si="1"/>
        <v>152.8153846153846</v>
      </c>
      <c r="F18" s="17">
        <f t="shared" si="1"/>
        <v>108.55384615384615</v>
      </c>
      <c r="G18" s="19">
        <f t="shared" si="1"/>
        <v>135.2023076923077</v>
      </c>
      <c r="H18" s="35">
        <f t="shared" si="1"/>
        <v>152.8153846153846</v>
      </c>
      <c r="I18" s="17">
        <f t="shared" si="1"/>
        <v>102.35384615384615</v>
      </c>
      <c r="J18" s="19">
        <f t="shared" si="1"/>
        <v>134.78230769230768</v>
      </c>
      <c r="K18" s="35">
        <f t="shared" si="1"/>
        <v>134.78230769230768</v>
      </c>
      <c r="L18" s="17">
        <f t="shared" si="1"/>
        <v>166.73076923076923</v>
      </c>
      <c r="M18" s="19">
        <f t="shared" si="1"/>
        <v>199.42461538461538</v>
      </c>
      <c r="N18" s="35">
        <f t="shared" si="1"/>
        <v>199.42461538461538</v>
      </c>
      <c r="O18" s="11">
        <f t="shared" si="0"/>
        <v>0.75</v>
      </c>
    </row>
    <row r="19" spans="1:15" x14ac:dyDescent="0.25">
      <c r="A19" s="163">
        <v>40725</v>
      </c>
      <c r="B19" s="164">
        <v>41090</v>
      </c>
      <c r="C19" s="17">
        <f t="shared" si="1"/>
        <v>118.92307692307693</v>
      </c>
      <c r="D19" s="19">
        <f t="shared" si="1"/>
        <v>139.59076923076921</v>
      </c>
      <c r="E19" s="35">
        <f t="shared" si="1"/>
        <v>157.83923076923077</v>
      </c>
      <c r="F19" s="17">
        <f t="shared" si="1"/>
        <v>112.11538461538461</v>
      </c>
      <c r="G19" s="19">
        <f t="shared" si="1"/>
        <v>139.59076923076921</v>
      </c>
      <c r="H19" s="35">
        <f t="shared" si="1"/>
        <v>157.83923076923077</v>
      </c>
      <c r="I19" s="17">
        <f t="shared" si="1"/>
        <v>105.76153846153846</v>
      </c>
      <c r="J19" s="19">
        <f t="shared" si="1"/>
        <v>139.17076923076922</v>
      </c>
      <c r="K19" s="35">
        <f t="shared" si="1"/>
        <v>139.17076923076922</v>
      </c>
      <c r="L19" s="17">
        <f t="shared" si="1"/>
        <v>172.1</v>
      </c>
      <c r="M19" s="19">
        <f t="shared" si="1"/>
        <v>205.95615384615385</v>
      </c>
      <c r="N19" s="35">
        <f t="shared" si="1"/>
        <v>205.95615384615385</v>
      </c>
      <c r="O19" s="11">
        <f t="shared" si="0"/>
        <v>0.75</v>
      </c>
    </row>
    <row r="20" spans="1:15" s="5" customFormat="1" x14ac:dyDescent="0.25">
      <c r="A20" s="496">
        <v>41091</v>
      </c>
      <c r="B20" s="497">
        <v>41455</v>
      </c>
      <c r="C20" s="375">
        <f t="shared" si="1"/>
        <v>121.35384615384615</v>
      </c>
      <c r="D20" s="242">
        <f t="shared" si="1"/>
        <v>142.22923076923075</v>
      </c>
      <c r="E20" s="374">
        <f t="shared" si="1"/>
        <v>160.8923076923077</v>
      </c>
      <c r="F20" s="375">
        <f t="shared" si="1"/>
        <v>114.14615384615385</v>
      </c>
      <c r="G20" s="242">
        <f t="shared" si="1"/>
        <v>142.22923076923075</v>
      </c>
      <c r="H20" s="374">
        <f t="shared" si="1"/>
        <v>160.8923076923077</v>
      </c>
      <c r="I20" s="375">
        <f t="shared" si="1"/>
        <v>107.74615384615385</v>
      </c>
      <c r="J20" s="242">
        <f t="shared" si="1"/>
        <v>141.80923076923077</v>
      </c>
      <c r="K20" s="374">
        <f t="shared" si="1"/>
        <v>141.80923076923077</v>
      </c>
      <c r="L20" s="375">
        <f t="shared" si="1"/>
        <v>175.32307692307694</v>
      </c>
      <c r="M20" s="242">
        <f t="shared" si="1"/>
        <v>209.91384615384615</v>
      </c>
      <c r="N20" s="374">
        <f t="shared" si="1"/>
        <v>209.91384615384615</v>
      </c>
      <c r="O20" s="11">
        <f t="shared" si="0"/>
        <v>0.75</v>
      </c>
    </row>
    <row r="21" spans="1:15" x14ac:dyDescent="0.25">
      <c r="A21" s="496">
        <v>41456</v>
      </c>
      <c r="B21" s="497">
        <v>41820</v>
      </c>
      <c r="C21" s="375">
        <f t="shared" si="1"/>
        <v>124.41538461538461</v>
      </c>
      <c r="D21" s="242">
        <f t="shared" si="1"/>
        <v>145.67538461538462</v>
      </c>
      <c r="E21" s="374">
        <f t="shared" si="1"/>
        <v>164.75846153846155</v>
      </c>
      <c r="F21" s="375">
        <f t="shared" si="1"/>
        <v>116.96153846153845</v>
      </c>
      <c r="G21" s="242">
        <f t="shared" si="1"/>
        <v>145.67538461538462</v>
      </c>
      <c r="H21" s="374">
        <f t="shared" si="1"/>
        <v>164.75846153846155</v>
      </c>
      <c r="I21" s="375">
        <f t="shared" si="1"/>
        <v>110.35384615384615</v>
      </c>
      <c r="J21" s="242">
        <f t="shared" si="1"/>
        <v>145.2553846153846</v>
      </c>
      <c r="K21" s="374">
        <f t="shared" si="1"/>
        <v>145.2553846153846</v>
      </c>
      <c r="L21" s="375">
        <f t="shared" si="1"/>
        <v>179.59230769230768</v>
      </c>
      <c r="M21" s="242">
        <f t="shared" si="1"/>
        <v>215.04538461538462</v>
      </c>
      <c r="N21" s="374">
        <f t="shared" si="1"/>
        <v>215.04538461538462</v>
      </c>
      <c r="O21" s="406">
        <f t="shared" si="0"/>
        <v>0.75</v>
      </c>
    </row>
    <row r="22" spans="1:15" x14ac:dyDescent="0.25">
      <c r="A22" s="496">
        <v>41821</v>
      </c>
      <c r="B22" s="497">
        <v>42185</v>
      </c>
      <c r="C22" s="375">
        <f t="shared" si="1"/>
        <v>127.53846153846153</v>
      </c>
      <c r="D22" s="242">
        <f t="shared" si="1"/>
        <v>149.42846153846153</v>
      </c>
      <c r="E22" s="374">
        <f t="shared" si="1"/>
        <v>168.89384615384614</v>
      </c>
      <c r="F22" s="375">
        <f t="shared" si="1"/>
        <v>119.93846153846154</v>
      </c>
      <c r="G22" s="242">
        <f t="shared" si="1"/>
        <v>149.42846153846153</v>
      </c>
      <c r="H22" s="374">
        <f t="shared" si="1"/>
        <v>168.89384615384614</v>
      </c>
      <c r="I22" s="375">
        <f t="shared" si="1"/>
        <v>113.13846153846154</v>
      </c>
      <c r="J22" s="242">
        <f t="shared" si="1"/>
        <v>149.00846153846155</v>
      </c>
      <c r="K22" s="374">
        <f t="shared" si="1"/>
        <v>149.00846153846155</v>
      </c>
      <c r="L22" s="375">
        <f t="shared" si="1"/>
        <v>184.1076923076923</v>
      </c>
      <c r="M22" s="242">
        <f t="shared" si="1"/>
        <v>220.53769230769231</v>
      </c>
      <c r="N22" s="374">
        <f t="shared" si="1"/>
        <v>220.53769230769231</v>
      </c>
      <c r="O22" s="406">
        <f t="shared" si="0"/>
        <v>0.75</v>
      </c>
    </row>
    <row r="23" spans="1:15" x14ac:dyDescent="0.25">
      <c r="A23" s="496">
        <v>42186</v>
      </c>
      <c r="B23" s="497">
        <v>42551</v>
      </c>
      <c r="C23" s="375">
        <f t="shared" si="1"/>
        <v>129.47407407407408</v>
      </c>
      <c r="D23" s="242">
        <f t="shared" si="1"/>
        <v>151.85333333333332</v>
      </c>
      <c r="E23" s="374">
        <f t="shared" si="1"/>
        <v>171.6037037037037</v>
      </c>
      <c r="F23" s="375">
        <f t="shared" si="1"/>
        <v>121.87407407407407</v>
      </c>
      <c r="G23" s="242">
        <f t="shared" si="1"/>
        <v>151.85333333333332</v>
      </c>
      <c r="H23" s="374">
        <f t="shared" si="1"/>
        <v>171.6037037037037</v>
      </c>
      <c r="I23" s="375">
        <f t="shared" si="1"/>
        <v>115.07407407407408</v>
      </c>
      <c r="J23" s="242">
        <f t="shared" si="1"/>
        <v>151.43333333333334</v>
      </c>
      <c r="K23" s="374">
        <f t="shared" si="1"/>
        <v>151.43333333333334</v>
      </c>
      <c r="L23" s="375">
        <f t="shared" si="1"/>
        <v>186.90370370370371</v>
      </c>
      <c r="M23" s="242">
        <f t="shared" si="1"/>
        <v>224.1348148148148</v>
      </c>
      <c r="N23" s="374">
        <f t="shared" si="1"/>
        <v>224.1348148148148</v>
      </c>
      <c r="O23" s="406">
        <f t="shared" si="0"/>
        <v>0.75</v>
      </c>
    </row>
    <row r="24" spans="1:15" s="5" customFormat="1" x14ac:dyDescent="0.25">
      <c r="A24" s="496">
        <v>42552</v>
      </c>
      <c r="B24" s="497">
        <v>42916</v>
      </c>
      <c r="C24" s="375">
        <f t="shared" si="1"/>
        <v>131.05384615384614</v>
      </c>
      <c r="D24" s="242">
        <f t="shared" si="1"/>
        <v>153.84923076923079</v>
      </c>
      <c r="E24" s="374">
        <f t="shared" si="1"/>
        <v>173.81538461538463</v>
      </c>
      <c r="F24" s="375">
        <f t="shared" si="1"/>
        <v>123.45384615384616</v>
      </c>
      <c r="G24" s="242">
        <f t="shared" si="1"/>
        <v>153.84923076923079</v>
      </c>
      <c r="H24" s="374">
        <f t="shared" si="1"/>
        <v>173.81538461538463</v>
      </c>
      <c r="I24" s="375">
        <f t="shared" si="1"/>
        <v>116.65384615384616</v>
      </c>
      <c r="J24" s="242">
        <f t="shared" si="1"/>
        <v>153.42923076923077</v>
      </c>
      <c r="K24" s="374">
        <f t="shared" si="1"/>
        <v>153.42923076923077</v>
      </c>
      <c r="L24" s="375">
        <f t="shared" si="1"/>
        <v>189.26153846153846</v>
      </c>
      <c r="M24" s="242">
        <f t="shared" si="1"/>
        <v>227.06384615384616</v>
      </c>
      <c r="N24" s="374">
        <f t="shared" si="1"/>
        <v>227.06384615384616</v>
      </c>
      <c r="O24" s="406">
        <f t="shared" si="1"/>
        <v>0.75</v>
      </c>
    </row>
    <row r="25" spans="1:15" x14ac:dyDescent="0.25">
      <c r="A25" s="165">
        <v>42917</v>
      </c>
      <c r="B25" s="166">
        <v>43281</v>
      </c>
      <c r="C25" s="33">
        <f t="shared" si="1"/>
        <v>133.27692307692308</v>
      </c>
      <c r="D25" s="34">
        <f t="shared" si="1"/>
        <v>156.52538461538461</v>
      </c>
      <c r="E25" s="75">
        <f t="shared" si="1"/>
        <v>176.88461538461539</v>
      </c>
      <c r="F25" s="33">
        <f t="shared" si="1"/>
        <v>125.61538461538461</v>
      </c>
      <c r="G25" s="34">
        <f t="shared" si="1"/>
        <v>156.52538461538461</v>
      </c>
      <c r="H25" s="75">
        <f t="shared" si="1"/>
        <v>176.88461538461539</v>
      </c>
      <c r="I25" s="33">
        <f t="shared" si="1"/>
        <v>118.81538461538462</v>
      </c>
      <c r="J25" s="34">
        <f t="shared" si="1"/>
        <v>156.10538461538462</v>
      </c>
      <c r="K25" s="75">
        <f t="shared" si="1"/>
        <v>156.10538461538462</v>
      </c>
      <c r="L25" s="33">
        <f t="shared" si="1"/>
        <v>192.58461538461538</v>
      </c>
      <c r="M25" s="34">
        <f t="shared" si="1"/>
        <v>231</v>
      </c>
      <c r="N25" s="75">
        <f t="shared" si="1"/>
        <v>231</v>
      </c>
      <c r="O25" s="31">
        <f t="shared" si="1"/>
        <v>0.75</v>
      </c>
    </row>
    <row r="26" spans="1:15" x14ac:dyDescent="0.25">
      <c r="A26" s="165">
        <v>43282</v>
      </c>
      <c r="B26" s="166">
        <v>43646</v>
      </c>
      <c r="C26" s="33">
        <f t="shared" si="1"/>
        <v>135.96153846153845</v>
      </c>
      <c r="D26" s="34">
        <f t="shared" si="1"/>
        <v>159.58384615384614</v>
      </c>
      <c r="E26" s="75">
        <f t="shared" si="1"/>
        <v>180.43307692307692</v>
      </c>
      <c r="F26" s="33">
        <f t="shared" si="1"/>
        <v>128</v>
      </c>
      <c r="G26" s="34">
        <f t="shared" si="1"/>
        <v>159.58384615384614</v>
      </c>
      <c r="H26" s="75">
        <f t="shared" si="1"/>
        <v>180.43307692307692</v>
      </c>
      <c r="I26" s="33">
        <f t="shared" si="1"/>
        <v>121.2</v>
      </c>
      <c r="J26" s="34">
        <f t="shared" si="1"/>
        <v>159.12076923076924</v>
      </c>
      <c r="K26" s="75">
        <f t="shared" si="1"/>
        <v>159.12076923076924</v>
      </c>
      <c r="L26" s="33">
        <f t="shared" si="1"/>
        <v>196.49230769230769</v>
      </c>
      <c r="M26" s="34">
        <f t="shared" si="1"/>
        <v>235.5176923076923</v>
      </c>
      <c r="N26" s="75">
        <f t="shared" si="1"/>
        <v>235.5176923076923</v>
      </c>
      <c r="O26" s="31">
        <f t="shared" si="1"/>
        <v>0.75</v>
      </c>
    </row>
    <row r="27" spans="1:15" x14ac:dyDescent="0.25">
      <c r="A27" s="165">
        <v>43647</v>
      </c>
      <c r="B27" s="166">
        <v>44012</v>
      </c>
      <c r="C27" s="33">
        <f t="shared" si="1"/>
        <v>138.86153846153846</v>
      </c>
      <c r="D27" s="34">
        <f t="shared" si="1"/>
        <v>163.06769230769231</v>
      </c>
      <c r="E27" s="75">
        <f t="shared" si="1"/>
        <v>184.25076923076924</v>
      </c>
      <c r="F27" s="33">
        <f t="shared" si="1"/>
        <v>130.7076923076923</v>
      </c>
      <c r="G27" s="34">
        <f t="shared" si="1"/>
        <v>163.06769230769231</v>
      </c>
      <c r="H27" s="75">
        <f t="shared" si="1"/>
        <v>184.25076923076924</v>
      </c>
      <c r="I27" s="33">
        <f t="shared" si="1"/>
        <v>123.85384615384615</v>
      </c>
      <c r="J27" s="34">
        <f t="shared" si="1"/>
        <v>162.50769230769231</v>
      </c>
      <c r="K27" s="75">
        <f t="shared" si="1"/>
        <v>162.50769230769231</v>
      </c>
      <c r="L27" s="33">
        <f t="shared" si="1"/>
        <v>200.73846153846154</v>
      </c>
      <c r="M27" s="34">
        <f t="shared" si="1"/>
        <v>240.55769230769229</v>
      </c>
      <c r="N27" s="75">
        <f t="shared" si="1"/>
        <v>240.55769230769229</v>
      </c>
      <c r="O27" s="31">
        <f t="shared" si="1"/>
        <v>0.75</v>
      </c>
    </row>
    <row r="28" spans="1:15" x14ac:dyDescent="0.25">
      <c r="A28" s="165">
        <v>44013</v>
      </c>
      <c r="B28" s="166">
        <v>44377</v>
      </c>
      <c r="C28" s="33">
        <f t="shared" ref="C28:N28" si="2">AnnualAverage($A28,C$7,RentAParms,RentADates,RentANames)</f>
        <v>142.26923076923077</v>
      </c>
      <c r="D28" s="34">
        <f t="shared" si="2"/>
        <v>167.13846153846154</v>
      </c>
      <c r="E28" s="75">
        <f t="shared" si="2"/>
        <v>188.84923076923076</v>
      </c>
      <c r="F28" s="33">
        <f t="shared" si="2"/>
        <v>134.06923076923076</v>
      </c>
      <c r="G28" s="34">
        <f t="shared" si="2"/>
        <v>167.13846153846154</v>
      </c>
      <c r="H28" s="75">
        <f t="shared" si="2"/>
        <v>188.84923076923076</v>
      </c>
      <c r="I28" s="33">
        <f t="shared" si="2"/>
        <v>126.86153846153846</v>
      </c>
      <c r="J28" s="34">
        <f t="shared" si="2"/>
        <v>166.54076923076923</v>
      </c>
      <c r="K28" s="75">
        <f t="shared" si="2"/>
        <v>166.54076923076923</v>
      </c>
      <c r="L28" s="33">
        <f t="shared" si="2"/>
        <v>205.7</v>
      </c>
      <c r="M28" s="34">
        <f t="shared" si="2"/>
        <v>246.66384615384615</v>
      </c>
      <c r="N28" s="75">
        <f t="shared" si="2"/>
        <v>246.66384615384615</v>
      </c>
      <c r="O28" s="31">
        <f t="shared" si="1"/>
        <v>0.75</v>
      </c>
    </row>
  </sheetData>
  <customSheetViews>
    <customSheetView guid="{E49C2F27-B0B9-497E-BEC0-5B59561292FE}" hiddenRows="1" topLeftCell="A8">
      <selection activeCell="O23" sqref="O23"/>
      <pageMargins left="0.7" right="0.7" top="0.75" bottom="0.75" header="0.3" footer="0.3"/>
      <pageSetup paperSize="9" orientation="portrait" r:id="rId1"/>
    </customSheetView>
    <customSheetView guid="{A5953138-1481-4137-BEAD-32FA4FDF03E6}" topLeftCell="A8">
      <selection activeCell="O23" sqref="O23"/>
      <pageMargins left="0.7" right="0.7" top="0.75" bottom="0.75" header="0.3" footer="0.3"/>
      <pageSetup paperSize="9" orientation="portrait" r:id="rId2"/>
    </customSheetView>
    <customSheetView guid="{2A1F94CA-1A34-4418-88FD-EABF7586C2B2}" hiddenRows="1" topLeftCell="A8">
      <selection activeCell="O23" sqref="O23"/>
      <pageMargins left="0.7" right="0.7" top="0.75" bottom="0.75" header="0.3" footer="0.3"/>
      <pageSetup paperSize="9" orientation="portrait" r:id="rId3"/>
    </customSheetView>
  </customSheetViews>
  <mergeCells count="10">
    <mergeCell ref="O2:O4"/>
    <mergeCell ref="A2:B3"/>
    <mergeCell ref="C2:H4"/>
    <mergeCell ref="I2:N4"/>
    <mergeCell ref="A4:A6"/>
    <mergeCell ref="B4:B6"/>
    <mergeCell ref="C5:E5"/>
    <mergeCell ref="F5:H5"/>
    <mergeCell ref="I5:K5"/>
    <mergeCell ref="L5:N5"/>
  </mergeCells>
  <pageMargins left="0.7" right="0.7" top="0.75" bottom="0.75" header="0.3" footer="0.3"/>
  <pageSetup paperSize="9" orientation="portrait" r:id="rId4"/>
  <legacyDrawing r:id="rId5"/>
</worksheet>
</file>

<file path=xl/worksheets/sheet3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300-000000000000}">
  <sheetPr codeName="Sheet41">
    <tabColor rgb="FF00B0F0"/>
  </sheetPr>
  <dimension ref="A1:G91"/>
  <sheetViews>
    <sheetView topLeftCell="A2" workbookViewId="0">
      <pane xSplit="2" ySplit="6" topLeftCell="C73" activePane="bottomRight" state="frozen"/>
      <selection activeCell="A2" sqref="A2"/>
      <selection pane="topRight" activeCell="C2" sqref="C2"/>
      <selection pane="bottomLeft" activeCell="A8" sqref="A8"/>
      <selection pane="bottomRight" activeCell="M39" sqref="M39"/>
    </sheetView>
  </sheetViews>
  <sheetFormatPr defaultRowHeight="15" x14ac:dyDescent="0.25"/>
  <cols>
    <col min="1" max="2" width="14.5703125" style="28" customWidth="1"/>
    <col min="3" max="3" width="18.140625" style="28" customWidth="1"/>
    <col min="4" max="4" width="25.7109375" style="28" bestFit="1" customWidth="1"/>
    <col min="5" max="5" width="22.85546875" style="28" bestFit="1" customWidth="1"/>
    <col min="6" max="6" width="24.42578125" style="28" bestFit="1" customWidth="1"/>
    <col min="7" max="7" width="32" style="28" bestFit="1" customWidth="1"/>
    <col min="8" max="16384" width="9.140625" style="28"/>
  </cols>
  <sheetData>
    <row r="1" spans="1:7" s="502" customFormat="1" ht="15.75" hidden="1" thickBot="1" x14ac:dyDescent="0.3"/>
    <row r="2" spans="1:7" x14ac:dyDescent="0.25">
      <c r="A2" s="1164" t="s">
        <v>13</v>
      </c>
      <c r="B2" s="1165"/>
      <c r="C2" s="1334" t="s">
        <v>67</v>
      </c>
      <c r="D2" s="1268" t="s">
        <v>24</v>
      </c>
      <c r="E2" s="1269"/>
      <c r="F2" s="1269"/>
      <c r="G2" s="1270"/>
    </row>
    <row r="3" spans="1:7" ht="15.75" thickBot="1" x14ac:dyDescent="0.3">
      <c r="A3" s="1215"/>
      <c r="B3" s="1236"/>
      <c r="C3" s="1335"/>
      <c r="D3" s="1271"/>
      <c r="E3" s="1272"/>
      <c r="F3" s="1272"/>
      <c r="G3" s="1273"/>
    </row>
    <row r="4" spans="1:7" ht="15.75" customHeight="1" thickBot="1" x14ac:dyDescent="0.3">
      <c r="A4" s="1215"/>
      <c r="B4" s="1236"/>
      <c r="C4" s="1157" t="s">
        <v>261</v>
      </c>
      <c r="D4" s="1248" t="s">
        <v>68</v>
      </c>
      <c r="E4" s="1238"/>
      <c r="F4" s="1238"/>
      <c r="G4" s="1157" t="s">
        <v>260</v>
      </c>
    </row>
    <row r="5" spans="1:7" ht="15" customHeight="1" x14ac:dyDescent="0.25">
      <c r="A5" s="1188" t="s">
        <v>69</v>
      </c>
      <c r="B5" s="1176" t="s">
        <v>17</v>
      </c>
      <c r="C5" s="1158"/>
      <c r="D5" s="1250" t="s">
        <v>70</v>
      </c>
      <c r="E5" s="1256" t="s">
        <v>71</v>
      </c>
      <c r="F5" s="1187" t="s">
        <v>72</v>
      </c>
      <c r="G5" s="1158"/>
    </row>
    <row r="6" spans="1:7" ht="15.75" thickBot="1" x14ac:dyDescent="0.3">
      <c r="A6" s="1207"/>
      <c r="B6" s="1177"/>
      <c r="C6" s="1159"/>
      <c r="D6" s="1207"/>
      <c r="E6" s="1257"/>
      <c r="F6" s="1177"/>
      <c r="G6" s="1159"/>
    </row>
    <row r="7" spans="1:7" ht="15.75" thickBot="1" x14ac:dyDescent="0.3">
      <c r="A7" s="713" t="s">
        <v>550</v>
      </c>
      <c r="B7" s="714" t="s">
        <v>551</v>
      </c>
      <c r="C7" s="82" t="s">
        <v>255</v>
      </c>
      <c r="D7" s="83" t="s">
        <v>256</v>
      </c>
      <c r="E7" s="113" t="s">
        <v>257</v>
      </c>
      <c r="F7" s="84" t="s">
        <v>258</v>
      </c>
      <c r="G7" s="84" t="s">
        <v>259</v>
      </c>
    </row>
    <row r="8" spans="1:7" s="697" customFormat="1" x14ac:dyDescent="0.25">
      <c r="A8" s="161">
        <v>36708</v>
      </c>
      <c r="B8" s="162">
        <v>36788</v>
      </c>
      <c r="C8" s="92"/>
      <c r="D8" s="18"/>
      <c r="E8" s="20"/>
      <c r="F8" s="60"/>
      <c r="G8" s="92"/>
    </row>
    <row r="9" spans="1:7" s="697" customFormat="1" x14ac:dyDescent="0.25">
      <c r="A9" s="163">
        <v>36789</v>
      </c>
      <c r="B9" s="164">
        <v>36891</v>
      </c>
      <c r="C9" s="93"/>
      <c r="D9" s="17"/>
      <c r="E9" s="19"/>
      <c r="F9" s="35"/>
      <c r="G9" s="93"/>
    </row>
    <row r="10" spans="1:7" s="697" customFormat="1" x14ac:dyDescent="0.25">
      <c r="A10" s="163">
        <v>36892</v>
      </c>
      <c r="B10" s="164">
        <v>36969</v>
      </c>
      <c r="C10" s="93"/>
      <c r="D10" s="17"/>
      <c r="E10" s="19"/>
      <c r="F10" s="35"/>
      <c r="G10" s="93"/>
    </row>
    <row r="11" spans="1:7" s="697" customFormat="1" ht="15.75" thickBot="1" x14ac:dyDescent="0.3">
      <c r="A11" s="180">
        <v>36970</v>
      </c>
      <c r="B11" s="181">
        <v>37072</v>
      </c>
      <c r="C11" s="94"/>
      <c r="D11" s="65"/>
      <c r="E11" s="68"/>
      <c r="F11" s="69"/>
      <c r="G11" s="94"/>
    </row>
    <row r="12" spans="1:7" s="697" customFormat="1" x14ac:dyDescent="0.25">
      <c r="A12" s="161">
        <v>37073</v>
      </c>
      <c r="B12" s="162">
        <v>37153</v>
      </c>
      <c r="C12" s="92"/>
      <c r="D12" s="18"/>
      <c r="E12" s="20"/>
      <c r="F12" s="60"/>
      <c r="G12" s="92"/>
    </row>
    <row r="13" spans="1:7" s="697" customFormat="1" x14ac:dyDescent="0.25">
      <c r="A13" s="163">
        <v>37154</v>
      </c>
      <c r="B13" s="164">
        <v>37256</v>
      </c>
      <c r="C13" s="93"/>
      <c r="D13" s="17"/>
      <c r="E13" s="19"/>
      <c r="F13" s="35"/>
      <c r="G13" s="93"/>
    </row>
    <row r="14" spans="1:7" s="697" customFormat="1" x14ac:dyDescent="0.25">
      <c r="A14" s="163">
        <v>37257</v>
      </c>
      <c r="B14" s="164">
        <v>37334</v>
      </c>
      <c r="C14" s="93"/>
      <c r="D14" s="17"/>
      <c r="E14" s="19"/>
      <c r="F14" s="35"/>
      <c r="G14" s="93"/>
    </row>
    <row r="15" spans="1:7" s="697" customFormat="1" ht="15.75" thickBot="1" x14ac:dyDescent="0.3">
      <c r="A15" s="180">
        <v>37335</v>
      </c>
      <c r="B15" s="181">
        <v>37437</v>
      </c>
      <c r="C15" s="94"/>
      <c r="D15" s="65"/>
      <c r="E15" s="68"/>
      <c r="F15" s="69"/>
      <c r="G15" s="94"/>
    </row>
    <row r="16" spans="1:7" s="697" customFormat="1" x14ac:dyDescent="0.25">
      <c r="A16" s="161">
        <v>37438</v>
      </c>
      <c r="B16" s="162">
        <v>37518</v>
      </c>
      <c r="C16" s="92"/>
      <c r="D16" s="18"/>
      <c r="E16" s="20"/>
      <c r="F16" s="60"/>
      <c r="G16" s="92"/>
    </row>
    <row r="17" spans="1:7" s="697" customFormat="1" x14ac:dyDescent="0.25">
      <c r="A17" s="163">
        <v>37519</v>
      </c>
      <c r="B17" s="164">
        <v>37621</v>
      </c>
      <c r="C17" s="93"/>
      <c r="D17" s="17"/>
      <c r="E17" s="19"/>
      <c r="F17" s="35"/>
      <c r="G17" s="93"/>
    </row>
    <row r="18" spans="1:7" s="697" customFormat="1" x14ac:dyDescent="0.25">
      <c r="A18" s="163">
        <v>37622</v>
      </c>
      <c r="B18" s="164">
        <v>37699</v>
      </c>
      <c r="C18" s="93"/>
      <c r="D18" s="17"/>
      <c r="E18" s="19"/>
      <c r="F18" s="35"/>
      <c r="G18" s="93"/>
    </row>
    <row r="19" spans="1:7" s="697" customFormat="1" ht="15.75" thickBot="1" x14ac:dyDescent="0.3">
      <c r="A19" s="180">
        <v>37700</v>
      </c>
      <c r="B19" s="181">
        <v>37802</v>
      </c>
      <c r="C19" s="94"/>
      <c r="D19" s="65"/>
      <c r="E19" s="68"/>
      <c r="F19" s="69"/>
      <c r="G19" s="94"/>
    </row>
    <row r="20" spans="1:7" s="697" customFormat="1" x14ac:dyDescent="0.25">
      <c r="A20" s="161">
        <v>37803</v>
      </c>
      <c r="B20" s="162">
        <v>37883</v>
      </c>
      <c r="C20" s="92"/>
      <c r="D20" s="18"/>
      <c r="E20" s="20"/>
      <c r="F20" s="60"/>
      <c r="G20" s="92"/>
    </row>
    <row r="21" spans="1:7" s="697" customFormat="1" x14ac:dyDescent="0.25">
      <c r="A21" s="163">
        <v>37884</v>
      </c>
      <c r="B21" s="164">
        <v>37986</v>
      </c>
      <c r="C21" s="93"/>
      <c r="D21" s="17"/>
      <c r="E21" s="19"/>
      <c r="F21" s="35"/>
      <c r="G21" s="93"/>
    </row>
    <row r="22" spans="1:7" s="697" customFormat="1" x14ac:dyDescent="0.25">
      <c r="A22" s="163">
        <v>37987</v>
      </c>
      <c r="B22" s="164">
        <v>38065</v>
      </c>
      <c r="C22" s="93"/>
      <c r="D22" s="17"/>
      <c r="E22" s="19"/>
      <c r="F22" s="35"/>
      <c r="G22" s="93"/>
    </row>
    <row r="23" spans="1:7" s="697" customFormat="1" ht="15.75" thickBot="1" x14ac:dyDescent="0.3">
      <c r="A23" s="180">
        <v>38066</v>
      </c>
      <c r="B23" s="181">
        <v>38168</v>
      </c>
      <c r="C23" s="94"/>
      <c r="D23" s="65"/>
      <c r="E23" s="68"/>
      <c r="F23" s="69"/>
      <c r="G23" s="94"/>
    </row>
    <row r="24" spans="1:7" s="697" customFormat="1" x14ac:dyDescent="0.25">
      <c r="A24" s="161">
        <v>38169</v>
      </c>
      <c r="B24" s="162">
        <v>38249</v>
      </c>
      <c r="C24" s="92"/>
      <c r="D24" s="18"/>
      <c r="E24" s="20"/>
      <c r="F24" s="60"/>
      <c r="G24" s="92"/>
    </row>
    <row r="25" spans="1:7" s="697" customFormat="1" x14ac:dyDescent="0.25">
      <c r="A25" s="163">
        <v>38250</v>
      </c>
      <c r="B25" s="164">
        <v>38352</v>
      </c>
      <c r="C25" s="93"/>
      <c r="D25" s="17"/>
      <c r="E25" s="19"/>
      <c r="F25" s="35"/>
      <c r="G25" s="93"/>
    </row>
    <row r="26" spans="1:7" s="697" customFormat="1" x14ac:dyDescent="0.25">
      <c r="A26" s="163">
        <v>38353</v>
      </c>
      <c r="B26" s="164">
        <v>38430</v>
      </c>
      <c r="C26" s="93"/>
      <c r="D26" s="17"/>
      <c r="E26" s="19"/>
      <c r="F26" s="35"/>
      <c r="G26" s="93"/>
    </row>
    <row r="27" spans="1:7" s="697" customFormat="1" ht="15.75" thickBot="1" x14ac:dyDescent="0.3">
      <c r="A27" s="180">
        <v>38431</v>
      </c>
      <c r="B27" s="181">
        <v>38533</v>
      </c>
      <c r="C27" s="94"/>
      <c r="D27" s="65"/>
      <c r="E27" s="68"/>
      <c r="F27" s="69"/>
      <c r="G27" s="94"/>
    </row>
    <row r="28" spans="1:7" s="697" customFormat="1" x14ac:dyDescent="0.25">
      <c r="A28" s="161">
        <v>38534</v>
      </c>
      <c r="B28" s="162">
        <v>38614</v>
      </c>
      <c r="C28" s="92"/>
      <c r="D28" s="18"/>
      <c r="E28" s="20"/>
      <c r="F28" s="60"/>
      <c r="G28" s="92"/>
    </row>
    <row r="29" spans="1:7" s="697" customFormat="1" x14ac:dyDescent="0.25">
      <c r="A29" s="163">
        <v>38615</v>
      </c>
      <c r="B29" s="164">
        <v>38717</v>
      </c>
      <c r="C29" s="93"/>
      <c r="D29" s="17"/>
      <c r="E29" s="19"/>
      <c r="F29" s="35"/>
      <c r="G29" s="93"/>
    </row>
    <row r="30" spans="1:7" s="697" customFormat="1" x14ac:dyDescent="0.25">
      <c r="A30" s="163">
        <v>38718</v>
      </c>
      <c r="B30" s="164">
        <v>38795</v>
      </c>
      <c r="C30" s="93"/>
      <c r="D30" s="17"/>
      <c r="E30" s="19"/>
      <c r="F30" s="35"/>
      <c r="G30" s="93"/>
    </row>
    <row r="31" spans="1:7" s="697" customFormat="1" ht="15.75" thickBot="1" x14ac:dyDescent="0.3">
      <c r="A31" s="180">
        <v>38796</v>
      </c>
      <c r="B31" s="181">
        <v>38898</v>
      </c>
      <c r="C31" s="94"/>
      <c r="D31" s="65"/>
      <c r="E31" s="68"/>
      <c r="F31" s="69"/>
      <c r="G31" s="94"/>
    </row>
    <row r="32" spans="1:7" s="697" customFormat="1" x14ac:dyDescent="0.25">
      <c r="A32" s="161">
        <v>38899</v>
      </c>
      <c r="B32" s="162">
        <v>38979</v>
      </c>
      <c r="C32" s="92"/>
      <c r="D32" s="18"/>
      <c r="E32" s="20"/>
      <c r="F32" s="60"/>
      <c r="G32" s="92"/>
    </row>
    <row r="33" spans="1:7" s="697" customFormat="1" x14ac:dyDescent="0.25">
      <c r="A33" s="163">
        <v>38980</v>
      </c>
      <c r="B33" s="164">
        <v>39082</v>
      </c>
      <c r="C33" s="93"/>
      <c r="D33" s="17"/>
      <c r="E33" s="19"/>
      <c r="F33" s="35"/>
      <c r="G33" s="93"/>
    </row>
    <row r="34" spans="1:7" s="697" customFormat="1" x14ac:dyDescent="0.25">
      <c r="A34" s="163">
        <v>39083</v>
      </c>
      <c r="B34" s="164">
        <v>39160</v>
      </c>
      <c r="C34" s="93"/>
      <c r="D34" s="17"/>
      <c r="E34" s="19"/>
      <c r="F34" s="35"/>
      <c r="G34" s="93"/>
    </row>
    <row r="35" spans="1:7" s="697" customFormat="1" ht="15.75" thickBot="1" x14ac:dyDescent="0.3">
      <c r="A35" s="180">
        <v>39161</v>
      </c>
      <c r="B35" s="181">
        <v>39263</v>
      </c>
      <c r="C35" s="94"/>
      <c r="D35" s="65"/>
      <c r="E35" s="68"/>
      <c r="F35" s="69"/>
      <c r="G35" s="94"/>
    </row>
    <row r="36" spans="1:7" s="697" customFormat="1" x14ac:dyDescent="0.25">
      <c r="A36" s="161">
        <v>39264</v>
      </c>
      <c r="B36" s="162">
        <v>39344</v>
      </c>
      <c r="C36" s="92"/>
      <c r="D36" s="18"/>
      <c r="E36" s="20"/>
      <c r="F36" s="60"/>
      <c r="G36" s="92"/>
    </row>
    <row r="37" spans="1:7" s="697" customFormat="1" x14ac:dyDescent="0.25">
      <c r="A37" s="163">
        <v>39345</v>
      </c>
      <c r="B37" s="164">
        <v>39447</v>
      </c>
      <c r="C37" s="93"/>
      <c r="D37" s="17"/>
      <c r="E37" s="19"/>
      <c r="F37" s="35"/>
      <c r="G37" s="93"/>
    </row>
    <row r="38" spans="1:7" s="697" customFormat="1" x14ac:dyDescent="0.25">
      <c r="A38" s="163">
        <v>39448</v>
      </c>
      <c r="B38" s="164">
        <v>39526</v>
      </c>
      <c r="C38" s="93"/>
      <c r="D38" s="17"/>
      <c r="E38" s="19"/>
      <c r="F38" s="35"/>
      <c r="G38" s="93"/>
    </row>
    <row r="39" spans="1:7" s="697" customFormat="1" ht="15.75" thickBot="1" x14ac:dyDescent="0.3">
      <c r="A39" s="180">
        <v>39527</v>
      </c>
      <c r="B39" s="181">
        <v>39629</v>
      </c>
      <c r="C39" s="94"/>
      <c r="D39" s="65"/>
      <c r="E39" s="68"/>
      <c r="F39" s="69"/>
      <c r="G39" s="94"/>
    </row>
    <row r="40" spans="1:7" s="697" customFormat="1" x14ac:dyDescent="0.25">
      <c r="A40" s="161">
        <v>39630</v>
      </c>
      <c r="B40" s="162">
        <v>39710</v>
      </c>
      <c r="C40" s="92"/>
      <c r="D40" s="18"/>
      <c r="E40" s="20"/>
      <c r="F40" s="60"/>
      <c r="G40" s="92"/>
    </row>
    <row r="41" spans="1:7" s="697" customFormat="1" x14ac:dyDescent="0.25">
      <c r="A41" s="163">
        <v>39711</v>
      </c>
      <c r="B41" s="164">
        <v>39813</v>
      </c>
      <c r="C41" s="93"/>
      <c r="D41" s="17"/>
      <c r="E41" s="19"/>
      <c r="F41" s="35"/>
      <c r="G41" s="93"/>
    </row>
    <row r="42" spans="1:7" s="697" customFormat="1" x14ac:dyDescent="0.25">
      <c r="A42" s="163">
        <v>39814</v>
      </c>
      <c r="B42" s="164">
        <v>39891</v>
      </c>
      <c r="C42" s="93"/>
      <c r="D42" s="17"/>
      <c r="E42" s="19"/>
      <c r="F42" s="35"/>
      <c r="G42" s="93"/>
    </row>
    <row r="43" spans="1:7" s="697" customFormat="1" ht="15.75" thickBot="1" x14ac:dyDescent="0.3">
      <c r="A43" s="180">
        <v>39892</v>
      </c>
      <c r="B43" s="181">
        <v>39994</v>
      </c>
      <c r="C43" s="94"/>
      <c r="D43" s="65"/>
      <c r="E43" s="68"/>
      <c r="F43" s="69"/>
      <c r="G43" s="94"/>
    </row>
    <row r="44" spans="1:7" s="697" customFormat="1" x14ac:dyDescent="0.25">
      <c r="A44" s="161">
        <v>39995</v>
      </c>
      <c r="B44" s="162">
        <v>40075</v>
      </c>
      <c r="C44" s="92"/>
      <c r="D44" s="18"/>
      <c r="E44" s="20"/>
      <c r="F44" s="60"/>
      <c r="G44" s="92"/>
    </row>
    <row r="45" spans="1:7" s="697" customFormat="1" x14ac:dyDescent="0.25">
      <c r="A45" s="163">
        <v>40076</v>
      </c>
      <c r="B45" s="164">
        <v>40178</v>
      </c>
      <c r="C45" s="93"/>
      <c r="D45" s="17"/>
      <c r="E45" s="19"/>
      <c r="F45" s="35"/>
      <c r="G45" s="93"/>
    </row>
    <row r="46" spans="1:7" s="697" customFormat="1" x14ac:dyDescent="0.25">
      <c r="A46" s="163">
        <v>40179</v>
      </c>
      <c r="B46" s="164">
        <v>40256</v>
      </c>
      <c r="C46" s="93"/>
      <c r="D46" s="17"/>
      <c r="E46" s="19"/>
      <c r="F46" s="35"/>
      <c r="G46" s="93"/>
    </row>
    <row r="47" spans="1:7" s="697" customFormat="1" ht="15.75" thickBot="1" x14ac:dyDescent="0.3">
      <c r="A47" s="180">
        <v>40257</v>
      </c>
      <c r="B47" s="181">
        <v>40359</v>
      </c>
      <c r="C47" s="94"/>
      <c r="D47" s="65"/>
      <c r="E47" s="68"/>
      <c r="F47" s="69"/>
      <c r="G47" s="94"/>
    </row>
    <row r="48" spans="1:7" x14ac:dyDescent="0.25">
      <c r="A48" s="161">
        <v>40360</v>
      </c>
      <c r="B48" s="162">
        <v>40440</v>
      </c>
      <c r="C48" s="92">
        <v>0</v>
      </c>
      <c r="D48" s="18">
        <v>0</v>
      </c>
      <c r="E48" s="20">
        <v>0</v>
      </c>
      <c r="F48" s="60">
        <v>0</v>
      </c>
      <c r="G48" s="92">
        <v>0</v>
      </c>
    </row>
    <row r="49" spans="1:7" x14ac:dyDescent="0.25">
      <c r="A49" s="163">
        <v>40441</v>
      </c>
      <c r="B49" s="164">
        <v>40543</v>
      </c>
      <c r="C49" s="93">
        <v>0</v>
      </c>
      <c r="D49" s="17">
        <v>0</v>
      </c>
      <c r="E49" s="19">
        <v>0</v>
      </c>
      <c r="F49" s="35">
        <v>0</v>
      </c>
      <c r="G49" s="93">
        <v>0</v>
      </c>
    </row>
    <row r="50" spans="1:7" x14ac:dyDescent="0.25">
      <c r="A50" s="163">
        <v>40544</v>
      </c>
      <c r="B50" s="164">
        <v>40621</v>
      </c>
      <c r="C50" s="93">
        <v>0</v>
      </c>
      <c r="D50" s="17">
        <v>0</v>
      </c>
      <c r="E50" s="19">
        <v>0</v>
      </c>
      <c r="F50" s="35">
        <v>0</v>
      </c>
      <c r="G50" s="93">
        <v>0</v>
      </c>
    </row>
    <row r="51" spans="1:7" ht="15.75" thickBot="1" x14ac:dyDescent="0.3">
      <c r="A51" s="180">
        <v>40622</v>
      </c>
      <c r="B51" s="181">
        <v>40724</v>
      </c>
      <c r="C51" s="94">
        <v>0</v>
      </c>
      <c r="D51" s="65">
        <v>0</v>
      </c>
      <c r="E51" s="68">
        <v>0</v>
      </c>
      <c r="F51" s="69">
        <v>0</v>
      </c>
      <c r="G51" s="94">
        <v>0</v>
      </c>
    </row>
    <row r="52" spans="1:7" x14ac:dyDescent="0.25">
      <c r="A52" s="161">
        <v>40725</v>
      </c>
      <c r="B52" s="162">
        <v>40805</v>
      </c>
      <c r="C52" s="92">
        <v>0</v>
      </c>
      <c r="D52" s="18">
        <v>0</v>
      </c>
      <c r="E52" s="20">
        <v>0</v>
      </c>
      <c r="F52" s="60">
        <v>0</v>
      </c>
      <c r="G52" s="92">
        <v>0</v>
      </c>
    </row>
    <row r="53" spans="1:7" x14ac:dyDescent="0.25">
      <c r="A53" s="163">
        <v>40806</v>
      </c>
      <c r="B53" s="164">
        <v>40908</v>
      </c>
      <c r="C53" s="93">
        <v>0</v>
      </c>
      <c r="D53" s="17">
        <v>0</v>
      </c>
      <c r="E53" s="19">
        <v>0</v>
      </c>
      <c r="F53" s="35">
        <v>0</v>
      </c>
      <c r="G53" s="93">
        <v>0</v>
      </c>
    </row>
    <row r="54" spans="1:7" x14ac:dyDescent="0.25">
      <c r="A54" s="163">
        <v>40909</v>
      </c>
      <c r="B54" s="164">
        <v>40987</v>
      </c>
      <c r="C54" s="93">
        <v>0</v>
      </c>
      <c r="D54" s="17">
        <v>0</v>
      </c>
      <c r="E54" s="19">
        <v>0</v>
      </c>
      <c r="F54" s="35">
        <v>0</v>
      </c>
      <c r="G54" s="93">
        <v>0</v>
      </c>
    </row>
    <row r="55" spans="1:7" ht="15.75" thickBot="1" x14ac:dyDescent="0.3">
      <c r="A55" s="180">
        <v>40988</v>
      </c>
      <c r="B55" s="181">
        <v>41090</v>
      </c>
      <c r="C55" s="94">
        <v>0</v>
      </c>
      <c r="D55" s="65">
        <v>0</v>
      </c>
      <c r="E55" s="68">
        <v>0</v>
      </c>
      <c r="F55" s="69">
        <v>0</v>
      </c>
      <c r="G55" s="94">
        <v>0</v>
      </c>
    </row>
    <row r="56" spans="1:7" s="5" customFormat="1" x14ac:dyDescent="0.25">
      <c r="A56" s="531">
        <v>41091</v>
      </c>
      <c r="B56" s="532">
        <v>41171</v>
      </c>
      <c r="C56" s="533">
        <v>300</v>
      </c>
      <c r="D56" s="534">
        <v>30000</v>
      </c>
      <c r="E56" s="536">
        <v>45000</v>
      </c>
      <c r="F56" s="535">
        <v>60000</v>
      </c>
      <c r="G56" s="533">
        <v>18000</v>
      </c>
    </row>
    <row r="57" spans="1:7" s="5" customFormat="1" x14ac:dyDescent="0.25">
      <c r="A57" s="496">
        <v>41172</v>
      </c>
      <c r="B57" s="497">
        <v>41274</v>
      </c>
      <c r="C57" s="373">
        <f>C56</f>
        <v>300</v>
      </c>
      <c r="D57" s="375">
        <f>D56</f>
        <v>30000</v>
      </c>
      <c r="E57" s="242">
        <f>E56</f>
        <v>45000</v>
      </c>
      <c r="F57" s="374">
        <f>F56</f>
        <v>60000</v>
      </c>
      <c r="G57" s="373">
        <f>G56</f>
        <v>18000</v>
      </c>
    </row>
    <row r="58" spans="1:7" s="5" customFormat="1" x14ac:dyDescent="0.25">
      <c r="A58" s="496">
        <v>41275</v>
      </c>
      <c r="B58" s="497">
        <v>41352</v>
      </c>
      <c r="C58" s="373">
        <f t="shared" ref="C58:G73" si="0">C57</f>
        <v>300</v>
      </c>
      <c r="D58" s="375">
        <f t="shared" si="0"/>
        <v>30000</v>
      </c>
      <c r="E58" s="242">
        <f t="shared" si="0"/>
        <v>45000</v>
      </c>
      <c r="F58" s="374">
        <f t="shared" si="0"/>
        <v>60000</v>
      </c>
      <c r="G58" s="373">
        <f t="shared" si="0"/>
        <v>18000</v>
      </c>
    </row>
    <row r="59" spans="1:7" s="5" customFormat="1" ht="15.75" thickBot="1" x14ac:dyDescent="0.3">
      <c r="A59" s="538">
        <v>41353</v>
      </c>
      <c r="B59" s="539">
        <v>41455</v>
      </c>
      <c r="C59" s="542">
        <f t="shared" si="0"/>
        <v>300</v>
      </c>
      <c r="D59" s="540">
        <f t="shared" si="0"/>
        <v>30000</v>
      </c>
      <c r="E59" s="543">
        <f t="shared" si="0"/>
        <v>45000</v>
      </c>
      <c r="F59" s="541">
        <f t="shared" si="0"/>
        <v>60000</v>
      </c>
      <c r="G59" s="542">
        <f t="shared" si="0"/>
        <v>18000</v>
      </c>
    </row>
    <row r="60" spans="1:7" s="5" customFormat="1" x14ac:dyDescent="0.25">
      <c r="A60" s="531">
        <v>41456</v>
      </c>
      <c r="B60" s="532">
        <v>41536</v>
      </c>
      <c r="C60" s="533">
        <f t="shared" si="0"/>
        <v>300</v>
      </c>
      <c r="D60" s="534">
        <f t="shared" si="0"/>
        <v>30000</v>
      </c>
      <c r="E60" s="536">
        <f t="shared" si="0"/>
        <v>45000</v>
      </c>
      <c r="F60" s="535">
        <f t="shared" si="0"/>
        <v>60000</v>
      </c>
      <c r="G60" s="533">
        <f t="shared" si="0"/>
        <v>18000</v>
      </c>
    </row>
    <row r="61" spans="1:7" s="5" customFormat="1" x14ac:dyDescent="0.25">
      <c r="A61" s="496">
        <v>41537</v>
      </c>
      <c r="B61" s="497">
        <v>41639</v>
      </c>
      <c r="C61" s="373">
        <f t="shared" si="0"/>
        <v>300</v>
      </c>
      <c r="D61" s="375">
        <f t="shared" si="0"/>
        <v>30000</v>
      </c>
      <c r="E61" s="242">
        <f t="shared" si="0"/>
        <v>45000</v>
      </c>
      <c r="F61" s="374">
        <f t="shared" si="0"/>
        <v>60000</v>
      </c>
      <c r="G61" s="373">
        <f t="shared" si="0"/>
        <v>18000</v>
      </c>
    </row>
    <row r="62" spans="1:7" x14ac:dyDescent="0.25">
      <c r="A62" s="496">
        <v>41640</v>
      </c>
      <c r="B62" s="497">
        <v>41717</v>
      </c>
      <c r="C62" s="373">
        <f t="shared" si="0"/>
        <v>300</v>
      </c>
      <c r="D62" s="375">
        <f t="shared" si="0"/>
        <v>30000</v>
      </c>
      <c r="E62" s="242">
        <f t="shared" si="0"/>
        <v>45000</v>
      </c>
      <c r="F62" s="374">
        <f t="shared" si="0"/>
        <v>60000</v>
      </c>
      <c r="G62" s="373">
        <f t="shared" si="0"/>
        <v>18000</v>
      </c>
    </row>
    <row r="63" spans="1:7" ht="15.75" thickBot="1" x14ac:dyDescent="0.3">
      <c r="A63" s="538">
        <v>41718</v>
      </c>
      <c r="B63" s="539">
        <v>41820</v>
      </c>
      <c r="C63" s="542">
        <f t="shared" si="0"/>
        <v>300</v>
      </c>
      <c r="D63" s="540">
        <f t="shared" si="0"/>
        <v>30000</v>
      </c>
      <c r="E63" s="543">
        <f t="shared" si="0"/>
        <v>45000</v>
      </c>
      <c r="F63" s="541">
        <f t="shared" si="0"/>
        <v>60000</v>
      </c>
      <c r="G63" s="542">
        <f t="shared" si="0"/>
        <v>18000</v>
      </c>
    </row>
    <row r="64" spans="1:7" x14ac:dyDescent="0.25">
      <c r="A64" s="531">
        <v>41821</v>
      </c>
      <c r="B64" s="532">
        <v>41901</v>
      </c>
      <c r="C64" s="533">
        <f t="shared" si="0"/>
        <v>300</v>
      </c>
      <c r="D64" s="534">
        <f t="shared" si="0"/>
        <v>30000</v>
      </c>
      <c r="E64" s="536">
        <f t="shared" si="0"/>
        <v>45000</v>
      </c>
      <c r="F64" s="535">
        <f t="shared" si="0"/>
        <v>60000</v>
      </c>
      <c r="G64" s="533">
        <f t="shared" si="0"/>
        <v>18000</v>
      </c>
    </row>
    <row r="65" spans="1:7" x14ac:dyDescent="0.25">
      <c r="A65" s="496">
        <v>41902</v>
      </c>
      <c r="B65" s="497">
        <v>42004</v>
      </c>
      <c r="C65" s="373">
        <f t="shared" si="0"/>
        <v>300</v>
      </c>
      <c r="D65" s="375">
        <f t="shared" si="0"/>
        <v>30000</v>
      </c>
      <c r="E65" s="242">
        <f t="shared" si="0"/>
        <v>45000</v>
      </c>
      <c r="F65" s="374">
        <f t="shared" si="0"/>
        <v>60000</v>
      </c>
      <c r="G65" s="373">
        <f t="shared" si="0"/>
        <v>18000</v>
      </c>
    </row>
    <row r="66" spans="1:7" x14ac:dyDescent="0.25">
      <c r="A66" s="496">
        <v>42005</v>
      </c>
      <c r="B66" s="497">
        <v>42082</v>
      </c>
      <c r="C66" s="373">
        <f t="shared" si="0"/>
        <v>300</v>
      </c>
      <c r="D66" s="375">
        <f t="shared" si="0"/>
        <v>30000</v>
      </c>
      <c r="E66" s="242">
        <f t="shared" si="0"/>
        <v>45000</v>
      </c>
      <c r="F66" s="374">
        <f t="shared" si="0"/>
        <v>60000</v>
      </c>
      <c r="G66" s="373">
        <f t="shared" si="0"/>
        <v>18000</v>
      </c>
    </row>
    <row r="67" spans="1:7" ht="15.75" thickBot="1" x14ac:dyDescent="0.3">
      <c r="A67" s="538">
        <v>42083</v>
      </c>
      <c r="B67" s="539">
        <v>42185</v>
      </c>
      <c r="C67" s="542">
        <f t="shared" si="0"/>
        <v>300</v>
      </c>
      <c r="D67" s="540">
        <f t="shared" si="0"/>
        <v>30000</v>
      </c>
      <c r="E67" s="543">
        <f t="shared" si="0"/>
        <v>45000</v>
      </c>
      <c r="F67" s="541">
        <f t="shared" si="0"/>
        <v>60000</v>
      </c>
      <c r="G67" s="542">
        <f t="shared" si="0"/>
        <v>18000</v>
      </c>
    </row>
    <row r="68" spans="1:7" x14ac:dyDescent="0.25">
      <c r="A68" s="531">
        <v>42186</v>
      </c>
      <c r="B68" s="532">
        <v>42266</v>
      </c>
      <c r="C68" s="533">
        <f t="shared" si="0"/>
        <v>300</v>
      </c>
      <c r="D68" s="534">
        <f t="shared" si="0"/>
        <v>30000</v>
      </c>
      <c r="E68" s="536">
        <f t="shared" si="0"/>
        <v>45000</v>
      </c>
      <c r="F68" s="535">
        <f t="shared" si="0"/>
        <v>60000</v>
      </c>
      <c r="G68" s="533">
        <f t="shared" si="0"/>
        <v>18000</v>
      </c>
    </row>
    <row r="69" spans="1:7" x14ac:dyDescent="0.25">
      <c r="A69" s="496">
        <v>42267</v>
      </c>
      <c r="B69" s="497">
        <v>42369</v>
      </c>
      <c r="C69" s="373">
        <f t="shared" si="0"/>
        <v>300</v>
      </c>
      <c r="D69" s="375">
        <f t="shared" si="0"/>
        <v>30000</v>
      </c>
      <c r="E69" s="242">
        <f t="shared" si="0"/>
        <v>45000</v>
      </c>
      <c r="F69" s="374">
        <f t="shared" si="0"/>
        <v>60000</v>
      </c>
      <c r="G69" s="373">
        <f t="shared" si="0"/>
        <v>18000</v>
      </c>
    </row>
    <row r="70" spans="1:7" x14ac:dyDescent="0.25">
      <c r="A70" s="496">
        <v>42370</v>
      </c>
      <c r="B70" s="497">
        <v>42448</v>
      </c>
      <c r="C70" s="373">
        <f t="shared" si="0"/>
        <v>300</v>
      </c>
      <c r="D70" s="375">
        <f t="shared" si="0"/>
        <v>30000</v>
      </c>
      <c r="E70" s="242">
        <f t="shared" si="0"/>
        <v>45000</v>
      </c>
      <c r="F70" s="374">
        <f t="shared" si="0"/>
        <v>60000</v>
      </c>
      <c r="G70" s="373">
        <f t="shared" si="0"/>
        <v>18000</v>
      </c>
    </row>
    <row r="71" spans="1:7" ht="15.75" thickBot="1" x14ac:dyDescent="0.3">
      <c r="A71" s="538">
        <v>42449</v>
      </c>
      <c r="B71" s="539">
        <v>42551</v>
      </c>
      <c r="C71" s="542">
        <f t="shared" si="0"/>
        <v>300</v>
      </c>
      <c r="D71" s="540">
        <f t="shared" si="0"/>
        <v>30000</v>
      </c>
      <c r="E71" s="543">
        <f t="shared" si="0"/>
        <v>45000</v>
      </c>
      <c r="F71" s="541">
        <f t="shared" si="0"/>
        <v>60000</v>
      </c>
      <c r="G71" s="542">
        <f t="shared" si="0"/>
        <v>18000</v>
      </c>
    </row>
    <row r="72" spans="1:7" s="5" customFormat="1" x14ac:dyDescent="0.25">
      <c r="A72" s="531">
        <v>42552</v>
      </c>
      <c r="B72" s="532">
        <v>42632</v>
      </c>
      <c r="C72" s="533">
        <f t="shared" si="0"/>
        <v>300</v>
      </c>
      <c r="D72" s="534">
        <f t="shared" si="0"/>
        <v>30000</v>
      </c>
      <c r="E72" s="536">
        <f t="shared" si="0"/>
        <v>45000</v>
      </c>
      <c r="F72" s="535">
        <f t="shared" si="0"/>
        <v>60000</v>
      </c>
      <c r="G72" s="533">
        <f t="shared" si="0"/>
        <v>18000</v>
      </c>
    </row>
    <row r="73" spans="1:7" x14ac:dyDescent="0.25">
      <c r="A73" s="496">
        <v>42633</v>
      </c>
      <c r="B73" s="497">
        <v>42735</v>
      </c>
      <c r="C73" s="373">
        <f t="shared" si="0"/>
        <v>300</v>
      </c>
      <c r="D73" s="375">
        <f t="shared" si="0"/>
        <v>30000</v>
      </c>
      <c r="E73" s="242">
        <f t="shared" si="0"/>
        <v>45000</v>
      </c>
      <c r="F73" s="374">
        <f t="shared" si="0"/>
        <v>60000</v>
      </c>
      <c r="G73" s="373">
        <f t="shared" si="0"/>
        <v>18000</v>
      </c>
    </row>
    <row r="74" spans="1:7" x14ac:dyDescent="0.25">
      <c r="A74" s="496">
        <v>42736</v>
      </c>
      <c r="B74" s="497">
        <v>42813</v>
      </c>
      <c r="C74" s="373">
        <f t="shared" ref="C74:G75" si="1">C73</f>
        <v>300</v>
      </c>
      <c r="D74" s="375">
        <f t="shared" si="1"/>
        <v>30000</v>
      </c>
      <c r="E74" s="242">
        <f t="shared" si="1"/>
        <v>45000</v>
      </c>
      <c r="F74" s="374">
        <f t="shared" si="1"/>
        <v>60000</v>
      </c>
      <c r="G74" s="373">
        <f t="shared" si="1"/>
        <v>18000</v>
      </c>
    </row>
    <row r="75" spans="1:7" ht="15.75" thickBot="1" x14ac:dyDescent="0.3">
      <c r="A75" s="538">
        <v>42814</v>
      </c>
      <c r="B75" s="539">
        <v>42916</v>
      </c>
      <c r="C75" s="542">
        <f t="shared" si="1"/>
        <v>300</v>
      </c>
      <c r="D75" s="540">
        <f t="shared" si="1"/>
        <v>30000</v>
      </c>
      <c r="E75" s="543">
        <f t="shared" si="1"/>
        <v>45000</v>
      </c>
      <c r="F75" s="541">
        <f t="shared" si="1"/>
        <v>60000</v>
      </c>
      <c r="G75" s="542">
        <f t="shared" si="1"/>
        <v>18000</v>
      </c>
    </row>
    <row r="76" spans="1:7" x14ac:dyDescent="0.25">
      <c r="A76" s="531">
        <v>42917</v>
      </c>
      <c r="B76" s="532">
        <v>42997</v>
      </c>
      <c r="C76" s="533">
        <v>0</v>
      </c>
      <c r="D76" s="534"/>
      <c r="E76" s="536"/>
      <c r="F76" s="535"/>
      <c r="G76" s="533"/>
    </row>
    <row r="77" spans="1:7" x14ac:dyDescent="0.25">
      <c r="A77" s="165">
        <v>42998</v>
      </c>
      <c r="B77" s="166">
        <v>43100</v>
      </c>
      <c r="C77" s="107">
        <f t="shared" ref="C77:C89" si="2">C76</f>
        <v>0</v>
      </c>
      <c r="D77" s="33"/>
      <c r="E77" s="34"/>
      <c r="F77" s="75"/>
      <c r="G77" s="107"/>
    </row>
    <row r="78" spans="1:7" x14ac:dyDescent="0.25">
      <c r="A78" s="165">
        <v>43101</v>
      </c>
      <c r="B78" s="166">
        <v>43178</v>
      </c>
      <c r="C78" s="107">
        <f t="shared" si="2"/>
        <v>0</v>
      </c>
      <c r="D78" s="33"/>
      <c r="E78" s="34"/>
      <c r="F78" s="75"/>
      <c r="G78" s="107"/>
    </row>
    <row r="79" spans="1:7" ht="15.75" thickBot="1" x14ac:dyDescent="0.3">
      <c r="A79" s="167">
        <v>43179</v>
      </c>
      <c r="B79" s="168">
        <v>43281</v>
      </c>
      <c r="C79" s="111">
        <f t="shared" si="2"/>
        <v>0</v>
      </c>
      <c r="D79" s="77"/>
      <c r="E79" s="78"/>
      <c r="F79" s="79"/>
      <c r="G79" s="111"/>
    </row>
    <row r="80" spans="1:7" x14ac:dyDescent="0.25">
      <c r="A80" s="169">
        <v>43282</v>
      </c>
      <c r="B80" s="170">
        <v>43362</v>
      </c>
      <c r="C80" s="189">
        <f t="shared" si="2"/>
        <v>0</v>
      </c>
      <c r="D80" s="188"/>
      <c r="E80" s="171"/>
      <c r="F80" s="172"/>
      <c r="G80" s="189"/>
    </row>
    <row r="81" spans="1:7" x14ac:dyDescent="0.25">
      <c r="A81" s="165">
        <v>43363</v>
      </c>
      <c r="B81" s="166">
        <v>43465</v>
      </c>
      <c r="C81" s="107">
        <f t="shared" si="2"/>
        <v>0</v>
      </c>
      <c r="D81" s="33"/>
      <c r="E81" s="34"/>
      <c r="F81" s="75"/>
      <c r="G81" s="107"/>
    </row>
    <row r="82" spans="1:7" x14ac:dyDescent="0.25">
      <c r="A82" s="165">
        <v>43466</v>
      </c>
      <c r="B82" s="166">
        <v>43543</v>
      </c>
      <c r="C82" s="107">
        <f t="shared" si="2"/>
        <v>0</v>
      </c>
      <c r="D82" s="33"/>
      <c r="E82" s="34"/>
      <c r="F82" s="75"/>
      <c r="G82" s="107"/>
    </row>
    <row r="83" spans="1:7" ht="15.75" thickBot="1" x14ac:dyDescent="0.3">
      <c r="A83" s="167">
        <v>43544</v>
      </c>
      <c r="B83" s="168">
        <v>43646</v>
      </c>
      <c r="C83" s="111">
        <f t="shared" si="2"/>
        <v>0</v>
      </c>
      <c r="D83" s="77"/>
      <c r="E83" s="78"/>
      <c r="F83" s="79"/>
      <c r="G83" s="111"/>
    </row>
    <row r="84" spans="1:7" x14ac:dyDescent="0.25">
      <c r="A84" s="169">
        <v>43647</v>
      </c>
      <c r="B84" s="170">
        <v>43727</v>
      </c>
      <c r="C84" s="189">
        <f t="shared" si="2"/>
        <v>0</v>
      </c>
      <c r="D84" s="188"/>
      <c r="E84" s="171"/>
      <c r="F84" s="172"/>
      <c r="G84" s="189"/>
    </row>
    <row r="85" spans="1:7" x14ac:dyDescent="0.25">
      <c r="A85" s="165">
        <v>43728</v>
      </c>
      <c r="B85" s="166">
        <v>43830</v>
      </c>
      <c r="C85" s="107">
        <f t="shared" si="2"/>
        <v>0</v>
      </c>
      <c r="D85" s="33"/>
      <c r="E85" s="34"/>
      <c r="F85" s="75"/>
      <c r="G85" s="107"/>
    </row>
    <row r="86" spans="1:7" x14ac:dyDescent="0.25">
      <c r="A86" s="165">
        <v>43831</v>
      </c>
      <c r="B86" s="166">
        <v>43909</v>
      </c>
      <c r="C86" s="107">
        <f t="shared" si="2"/>
        <v>0</v>
      </c>
      <c r="D86" s="33"/>
      <c r="E86" s="34"/>
      <c r="F86" s="75"/>
      <c r="G86" s="107"/>
    </row>
    <row r="87" spans="1:7" ht="15.75" thickBot="1" x14ac:dyDescent="0.3">
      <c r="A87" s="167">
        <v>43910</v>
      </c>
      <c r="B87" s="168">
        <v>44012</v>
      </c>
      <c r="C87" s="111">
        <f t="shared" si="2"/>
        <v>0</v>
      </c>
      <c r="D87" s="77"/>
      <c r="E87" s="78"/>
      <c r="F87" s="79"/>
      <c r="G87" s="111"/>
    </row>
    <row r="88" spans="1:7" x14ac:dyDescent="0.25">
      <c r="A88" s="169">
        <v>44013</v>
      </c>
      <c r="B88" s="170">
        <v>44093</v>
      </c>
      <c r="C88" s="189">
        <f t="shared" si="2"/>
        <v>0</v>
      </c>
      <c r="D88" s="188"/>
      <c r="E88" s="171"/>
      <c r="F88" s="172"/>
      <c r="G88" s="189"/>
    </row>
    <row r="89" spans="1:7" x14ac:dyDescent="0.25">
      <c r="A89" s="165">
        <v>44094</v>
      </c>
      <c r="B89" s="166">
        <v>44196</v>
      </c>
      <c r="C89" s="107">
        <f t="shared" si="2"/>
        <v>0</v>
      </c>
      <c r="D89" s="33"/>
      <c r="E89" s="34"/>
      <c r="F89" s="75"/>
      <c r="G89" s="107"/>
    </row>
    <row r="90" spans="1:7" x14ac:dyDescent="0.25">
      <c r="A90" s="165">
        <v>44197</v>
      </c>
      <c r="B90" s="166">
        <v>44274</v>
      </c>
      <c r="C90" s="107">
        <f>C89</f>
        <v>0</v>
      </c>
      <c r="D90" s="33"/>
      <c r="E90" s="34"/>
      <c r="F90" s="75"/>
      <c r="G90" s="107"/>
    </row>
    <row r="91" spans="1:7" ht="15.75" thickBot="1" x14ac:dyDescent="0.3">
      <c r="A91" s="167">
        <v>44275</v>
      </c>
      <c r="B91" s="168">
        <v>44377</v>
      </c>
      <c r="C91" s="111">
        <f>C90</f>
        <v>0</v>
      </c>
      <c r="D91" s="77"/>
      <c r="E91" s="78"/>
      <c r="F91" s="79"/>
      <c r="G91" s="111"/>
    </row>
  </sheetData>
  <customSheetViews>
    <customSheetView guid="{E49C2F27-B0B9-497E-BEC0-5B59561292FE}" hiddenRows="1" topLeftCell="A2">
      <pane xSplit="2" ySplit="6" topLeftCell="C57" activePane="bottomRight" state="frozen"/>
      <selection pane="bottomRight" activeCell="C75" sqref="C75"/>
      <pageMargins left="0.7" right="0.7" top="0.75" bottom="0.75" header="0.3" footer="0.3"/>
    </customSheetView>
    <customSheetView guid="{A5953138-1481-4137-BEAD-32FA4FDF03E6}" topLeftCell="A2">
      <pane xSplit="2" ySplit="6" topLeftCell="C57" activePane="bottomRight" state="frozen"/>
      <selection pane="bottomRight" activeCell="C75" sqref="C75"/>
      <pageMargins left="0.7" right="0.7" top="0.75" bottom="0.75" header="0.3" footer="0.3"/>
    </customSheetView>
    <customSheetView guid="{2A1F94CA-1A34-4418-88FD-EABF7586C2B2}" hiddenRows="1" topLeftCell="A2">
      <pane xSplit="2" ySplit="6" topLeftCell="C57" activePane="bottomRight" state="frozen"/>
      <selection pane="bottomRight" activeCell="C75" sqref="C75"/>
      <pageMargins left="0.7" right="0.7" top="0.75" bottom="0.75" header="0.3" footer="0.3"/>
    </customSheetView>
  </customSheetViews>
  <mergeCells count="11">
    <mergeCell ref="A2:B4"/>
    <mergeCell ref="G4:G6"/>
    <mergeCell ref="A5:A6"/>
    <mergeCell ref="B5:B6"/>
    <mergeCell ref="D4:F4"/>
    <mergeCell ref="D5:D6"/>
    <mergeCell ref="E5:E6"/>
    <mergeCell ref="F5:F6"/>
    <mergeCell ref="C4:C6"/>
    <mergeCell ref="C2:C3"/>
    <mergeCell ref="D2:G3"/>
  </mergeCells>
  <pageMargins left="0.7" right="0.7" top="0.75" bottom="0.75" header="0.3" footer="0.3"/>
  <pageSetup paperSize="277" orientation="portrait" r:id="rId1"/>
  <legacyDrawing r:id="rId2"/>
</worksheet>
</file>

<file path=xl/worksheets/sheet3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400-000000000000}">
  <sheetPr codeName="Sheet42">
    <tabColor rgb="FF00B0F0"/>
  </sheetPr>
  <dimension ref="A1:G28"/>
  <sheetViews>
    <sheetView topLeftCell="A2" workbookViewId="0">
      <selection activeCell="A8" sqref="A8"/>
    </sheetView>
  </sheetViews>
  <sheetFormatPr defaultRowHeight="15" x14ac:dyDescent="0.25"/>
  <cols>
    <col min="1" max="1" width="13.140625" style="27" customWidth="1"/>
    <col min="2" max="2" width="12.42578125" style="27" customWidth="1"/>
    <col min="3" max="3" width="18.42578125" style="27" customWidth="1"/>
    <col min="4" max="4" width="25.7109375" style="27" bestFit="1" customWidth="1"/>
    <col min="5" max="5" width="22.85546875" style="27" bestFit="1" customWidth="1"/>
    <col min="6" max="6" width="24.42578125" style="27" bestFit="1" customWidth="1"/>
    <col min="7" max="7" width="32" style="27" bestFit="1" customWidth="1"/>
    <col min="8" max="16384" width="9.140625" style="28"/>
  </cols>
  <sheetData>
    <row r="1" spans="1:7" s="502" customFormat="1" ht="15.75" hidden="1" thickBot="1" x14ac:dyDescent="0.3">
      <c r="A1" s="27"/>
      <c r="B1" s="27"/>
      <c r="C1" s="27"/>
      <c r="D1" s="27"/>
      <c r="E1" s="27"/>
      <c r="F1" s="27"/>
      <c r="G1" s="27"/>
    </row>
    <row r="2" spans="1:7" x14ac:dyDescent="0.25">
      <c r="A2" s="1164" t="s">
        <v>13</v>
      </c>
      <c r="B2" s="1165"/>
      <c r="C2" s="1336" t="s">
        <v>67</v>
      </c>
      <c r="D2" s="1338" t="s">
        <v>24</v>
      </c>
      <c r="E2" s="1339"/>
      <c r="F2" s="1339"/>
      <c r="G2" s="1340"/>
    </row>
    <row r="3" spans="1:7" ht="15.75" customHeight="1" thickBot="1" x14ac:dyDescent="0.3">
      <c r="A3" s="1215"/>
      <c r="B3" s="1236"/>
      <c r="C3" s="1337"/>
      <c r="D3" s="1341"/>
      <c r="E3" s="1342"/>
      <c r="F3" s="1342"/>
      <c r="G3" s="1343"/>
    </row>
    <row r="4" spans="1:7" ht="15.75" customHeight="1" thickBot="1" x14ac:dyDescent="0.3">
      <c r="A4" s="1215"/>
      <c r="B4" s="1236"/>
      <c r="C4" s="1157" t="s">
        <v>261</v>
      </c>
      <c r="D4" s="1248" t="s">
        <v>68</v>
      </c>
      <c r="E4" s="1238"/>
      <c r="F4" s="1238"/>
      <c r="G4" s="1157" t="s">
        <v>260</v>
      </c>
    </row>
    <row r="5" spans="1:7" ht="15" customHeight="1" x14ac:dyDescent="0.25">
      <c r="A5" s="1188" t="s">
        <v>69</v>
      </c>
      <c r="B5" s="1176" t="s">
        <v>17</v>
      </c>
      <c r="C5" s="1158"/>
      <c r="D5" s="1250" t="s">
        <v>70</v>
      </c>
      <c r="E5" s="1256" t="s">
        <v>71</v>
      </c>
      <c r="F5" s="1187" t="s">
        <v>72</v>
      </c>
      <c r="G5" s="1158"/>
    </row>
    <row r="6" spans="1:7" ht="15.75" thickBot="1" x14ac:dyDescent="0.3">
      <c r="A6" s="1207"/>
      <c r="B6" s="1177"/>
      <c r="C6" s="1159"/>
      <c r="D6" s="1207"/>
      <c r="E6" s="1257"/>
      <c r="F6" s="1177"/>
      <c r="G6" s="1159"/>
    </row>
    <row r="7" spans="1:7" ht="15.75" thickBot="1" x14ac:dyDescent="0.3">
      <c r="A7" s="713" t="s">
        <v>550</v>
      </c>
      <c r="B7" s="714" t="s">
        <v>551</v>
      </c>
      <c r="C7" s="82" t="s">
        <v>255</v>
      </c>
      <c r="D7" s="83" t="s">
        <v>256</v>
      </c>
      <c r="E7" s="113" t="s">
        <v>257</v>
      </c>
      <c r="F7" s="84" t="s">
        <v>258</v>
      </c>
      <c r="G7" s="84" t="s">
        <v>259</v>
      </c>
    </row>
    <row r="8" spans="1:7" s="697" customFormat="1" x14ac:dyDescent="0.25">
      <c r="A8" s="161">
        <v>36708</v>
      </c>
      <c r="B8" s="162">
        <v>37072</v>
      </c>
      <c r="C8" s="373"/>
      <c r="D8" s="375"/>
      <c r="E8" s="242"/>
      <c r="F8" s="374"/>
      <c r="G8" s="373"/>
    </row>
    <row r="9" spans="1:7" s="697" customFormat="1" x14ac:dyDescent="0.25">
      <c r="A9" s="163">
        <v>37073</v>
      </c>
      <c r="B9" s="164">
        <v>37437</v>
      </c>
      <c r="C9" s="373"/>
      <c r="D9" s="375"/>
      <c r="E9" s="242"/>
      <c r="F9" s="374"/>
      <c r="G9" s="373"/>
    </row>
    <row r="10" spans="1:7" s="697" customFormat="1" x14ac:dyDescent="0.25">
      <c r="A10" s="163">
        <v>37438</v>
      </c>
      <c r="B10" s="164">
        <v>37802</v>
      </c>
      <c r="C10" s="373"/>
      <c r="D10" s="375"/>
      <c r="E10" s="242"/>
      <c r="F10" s="374"/>
      <c r="G10" s="373"/>
    </row>
    <row r="11" spans="1:7" s="697" customFormat="1" x14ac:dyDescent="0.25">
      <c r="A11" s="163">
        <v>37803</v>
      </c>
      <c r="B11" s="164">
        <v>38168</v>
      </c>
      <c r="C11" s="373"/>
      <c r="D11" s="375"/>
      <c r="E11" s="242"/>
      <c r="F11" s="374"/>
      <c r="G11" s="373"/>
    </row>
    <row r="12" spans="1:7" s="697" customFormat="1" x14ac:dyDescent="0.25">
      <c r="A12" s="163">
        <v>38169</v>
      </c>
      <c r="B12" s="164">
        <v>38533</v>
      </c>
      <c r="C12" s="373"/>
      <c r="D12" s="375"/>
      <c r="E12" s="242"/>
      <c r="F12" s="374"/>
      <c r="G12" s="373"/>
    </row>
    <row r="13" spans="1:7" s="697" customFormat="1" x14ac:dyDescent="0.25">
      <c r="A13" s="163">
        <v>38534</v>
      </c>
      <c r="B13" s="164">
        <v>38898</v>
      </c>
      <c r="C13" s="373"/>
      <c r="D13" s="375"/>
      <c r="E13" s="242"/>
      <c r="F13" s="374"/>
      <c r="G13" s="373"/>
    </row>
    <row r="14" spans="1:7" s="697" customFormat="1" x14ac:dyDescent="0.25">
      <c r="A14" s="163">
        <v>38899</v>
      </c>
      <c r="B14" s="164">
        <v>39263</v>
      </c>
      <c r="C14" s="373"/>
      <c r="D14" s="375"/>
      <c r="E14" s="242"/>
      <c r="F14" s="374"/>
      <c r="G14" s="373"/>
    </row>
    <row r="15" spans="1:7" s="697" customFormat="1" x14ac:dyDescent="0.25">
      <c r="A15" s="163">
        <v>39264</v>
      </c>
      <c r="B15" s="164">
        <v>39629</v>
      </c>
      <c r="C15" s="373"/>
      <c r="D15" s="375"/>
      <c r="E15" s="242"/>
      <c r="F15" s="374"/>
      <c r="G15" s="373"/>
    </row>
    <row r="16" spans="1:7" s="697" customFormat="1" x14ac:dyDescent="0.25">
      <c r="A16" s="163">
        <v>39630</v>
      </c>
      <c r="B16" s="164">
        <v>39994</v>
      </c>
      <c r="C16" s="373"/>
      <c r="D16" s="375"/>
      <c r="E16" s="242"/>
      <c r="F16" s="374"/>
      <c r="G16" s="373"/>
    </row>
    <row r="17" spans="1:7" s="697" customFormat="1" x14ac:dyDescent="0.25">
      <c r="A17" s="163">
        <v>39995</v>
      </c>
      <c r="B17" s="164">
        <v>40359</v>
      </c>
      <c r="C17" s="373"/>
      <c r="D17" s="17"/>
      <c r="E17" s="19"/>
      <c r="F17" s="35"/>
      <c r="G17" s="93"/>
    </row>
    <row r="18" spans="1:7" x14ac:dyDescent="0.25">
      <c r="A18" s="163">
        <v>40360</v>
      </c>
      <c r="B18" s="164">
        <v>40724</v>
      </c>
      <c r="C18" s="373">
        <f t="shared" ref="C18:G27" si="0">AnnualAverage($A18,C$7,LISParms,LISDates,LISNames)</f>
        <v>0</v>
      </c>
      <c r="D18" s="17">
        <f t="shared" si="0"/>
        <v>0</v>
      </c>
      <c r="E18" s="19">
        <f t="shared" si="0"/>
        <v>0</v>
      </c>
      <c r="F18" s="35">
        <f t="shared" si="0"/>
        <v>0</v>
      </c>
      <c r="G18" s="93">
        <f t="shared" si="0"/>
        <v>0</v>
      </c>
    </row>
    <row r="19" spans="1:7" x14ac:dyDescent="0.25">
      <c r="A19" s="163">
        <v>40725</v>
      </c>
      <c r="B19" s="164">
        <v>41090</v>
      </c>
      <c r="C19" s="373">
        <f t="shared" si="0"/>
        <v>0</v>
      </c>
      <c r="D19" s="17">
        <f t="shared" si="0"/>
        <v>0</v>
      </c>
      <c r="E19" s="19">
        <f t="shared" si="0"/>
        <v>0</v>
      </c>
      <c r="F19" s="35">
        <f t="shared" si="0"/>
        <v>0</v>
      </c>
      <c r="G19" s="93">
        <f t="shared" si="0"/>
        <v>0</v>
      </c>
    </row>
    <row r="20" spans="1:7" s="5" customFormat="1" x14ac:dyDescent="0.25">
      <c r="A20" s="496">
        <v>41091</v>
      </c>
      <c r="B20" s="497">
        <v>41455</v>
      </c>
      <c r="C20" s="373">
        <f t="shared" si="0"/>
        <v>300</v>
      </c>
      <c r="D20" s="375">
        <f t="shared" si="0"/>
        <v>30000</v>
      </c>
      <c r="E20" s="242">
        <f t="shared" si="0"/>
        <v>45000</v>
      </c>
      <c r="F20" s="374">
        <f t="shared" si="0"/>
        <v>60000</v>
      </c>
      <c r="G20" s="373">
        <f t="shared" si="0"/>
        <v>18000</v>
      </c>
    </row>
    <row r="21" spans="1:7" x14ac:dyDescent="0.25">
      <c r="A21" s="496">
        <v>41456</v>
      </c>
      <c r="B21" s="497">
        <v>41820</v>
      </c>
      <c r="C21" s="373">
        <f t="shared" si="0"/>
        <v>300</v>
      </c>
      <c r="D21" s="375">
        <f t="shared" si="0"/>
        <v>30000</v>
      </c>
      <c r="E21" s="242">
        <f t="shared" si="0"/>
        <v>45000</v>
      </c>
      <c r="F21" s="374">
        <f t="shared" si="0"/>
        <v>60000</v>
      </c>
      <c r="G21" s="373">
        <f t="shared" si="0"/>
        <v>18000</v>
      </c>
    </row>
    <row r="22" spans="1:7" x14ac:dyDescent="0.25">
      <c r="A22" s="496">
        <v>41821</v>
      </c>
      <c r="B22" s="497">
        <v>42185</v>
      </c>
      <c r="C22" s="373">
        <f t="shared" si="0"/>
        <v>300</v>
      </c>
      <c r="D22" s="375">
        <f t="shared" si="0"/>
        <v>30000</v>
      </c>
      <c r="E22" s="242">
        <f t="shared" si="0"/>
        <v>45000</v>
      </c>
      <c r="F22" s="374">
        <f t="shared" si="0"/>
        <v>60000</v>
      </c>
      <c r="G22" s="373">
        <f t="shared" si="0"/>
        <v>18000</v>
      </c>
    </row>
    <row r="23" spans="1:7" x14ac:dyDescent="0.25">
      <c r="A23" s="496">
        <v>42186</v>
      </c>
      <c r="B23" s="497">
        <v>42551</v>
      </c>
      <c r="C23" s="373">
        <f t="shared" si="0"/>
        <v>300</v>
      </c>
      <c r="D23" s="375">
        <f t="shared" si="0"/>
        <v>30000</v>
      </c>
      <c r="E23" s="242">
        <f t="shared" si="0"/>
        <v>45000</v>
      </c>
      <c r="F23" s="374">
        <f t="shared" si="0"/>
        <v>60000</v>
      </c>
      <c r="G23" s="373">
        <f t="shared" si="0"/>
        <v>18000</v>
      </c>
    </row>
    <row r="24" spans="1:7" s="5" customFormat="1" x14ac:dyDescent="0.25">
      <c r="A24" s="496">
        <v>42552</v>
      </c>
      <c r="B24" s="497">
        <v>42916</v>
      </c>
      <c r="C24" s="373">
        <f t="shared" si="0"/>
        <v>300</v>
      </c>
      <c r="D24" s="375">
        <f t="shared" si="0"/>
        <v>30000</v>
      </c>
      <c r="E24" s="242">
        <f t="shared" si="0"/>
        <v>45000</v>
      </c>
      <c r="F24" s="374">
        <f t="shared" si="0"/>
        <v>60000</v>
      </c>
      <c r="G24" s="373">
        <f t="shared" si="0"/>
        <v>18000</v>
      </c>
    </row>
    <row r="25" spans="1:7" x14ac:dyDescent="0.25">
      <c r="A25" s="165">
        <v>42917</v>
      </c>
      <c r="B25" s="166">
        <v>43281</v>
      </c>
      <c r="C25" s="107">
        <f t="shared" si="0"/>
        <v>0</v>
      </c>
      <c r="D25" s="33">
        <f t="shared" si="0"/>
        <v>0</v>
      </c>
      <c r="E25" s="34">
        <f t="shared" si="0"/>
        <v>0</v>
      </c>
      <c r="F25" s="75">
        <f t="shared" si="0"/>
        <v>0</v>
      </c>
      <c r="G25" s="107">
        <f t="shared" si="0"/>
        <v>0</v>
      </c>
    </row>
    <row r="26" spans="1:7" x14ac:dyDescent="0.25">
      <c r="A26" s="165">
        <v>43282</v>
      </c>
      <c r="B26" s="166">
        <v>43646</v>
      </c>
      <c r="C26" s="107">
        <f t="shared" si="0"/>
        <v>0</v>
      </c>
      <c r="D26" s="33">
        <f t="shared" si="0"/>
        <v>0</v>
      </c>
      <c r="E26" s="34">
        <f t="shared" si="0"/>
        <v>0</v>
      </c>
      <c r="F26" s="75">
        <f t="shared" si="0"/>
        <v>0</v>
      </c>
      <c r="G26" s="107">
        <f t="shared" si="0"/>
        <v>0</v>
      </c>
    </row>
    <row r="27" spans="1:7" x14ac:dyDescent="0.25">
      <c r="A27" s="165">
        <v>43647</v>
      </c>
      <c r="B27" s="166">
        <v>44012</v>
      </c>
      <c r="C27" s="107">
        <f t="shared" si="0"/>
        <v>0</v>
      </c>
      <c r="D27" s="33">
        <f t="shared" si="0"/>
        <v>0</v>
      </c>
      <c r="E27" s="34">
        <f t="shared" si="0"/>
        <v>0</v>
      </c>
      <c r="F27" s="75">
        <f t="shared" si="0"/>
        <v>0</v>
      </c>
      <c r="G27" s="107">
        <f t="shared" si="0"/>
        <v>0</v>
      </c>
    </row>
    <row r="28" spans="1:7" x14ac:dyDescent="0.25">
      <c r="A28" s="165">
        <v>44013</v>
      </c>
      <c r="B28" s="166">
        <v>44377</v>
      </c>
      <c r="C28" s="107">
        <f>AnnualAverage($A28,C$7,LISParms,LISDates,LISNames)</f>
        <v>0</v>
      </c>
      <c r="D28" s="33">
        <f>AnnualAverage($A28,D$7,LISParms,LISDates,LISNames)</f>
        <v>0</v>
      </c>
      <c r="E28" s="34">
        <f>AnnualAverage($A28,E$7,LISParms,LISDates,LISNames)</f>
        <v>0</v>
      </c>
      <c r="F28" s="75">
        <f>AnnualAverage($A28,F$7,LISParms,LISDates,LISNames)</f>
        <v>0</v>
      </c>
      <c r="G28" s="107">
        <f>AnnualAverage($A28,G$7,LISParms,LISDates,LISNames)</f>
        <v>0</v>
      </c>
    </row>
  </sheetData>
  <customSheetViews>
    <customSheetView guid="{E49C2F27-B0B9-497E-BEC0-5B59561292FE}" hiddenRows="1" topLeftCell="A2">
      <selection activeCell="F23" sqref="F23"/>
      <pageMargins left="0.7" right="0.7" top="0.75" bottom="0.75" header="0.3" footer="0.3"/>
    </customSheetView>
    <customSheetView guid="{A5953138-1481-4137-BEAD-32FA4FDF03E6}" topLeftCell="A2">
      <selection activeCell="F23" sqref="F23"/>
      <pageMargins left="0.7" right="0.7" top="0.75" bottom="0.75" header="0.3" footer="0.3"/>
    </customSheetView>
    <customSheetView guid="{2A1F94CA-1A34-4418-88FD-EABF7586C2B2}" hiddenRows="1" topLeftCell="A2">
      <selection activeCell="F23" sqref="F23"/>
      <pageMargins left="0.7" right="0.7" top="0.75" bottom="0.75" header="0.3" footer="0.3"/>
    </customSheetView>
  </customSheetViews>
  <mergeCells count="11">
    <mergeCell ref="A5:A6"/>
    <mergeCell ref="B5:B6"/>
    <mergeCell ref="D5:D6"/>
    <mergeCell ref="E5:E6"/>
    <mergeCell ref="A2:B4"/>
    <mergeCell ref="C2:C3"/>
    <mergeCell ref="D2:G3"/>
    <mergeCell ref="G4:G6"/>
    <mergeCell ref="F5:F6"/>
    <mergeCell ref="C4:C6"/>
    <mergeCell ref="D4:F4"/>
  </mergeCells>
  <pageMargins left="0.7" right="0.7" top="0.75" bottom="0.75" header="0.3" footer="0.3"/>
  <legacyDrawing r:id="rId1"/>
</worksheet>
</file>

<file path=xl/worksheets/sheet3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500-000000000000}">
  <sheetPr codeName="Sheet45">
    <tabColor rgb="FF00B0F0"/>
  </sheetPr>
  <dimension ref="A1:G91"/>
  <sheetViews>
    <sheetView topLeftCell="A2" workbookViewId="0">
      <pane xSplit="2" ySplit="6" topLeftCell="C52" activePane="bottomRight" state="frozen"/>
      <selection activeCell="A2" sqref="A2"/>
      <selection pane="topRight" activeCell="C2" sqref="C2"/>
      <selection pane="bottomLeft" activeCell="A8" sqref="A8"/>
      <selection pane="bottomRight" activeCell="C58" sqref="C58"/>
    </sheetView>
  </sheetViews>
  <sheetFormatPr defaultRowHeight="15" x14ac:dyDescent="0.25"/>
  <cols>
    <col min="1" max="1" width="10.42578125" style="28" customWidth="1"/>
    <col min="2" max="2" width="10.7109375" style="28" bestFit="1" customWidth="1"/>
    <col min="3" max="4" width="16.85546875" style="28" bestFit="1" customWidth="1"/>
    <col min="5" max="16384" width="9.140625" style="28"/>
  </cols>
  <sheetData>
    <row r="1" spans="1:5" s="502" customFormat="1" ht="15.75" hidden="1" thickBot="1" x14ac:dyDescent="0.3"/>
    <row r="2" spans="1:5" x14ac:dyDescent="0.25">
      <c r="A2" s="1164" t="s">
        <v>13</v>
      </c>
      <c r="B2" s="1165"/>
      <c r="C2" s="1268" t="s">
        <v>276</v>
      </c>
      <c r="D2" s="1270"/>
      <c r="E2" s="614" t="s">
        <v>860</v>
      </c>
    </row>
    <row r="3" spans="1:5" x14ac:dyDescent="0.25">
      <c r="A3" s="1215"/>
      <c r="B3" s="1236"/>
      <c r="C3" s="1326"/>
      <c r="D3" s="1327"/>
      <c r="E3" s="614" t="s">
        <v>861</v>
      </c>
    </row>
    <row r="4" spans="1:5" ht="15.75" thickBot="1" x14ac:dyDescent="0.3">
      <c r="A4" s="1215"/>
      <c r="B4" s="1236"/>
      <c r="C4" s="1271"/>
      <c r="D4" s="1273"/>
      <c r="E4" s="614" t="s">
        <v>862</v>
      </c>
    </row>
    <row r="5" spans="1:5" x14ac:dyDescent="0.25">
      <c r="A5" s="1188" t="s">
        <v>69</v>
      </c>
      <c r="B5" s="1176" t="s">
        <v>17</v>
      </c>
      <c r="C5" s="1250" t="s">
        <v>12</v>
      </c>
      <c r="D5" s="1187" t="s">
        <v>11</v>
      </c>
      <c r="E5" s="614" t="s">
        <v>863</v>
      </c>
    </row>
    <row r="6" spans="1:5" ht="15.75" thickBot="1" x14ac:dyDescent="0.3">
      <c r="A6" s="1207"/>
      <c r="B6" s="1177"/>
      <c r="C6" s="1207"/>
      <c r="D6" s="1177"/>
      <c r="E6" s="614" t="s">
        <v>864</v>
      </c>
    </row>
    <row r="7" spans="1:5" ht="18" customHeight="1" thickBot="1" x14ac:dyDescent="0.3">
      <c r="A7" s="713" t="s">
        <v>550</v>
      </c>
      <c r="B7" s="714" t="s">
        <v>551</v>
      </c>
      <c r="C7" s="113" t="s">
        <v>425</v>
      </c>
      <c r="D7" s="84" t="s">
        <v>426</v>
      </c>
    </row>
    <row r="8" spans="1:5" x14ac:dyDescent="0.25">
      <c r="A8" s="161">
        <v>36708</v>
      </c>
      <c r="B8" s="162">
        <v>36788</v>
      </c>
      <c r="C8" s="18"/>
      <c r="D8" s="60"/>
    </row>
    <row r="9" spans="1:5" s="697" customFormat="1" x14ac:dyDescent="0.25">
      <c r="A9" s="163">
        <v>36789</v>
      </c>
      <c r="B9" s="164">
        <v>36891</v>
      </c>
      <c r="C9" s="17"/>
      <c r="D9" s="35"/>
    </row>
    <row r="10" spans="1:5" s="697" customFormat="1" x14ac:dyDescent="0.25">
      <c r="A10" s="163">
        <v>36892</v>
      </c>
      <c r="B10" s="164">
        <v>36969</v>
      </c>
      <c r="C10" s="17"/>
      <c r="D10" s="35"/>
      <c r="E10" s="999"/>
    </row>
    <row r="11" spans="1:5" s="697" customFormat="1" ht="15.75" thickBot="1" x14ac:dyDescent="0.3">
      <c r="A11" s="180">
        <v>36970</v>
      </c>
      <c r="B11" s="181">
        <v>37072</v>
      </c>
      <c r="C11" s="65"/>
      <c r="D11" s="69"/>
      <c r="E11" s="999"/>
    </row>
    <row r="12" spans="1:5" s="697" customFormat="1" x14ac:dyDescent="0.25">
      <c r="A12" s="161">
        <v>37073</v>
      </c>
      <c r="B12" s="162">
        <v>37153</v>
      </c>
      <c r="C12" s="18"/>
      <c r="D12" s="60"/>
      <c r="E12" s="999"/>
    </row>
    <row r="13" spans="1:5" s="697" customFormat="1" x14ac:dyDescent="0.25">
      <c r="A13" s="163">
        <v>37154</v>
      </c>
      <c r="B13" s="164">
        <v>37256</v>
      </c>
      <c r="C13" s="17"/>
      <c r="D13" s="35"/>
    </row>
    <row r="14" spans="1:5" s="697" customFormat="1" x14ac:dyDescent="0.25">
      <c r="A14" s="163">
        <v>37257</v>
      </c>
      <c r="B14" s="164">
        <v>37334</v>
      </c>
      <c r="C14" s="17"/>
      <c r="D14" s="35"/>
    </row>
    <row r="15" spans="1:5" s="697" customFormat="1" ht="15.75" thickBot="1" x14ac:dyDescent="0.3">
      <c r="A15" s="180">
        <v>37335</v>
      </c>
      <c r="B15" s="181">
        <v>37437</v>
      </c>
      <c r="C15" s="65"/>
      <c r="D15" s="69"/>
    </row>
    <row r="16" spans="1:5" s="697" customFormat="1" x14ac:dyDescent="0.25">
      <c r="A16" s="161">
        <v>37438</v>
      </c>
      <c r="B16" s="162">
        <v>37518</v>
      </c>
      <c r="C16" s="18"/>
      <c r="D16" s="60"/>
    </row>
    <row r="17" spans="1:4" s="697" customFormat="1" x14ac:dyDescent="0.25">
      <c r="A17" s="163">
        <v>37519</v>
      </c>
      <c r="B17" s="164">
        <v>37621</v>
      </c>
      <c r="C17" s="17"/>
      <c r="D17" s="35"/>
    </row>
    <row r="18" spans="1:4" s="697" customFormat="1" x14ac:dyDescent="0.25">
      <c r="A18" s="163">
        <v>37622</v>
      </c>
      <c r="B18" s="164">
        <v>37699</v>
      </c>
      <c r="C18" s="17"/>
      <c r="D18" s="35"/>
    </row>
    <row r="19" spans="1:4" s="697" customFormat="1" ht="15.75" thickBot="1" x14ac:dyDescent="0.3">
      <c r="A19" s="180">
        <v>37700</v>
      </c>
      <c r="B19" s="181">
        <v>37802</v>
      </c>
      <c r="C19" s="65"/>
      <c r="D19" s="69"/>
    </row>
    <row r="20" spans="1:4" s="697" customFormat="1" x14ac:dyDescent="0.25">
      <c r="A20" s="161">
        <v>37803</v>
      </c>
      <c r="B20" s="162">
        <v>37883</v>
      </c>
      <c r="C20" s="18"/>
      <c r="D20" s="60"/>
    </row>
    <row r="21" spans="1:4" s="697" customFormat="1" x14ac:dyDescent="0.25">
      <c r="A21" s="163">
        <v>37884</v>
      </c>
      <c r="B21" s="164">
        <v>37986</v>
      </c>
      <c r="C21" s="17"/>
      <c r="D21" s="35"/>
    </row>
    <row r="22" spans="1:4" s="697" customFormat="1" x14ac:dyDescent="0.25">
      <c r="A22" s="163">
        <v>37987</v>
      </c>
      <c r="B22" s="164">
        <v>38065</v>
      </c>
      <c r="C22" s="17"/>
      <c r="D22" s="35"/>
    </row>
    <row r="23" spans="1:4" s="697" customFormat="1" ht="15.75" thickBot="1" x14ac:dyDescent="0.3">
      <c r="A23" s="180">
        <v>38066</v>
      </c>
      <c r="B23" s="181">
        <v>38168</v>
      </c>
      <c r="C23" s="65"/>
      <c r="D23" s="69"/>
    </row>
    <row r="24" spans="1:4" s="697" customFormat="1" x14ac:dyDescent="0.25">
      <c r="A24" s="161">
        <v>38169</v>
      </c>
      <c r="B24" s="162">
        <v>38249</v>
      </c>
      <c r="C24" s="18"/>
      <c r="D24" s="60"/>
    </row>
    <row r="25" spans="1:4" s="697" customFormat="1" x14ac:dyDescent="0.25">
      <c r="A25" s="163">
        <v>38250</v>
      </c>
      <c r="B25" s="164">
        <v>38352</v>
      </c>
      <c r="C25" s="17"/>
      <c r="D25" s="35"/>
    </row>
    <row r="26" spans="1:4" s="697" customFormat="1" x14ac:dyDescent="0.25">
      <c r="A26" s="163">
        <v>38353</v>
      </c>
      <c r="B26" s="164">
        <v>38430</v>
      </c>
      <c r="C26" s="17"/>
      <c r="D26" s="35"/>
    </row>
    <row r="27" spans="1:4" s="697" customFormat="1" ht="15.75" thickBot="1" x14ac:dyDescent="0.3">
      <c r="A27" s="180">
        <v>38431</v>
      </c>
      <c r="B27" s="181">
        <v>38533</v>
      </c>
      <c r="C27" s="65"/>
      <c r="D27" s="69"/>
    </row>
    <row r="28" spans="1:4" s="697" customFormat="1" x14ac:dyDescent="0.25">
      <c r="A28" s="161">
        <v>38534</v>
      </c>
      <c r="B28" s="162">
        <v>38614</v>
      </c>
      <c r="C28" s="18"/>
      <c r="D28" s="60"/>
    </row>
    <row r="29" spans="1:4" s="697" customFormat="1" x14ac:dyDescent="0.25">
      <c r="A29" s="163">
        <v>38615</v>
      </c>
      <c r="B29" s="164">
        <v>38717</v>
      </c>
      <c r="C29" s="17"/>
      <c r="D29" s="35"/>
    </row>
    <row r="30" spans="1:4" s="697" customFormat="1" x14ac:dyDescent="0.25">
      <c r="A30" s="163">
        <v>38718</v>
      </c>
      <c r="B30" s="164">
        <v>38795</v>
      </c>
      <c r="C30" s="17"/>
      <c r="D30" s="35"/>
    </row>
    <row r="31" spans="1:4" s="697" customFormat="1" ht="15.75" thickBot="1" x14ac:dyDescent="0.3">
      <c r="A31" s="180">
        <v>38796</v>
      </c>
      <c r="B31" s="181">
        <v>38898</v>
      </c>
      <c r="C31" s="65"/>
      <c r="D31" s="69"/>
    </row>
    <row r="32" spans="1:4" s="697" customFormat="1" x14ac:dyDescent="0.25">
      <c r="A32" s="161">
        <v>38899</v>
      </c>
      <c r="B32" s="162">
        <v>38979</v>
      </c>
      <c r="C32" s="18"/>
      <c r="D32" s="60"/>
    </row>
    <row r="33" spans="1:4" s="697" customFormat="1" x14ac:dyDescent="0.25">
      <c r="A33" s="163">
        <v>38980</v>
      </c>
      <c r="B33" s="164">
        <v>39082</v>
      </c>
      <c r="C33" s="17"/>
      <c r="D33" s="35"/>
    </row>
    <row r="34" spans="1:4" s="697" customFormat="1" x14ac:dyDescent="0.25">
      <c r="A34" s="163">
        <v>39083</v>
      </c>
      <c r="B34" s="164">
        <v>39160</v>
      </c>
      <c r="C34" s="17"/>
      <c r="D34" s="35"/>
    </row>
    <row r="35" spans="1:4" s="697" customFormat="1" ht="15.75" thickBot="1" x14ac:dyDescent="0.3">
      <c r="A35" s="180">
        <v>39161</v>
      </c>
      <c r="B35" s="181">
        <v>39263</v>
      </c>
      <c r="C35" s="65"/>
      <c r="D35" s="69"/>
    </row>
    <row r="36" spans="1:4" s="697" customFormat="1" x14ac:dyDescent="0.25">
      <c r="A36" s="161">
        <v>39264</v>
      </c>
      <c r="B36" s="162">
        <v>39344</v>
      </c>
      <c r="C36" s="18"/>
      <c r="D36" s="60"/>
    </row>
    <row r="37" spans="1:4" s="697" customFormat="1" x14ac:dyDescent="0.25">
      <c r="A37" s="163">
        <v>39345</v>
      </c>
      <c r="B37" s="164">
        <v>39447</v>
      </c>
      <c r="C37" s="17"/>
      <c r="D37" s="35"/>
    </row>
    <row r="38" spans="1:4" s="697" customFormat="1" x14ac:dyDescent="0.25">
      <c r="A38" s="163">
        <v>39448</v>
      </c>
      <c r="B38" s="164">
        <v>39526</v>
      </c>
      <c r="C38" s="17"/>
      <c r="D38" s="35"/>
    </row>
    <row r="39" spans="1:4" s="697" customFormat="1" ht="15.75" thickBot="1" x14ac:dyDescent="0.3">
      <c r="A39" s="180">
        <v>39527</v>
      </c>
      <c r="B39" s="181">
        <v>39629</v>
      </c>
      <c r="C39" s="65"/>
      <c r="D39" s="69"/>
    </row>
    <row r="40" spans="1:4" s="697" customFormat="1" x14ac:dyDescent="0.25">
      <c r="A40" s="161">
        <v>39630</v>
      </c>
      <c r="B40" s="162">
        <v>39710</v>
      </c>
      <c r="C40" s="18"/>
      <c r="D40" s="60"/>
    </row>
    <row r="41" spans="1:4" s="697" customFormat="1" x14ac:dyDescent="0.25">
      <c r="A41" s="163">
        <v>39711</v>
      </c>
      <c r="B41" s="164">
        <v>39813</v>
      </c>
      <c r="C41" s="17"/>
      <c r="D41" s="35"/>
    </row>
    <row r="42" spans="1:4" s="697" customFormat="1" x14ac:dyDescent="0.25">
      <c r="A42" s="163">
        <v>39814</v>
      </c>
      <c r="B42" s="164">
        <v>39891</v>
      </c>
      <c r="C42" s="17"/>
      <c r="D42" s="35"/>
    </row>
    <row r="43" spans="1:4" s="697" customFormat="1" ht="15.75" thickBot="1" x14ac:dyDescent="0.3">
      <c r="A43" s="180">
        <v>39892</v>
      </c>
      <c r="B43" s="181">
        <v>39994</v>
      </c>
      <c r="C43" s="65"/>
      <c r="D43" s="69"/>
    </row>
    <row r="44" spans="1:4" s="697" customFormat="1" x14ac:dyDescent="0.25">
      <c r="A44" s="161">
        <v>39995</v>
      </c>
      <c r="B44" s="162">
        <v>40075</v>
      </c>
      <c r="C44" s="18"/>
      <c r="D44" s="60"/>
    </row>
    <row r="45" spans="1:4" s="697" customFormat="1" x14ac:dyDescent="0.25">
      <c r="A45" s="163">
        <v>40076</v>
      </c>
      <c r="B45" s="164">
        <v>40178</v>
      </c>
      <c r="C45" s="17"/>
      <c r="D45" s="35"/>
    </row>
    <row r="46" spans="1:4" s="697" customFormat="1" x14ac:dyDescent="0.25">
      <c r="A46" s="163">
        <v>40179</v>
      </c>
      <c r="B46" s="164">
        <v>40256</v>
      </c>
      <c r="C46" s="17"/>
      <c r="D46" s="35"/>
    </row>
    <row r="47" spans="1:4" s="697" customFormat="1" ht="15.75" thickBot="1" x14ac:dyDescent="0.3">
      <c r="A47" s="180">
        <v>40257</v>
      </c>
      <c r="B47" s="181">
        <v>40359</v>
      </c>
      <c r="C47" s="65"/>
      <c r="D47" s="69"/>
    </row>
    <row r="48" spans="1:4" s="697" customFormat="1" x14ac:dyDescent="0.25">
      <c r="A48" s="161">
        <v>40360</v>
      </c>
      <c r="B48" s="162">
        <v>40440</v>
      </c>
      <c r="C48" s="18"/>
      <c r="D48" s="60"/>
    </row>
    <row r="49" spans="1:7" x14ac:dyDescent="0.25">
      <c r="A49" s="163">
        <v>40441</v>
      </c>
      <c r="B49" s="164">
        <v>40543</v>
      </c>
      <c r="C49" s="17"/>
      <c r="D49" s="35"/>
    </row>
    <row r="50" spans="1:7" x14ac:dyDescent="0.25">
      <c r="A50" s="163">
        <v>40544</v>
      </c>
      <c r="B50" s="164">
        <v>40621</v>
      </c>
      <c r="C50" s="17"/>
      <c r="D50" s="35"/>
    </row>
    <row r="51" spans="1:7" ht="15.75" thickBot="1" x14ac:dyDescent="0.3">
      <c r="A51" s="180">
        <v>40622</v>
      </c>
      <c r="B51" s="181">
        <v>40724</v>
      </c>
      <c r="C51" s="65"/>
      <c r="D51" s="69"/>
    </row>
    <row r="52" spans="1:7" x14ac:dyDescent="0.25">
      <c r="A52" s="161">
        <v>40725</v>
      </c>
      <c r="B52" s="162">
        <v>40805</v>
      </c>
      <c r="C52" s="18"/>
      <c r="D52" s="60"/>
    </row>
    <row r="53" spans="1:7" x14ac:dyDescent="0.25">
      <c r="A53" s="163">
        <v>40806</v>
      </c>
      <c r="B53" s="164">
        <v>40908</v>
      </c>
      <c r="C53" s="17"/>
      <c r="D53" s="35"/>
    </row>
    <row r="54" spans="1:7" x14ac:dyDescent="0.25">
      <c r="A54" s="163">
        <v>40909</v>
      </c>
      <c r="B54" s="164">
        <v>40987</v>
      </c>
      <c r="C54" s="17"/>
      <c r="D54" s="35"/>
    </row>
    <row r="55" spans="1:7" ht="15.75" thickBot="1" x14ac:dyDescent="0.3">
      <c r="A55" s="180">
        <v>40988</v>
      </c>
      <c r="B55" s="181">
        <v>41090</v>
      </c>
      <c r="C55" s="65"/>
      <c r="D55" s="69"/>
    </row>
    <row r="56" spans="1:7" x14ac:dyDescent="0.25">
      <c r="A56" s="161">
        <v>41091</v>
      </c>
      <c r="B56" s="162">
        <v>41171</v>
      </c>
      <c r="C56" s="18"/>
      <c r="D56" s="60"/>
    </row>
    <row r="57" spans="1:7" x14ac:dyDescent="0.25">
      <c r="A57" s="163">
        <v>41172</v>
      </c>
      <c r="B57" s="164">
        <v>41274</v>
      </c>
      <c r="C57" s="17"/>
      <c r="D57" s="35"/>
    </row>
    <row r="58" spans="1:7" s="5" customFormat="1" x14ac:dyDescent="0.25">
      <c r="A58" s="496">
        <v>41275</v>
      </c>
      <c r="B58" s="497">
        <v>41352</v>
      </c>
      <c r="C58" s="375">
        <v>105</v>
      </c>
      <c r="D58" s="374">
        <v>87.5</v>
      </c>
      <c r="F58" s="483"/>
    </row>
    <row r="59" spans="1:7" s="5" customFormat="1" ht="15.75" thickBot="1" x14ac:dyDescent="0.3">
      <c r="A59" s="538">
        <v>41353</v>
      </c>
      <c r="B59" s="539">
        <v>41455</v>
      </c>
      <c r="C59" s="375">
        <v>105</v>
      </c>
      <c r="D59" s="374">
        <v>87.5</v>
      </c>
      <c r="F59" s="483"/>
      <c r="G59" s="483"/>
    </row>
    <row r="60" spans="1:7" x14ac:dyDescent="0.25">
      <c r="A60" s="531">
        <v>41456</v>
      </c>
      <c r="B60" s="532">
        <v>41536</v>
      </c>
      <c r="C60" s="18">
        <f>IndexAmt(C59,"peCpiFp",$B59,0.1,6)</f>
        <v>105.80000000000001</v>
      </c>
      <c r="D60" s="60">
        <f>IndexAmt(D59,"peCpiFp",$B59,0.1,6)</f>
        <v>88.2</v>
      </c>
      <c r="F60" s="483"/>
      <c r="G60" s="483"/>
    </row>
    <row r="61" spans="1:7" x14ac:dyDescent="0.25">
      <c r="A61" s="496">
        <v>41537</v>
      </c>
      <c r="B61" s="497">
        <v>41639</v>
      </c>
      <c r="C61" s="17">
        <f>C60</f>
        <v>105.80000000000001</v>
      </c>
      <c r="D61" s="35">
        <f>D60</f>
        <v>88.2</v>
      </c>
      <c r="F61" s="483"/>
      <c r="G61" s="483"/>
    </row>
    <row r="62" spans="1:7" x14ac:dyDescent="0.25">
      <c r="A62" s="496">
        <v>41640</v>
      </c>
      <c r="B62" s="497">
        <v>41717</v>
      </c>
      <c r="C62" s="17">
        <f>IndexAmt(C61,"peCpiFp",$B61,0.1,6)</f>
        <v>107.80000000000001</v>
      </c>
      <c r="D62" s="35">
        <f>IndexAmt(D61,"peCpiFp",$B61,0.1,6)</f>
        <v>89.9</v>
      </c>
      <c r="F62" s="483"/>
      <c r="G62" s="483"/>
    </row>
    <row r="63" spans="1:7" ht="15.75" thickBot="1" x14ac:dyDescent="0.3">
      <c r="A63" s="538">
        <v>41718</v>
      </c>
      <c r="B63" s="539">
        <v>41820</v>
      </c>
      <c r="C63" s="65">
        <f>C62</f>
        <v>107.80000000000001</v>
      </c>
      <c r="D63" s="69">
        <f>D62</f>
        <v>89.9</v>
      </c>
      <c r="F63" s="483"/>
      <c r="G63" s="483"/>
    </row>
    <row r="64" spans="1:7" x14ac:dyDescent="0.25">
      <c r="A64" s="531">
        <v>41821</v>
      </c>
      <c r="B64" s="532">
        <v>41901</v>
      </c>
      <c r="C64" s="18">
        <f>IndexAmt(C63,"peCpiFp",$B63,0.1,6)</f>
        <v>108.9</v>
      </c>
      <c r="D64" s="60">
        <f>IndexAmt(D63,"peCpiFp",$B63,0.1,6)</f>
        <v>90.800000000000011</v>
      </c>
      <c r="F64" s="483"/>
      <c r="G64" s="483"/>
    </row>
    <row r="65" spans="1:7" x14ac:dyDescent="0.25">
      <c r="A65" s="496">
        <v>41902</v>
      </c>
      <c r="B65" s="497">
        <v>42004</v>
      </c>
      <c r="C65" s="17">
        <f>C64</f>
        <v>108.9</v>
      </c>
      <c r="D65" s="35">
        <f>D64</f>
        <v>90.800000000000011</v>
      </c>
      <c r="F65" s="483"/>
      <c r="G65" s="483"/>
    </row>
    <row r="66" spans="1:7" x14ac:dyDescent="0.25">
      <c r="A66" s="496">
        <v>42005</v>
      </c>
      <c r="B66" s="497">
        <v>42082</v>
      </c>
      <c r="C66" s="17">
        <f>IndexAmt(C65,"peCpiFp",$B65,0.1,6)</f>
        <v>109.7</v>
      </c>
      <c r="D66" s="35">
        <f>IndexAmt(D65,"peCpiFp",$B65,0.1,6)</f>
        <v>91.4</v>
      </c>
      <c r="F66" s="483"/>
      <c r="G66" s="483"/>
    </row>
    <row r="67" spans="1:7" ht="15.75" thickBot="1" x14ac:dyDescent="0.3">
      <c r="A67" s="538">
        <v>42083</v>
      </c>
      <c r="B67" s="539">
        <v>42185</v>
      </c>
      <c r="C67" s="65">
        <f>C66</f>
        <v>109.7</v>
      </c>
      <c r="D67" s="69">
        <f>D66</f>
        <v>91.4</v>
      </c>
      <c r="F67" s="483"/>
      <c r="G67" s="483"/>
    </row>
    <row r="68" spans="1:7" x14ac:dyDescent="0.25">
      <c r="A68" s="531">
        <v>42186</v>
      </c>
      <c r="B68" s="532">
        <v>42266</v>
      </c>
      <c r="C68" s="18">
        <f>IndexAmt(C67,"peCpiFp",$B67,0.1,6)</f>
        <v>110.60000000000001</v>
      </c>
      <c r="D68" s="60">
        <f>IndexAmt(D67,"peCpiFp",$B67,0.1,6)</f>
        <v>92.100000000000009</v>
      </c>
      <c r="F68" s="483"/>
      <c r="G68" s="483"/>
    </row>
    <row r="69" spans="1:7" x14ac:dyDescent="0.25">
      <c r="A69" s="496">
        <v>42267</v>
      </c>
      <c r="B69" s="497">
        <v>42369</v>
      </c>
      <c r="C69" s="17">
        <f>C68</f>
        <v>110.60000000000001</v>
      </c>
      <c r="D69" s="35">
        <f>D68</f>
        <v>92.100000000000009</v>
      </c>
      <c r="F69" s="483"/>
      <c r="G69" s="483"/>
    </row>
    <row r="70" spans="1:7" x14ac:dyDescent="0.25">
      <c r="A70" s="1001">
        <v>42370</v>
      </c>
      <c r="B70" s="1002">
        <v>42448</v>
      </c>
      <c r="C70" s="1003">
        <f>IndexAmt(C69,"peCpiFp",$B69,0.1,6)</f>
        <v>111.5</v>
      </c>
      <c r="D70" s="1004">
        <f>IndexAmt(D69,"peCpiFp",$B69,0.1,6)</f>
        <v>92.800000000000011</v>
      </c>
      <c r="F70" s="483"/>
      <c r="G70" s="483"/>
    </row>
    <row r="71" spans="1:7" ht="15.75" thickBot="1" x14ac:dyDescent="0.3">
      <c r="A71" s="538">
        <v>42449</v>
      </c>
      <c r="B71" s="539">
        <v>42551</v>
      </c>
      <c r="C71" s="540">
        <f>C70</f>
        <v>111.5</v>
      </c>
      <c r="D71" s="541">
        <f>D70</f>
        <v>92.800000000000011</v>
      </c>
      <c r="F71" s="483"/>
      <c r="G71" s="483"/>
    </row>
    <row r="72" spans="1:7" x14ac:dyDescent="0.25">
      <c r="A72" s="531">
        <v>42552</v>
      </c>
      <c r="B72" s="532">
        <v>42632</v>
      </c>
      <c r="C72" s="534">
        <f>IndexAmt(C71,"peCpiFp",$B71,0.1,6)</f>
        <v>111.7</v>
      </c>
      <c r="D72" s="535">
        <f>IndexAmt(D71,"peCpiFp",$B71,0.1,6)</f>
        <v>93</v>
      </c>
      <c r="F72" s="483"/>
      <c r="G72" s="483"/>
    </row>
    <row r="73" spans="1:7" x14ac:dyDescent="0.25">
      <c r="A73" s="496">
        <v>42633</v>
      </c>
      <c r="B73" s="497">
        <v>42735</v>
      </c>
      <c r="C73" s="375">
        <f>C72</f>
        <v>111.7</v>
      </c>
      <c r="D73" s="374">
        <f>D72</f>
        <v>93</v>
      </c>
      <c r="F73" s="483"/>
      <c r="G73" s="483"/>
    </row>
    <row r="74" spans="1:7" x14ac:dyDescent="0.25">
      <c r="A74" s="496">
        <v>42736</v>
      </c>
      <c r="B74" s="497">
        <v>42813</v>
      </c>
      <c r="C74" s="375"/>
      <c r="D74" s="374"/>
    </row>
    <row r="75" spans="1:7" s="5" customFormat="1" ht="15.75" thickBot="1" x14ac:dyDescent="0.3">
      <c r="A75" s="538">
        <v>42814</v>
      </c>
      <c r="B75" s="539">
        <v>42916</v>
      </c>
      <c r="C75" s="540"/>
      <c r="D75" s="541"/>
    </row>
    <row r="76" spans="1:7" x14ac:dyDescent="0.25">
      <c r="A76" s="531">
        <v>42917</v>
      </c>
      <c r="B76" s="532">
        <v>42997</v>
      </c>
      <c r="C76" s="534"/>
      <c r="D76" s="535"/>
    </row>
    <row r="77" spans="1:7" x14ac:dyDescent="0.25">
      <c r="A77" s="165">
        <v>42998</v>
      </c>
      <c r="B77" s="166">
        <v>43100</v>
      </c>
      <c r="C77" s="33"/>
      <c r="D77" s="75"/>
    </row>
    <row r="78" spans="1:7" x14ac:dyDescent="0.25">
      <c r="A78" s="165">
        <v>43101</v>
      </c>
      <c r="B78" s="166">
        <v>43178</v>
      </c>
      <c r="C78" s="33"/>
      <c r="D78" s="75"/>
    </row>
    <row r="79" spans="1:7" ht="15.75" thickBot="1" x14ac:dyDescent="0.3">
      <c r="A79" s="167">
        <v>43179</v>
      </c>
      <c r="B79" s="168">
        <v>43281</v>
      </c>
      <c r="C79" s="77"/>
      <c r="D79" s="79"/>
    </row>
    <row r="80" spans="1:7" x14ac:dyDescent="0.25">
      <c r="A80" s="169">
        <v>43282</v>
      </c>
      <c r="B80" s="170">
        <v>43362</v>
      </c>
      <c r="C80" s="188"/>
      <c r="D80" s="172"/>
    </row>
    <row r="81" spans="1:4" x14ac:dyDescent="0.25">
      <c r="A81" s="165">
        <v>43363</v>
      </c>
      <c r="B81" s="166">
        <v>43465</v>
      </c>
      <c r="C81" s="33"/>
      <c r="D81" s="75"/>
    </row>
    <row r="82" spans="1:4" x14ac:dyDescent="0.25">
      <c r="A82" s="165">
        <v>43466</v>
      </c>
      <c r="B82" s="166">
        <v>43543</v>
      </c>
      <c r="C82" s="33"/>
      <c r="D82" s="75"/>
    </row>
    <row r="83" spans="1:4" ht="15.75" thickBot="1" x14ac:dyDescent="0.3">
      <c r="A83" s="167">
        <v>43544</v>
      </c>
      <c r="B83" s="168">
        <v>43646</v>
      </c>
      <c r="C83" s="77"/>
      <c r="D83" s="79"/>
    </row>
    <row r="84" spans="1:4" x14ac:dyDescent="0.25">
      <c r="A84" s="169">
        <v>43647</v>
      </c>
      <c r="B84" s="170">
        <v>43727</v>
      </c>
      <c r="C84" s="188"/>
      <c r="D84" s="172"/>
    </row>
    <row r="85" spans="1:4" x14ac:dyDescent="0.25">
      <c r="A85" s="165">
        <v>43728</v>
      </c>
      <c r="B85" s="166">
        <v>43830</v>
      </c>
      <c r="C85" s="33"/>
      <c r="D85" s="75"/>
    </row>
    <row r="86" spans="1:4" x14ac:dyDescent="0.25">
      <c r="A86" s="165">
        <v>43831</v>
      </c>
      <c r="B86" s="166">
        <v>43909</v>
      </c>
      <c r="C86" s="33"/>
      <c r="D86" s="75"/>
    </row>
    <row r="87" spans="1:4" ht="15.75" thickBot="1" x14ac:dyDescent="0.3">
      <c r="A87" s="167">
        <v>43910</v>
      </c>
      <c r="B87" s="168">
        <v>44012</v>
      </c>
      <c r="C87" s="77"/>
      <c r="D87" s="79"/>
    </row>
    <row r="88" spans="1:4" x14ac:dyDescent="0.25">
      <c r="A88" s="169">
        <v>44013</v>
      </c>
      <c r="B88" s="170">
        <v>44093</v>
      </c>
      <c r="C88" s="188"/>
      <c r="D88" s="172"/>
    </row>
    <row r="89" spans="1:4" x14ac:dyDescent="0.25">
      <c r="A89" s="165">
        <v>44094</v>
      </c>
      <c r="B89" s="166">
        <v>44196</v>
      </c>
      <c r="C89" s="33"/>
      <c r="D89" s="75"/>
    </row>
    <row r="90" spans="1:4" x14ac:dyDescent="0.25">
      <c r="A90" s="165">
        <v>44197</v>
      </c>
      <c r="B90" s="166">
        <v>44274</v>
      </c>
      <c r="C90" s="33"/>
      <c r="D90" s="75"/>
    </row>
    <row r="91" spans="1:4" ht="15.75" thickBot="1" x14ac:dyDescent="0.3">
      <c r="A91" s="167">
        <v>44275</v>
      </c>
      <c r="B91" s="168">
        <v>44377</v>
      </c>
      <c r="C91" s="77"/>
      <c r="D91" s="79"/>
    </row>
  </sheetData>
  <customSheetViews>
    <customSheetView guid="{E49C2F27-B0B9-497E-BEC0-5B59561292FE}" hiddenRows="1" topLeftCell="A2">
      <pane xSplit="2" ySplit="6" topLeftCell="C47" activePane="bottomRight" state="frozen"/>
      <selection pane="bottomRight" activeCell="D71" sqref="D68:D71"/>
      <pageMargins left="0.7" right="0.7" top="0.75" bottom="0.75" header="0.3" footer="0.3"/>
    </customSheetView>
    <customSheetView guid="{A5953138-1481-4137-BEAD-32FA4FDF03E6}" topLeftCell="A2">
      <pane xSplit="2" ySplit="6" topLeftCell="C47" activePane="bottomRight" state="frozen"/>
      <selection pane="bottomRight" activeCell="D71" sqref="D68:D71"/>
      <pageMargins left="0.7" right="0.7" top="0.75" bottom="0.75" header="0.3" footer="0.3"/>
    </customSheetView>
    <customSheetView guid="{2A1F94CA-1A34-4418-88FD-EABF7586C2B2}" hiddenRows="1" topLeftCell="A2">
      <pane xSplit="2" ySplit="6" topLeftCell="C47" activePane="bottomRight" state="frozen"/>
      <selection pane="bottomRight" activeCell="D71" sqref="D68:D71"/>
      <pageMargins left="0.7" right="0.7" top="0.75" bottom="0.75" header="0.3" footer="0.3"/>
    </customSheetView>
  </customSheetViews>
  <mergeCells count="6">
    <mergeCell ref="A2:B4"/>
    <mergeCell ref="C2:D4"/>
    <mergeCell ref="A5:A6"/>
    <mergeCell ref="B5:B6"/>
    <mergeCell ref="C5:C6"/>
    <mergeCell ref="D5:D6"/>
  </mergeCells>
  <pageMargins left="0.7" right="0.7" top="0.75" bottom="0.75" header="0.3" footer="0.3"/>
  <legacyDrawing r:id="rId1"/>
</worksheet>
</file>

<file path=xl/worksheets/sheet3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600-000000000000}">
  <sheetPr codeName="Sheet46">
    <tabColor rgb="FF00B0F0"/>
  </sheetPr>
  <dimension ref="A1:G28"/>
  <sheetViews>
    <sheetView workbookViewId="0">
      <selection activeCell="I40" sqref="I40"/>
    </sheetView>
  </sheetViews>
  <sheetFormatPr defaultRowHeight="15" x14ac:dyDescent="0.25"/>
  <cols>
    <col min="1" max="1" width="9.7109375" style="28" bestFit="1" customWidth="1"/>
    <col min="2" max="2" width="10.7109375" style="28" bestFit="1" customWidth="1"/>
    <col min="3" max="4" width="16.85546875" style="28" bestFit="1" customWidth="1"/>
    <col min="5" max="16384" width="9.140625" style="28"/>
  </cols>
  <sheetData>
    <row r="1" spans="1:4" x14ac:dyDescent="0.25">
      <c r="A1" s="1164" t="s">
        <v>13</v>
      </c>
      <c r="B1" s="1165"/>
      <c r="C1" s="1268" t="s">
        <v>276</v>
      </c>
      <c r="D1" s="1270"/>
    </row>
    <row r="2" spans="1:4" x14ac:dyDescent="0.25">
      <c r="A2" s="1215"/>
      <c r="B2" s="1236"/>
      <c r="C2" s="1326"/>
      <c r="D2" s="1327"/>
    </row>
    <row r="3" spans="1:4" ht="15.75" thickBot="1" x14ac:dyDescent="0.3">
      <c r="A3" s="1215"/>
      <c r="B3" s="1236"/>
      <c r="C3" s="1271"/>
      <c r="D3" s="1273"/>
    </row>
    <row r="4" spans="1:4" x14ac:dyDescent="0.25">
      <c r="A4" s="1188" t="s">
        <v>69</v>
      </c>
      <c r="B4" s="1176" t="s">
        <v>17</v>
      </c>
      <c r="C4" s="1250" t="s">
        <v>12</v>
      </c>
      <c r="D4" s="1187" t="s">
        <v>11</v>
      </c>
    </row>
    <row r="5" spans="1:4" s="502" customFormat="1" x14ac:dyDescent="0.25">
      <c r="A5" s="1188"/>
      <c r="B5" s="1176"/>
      <c r="C5" s="1188"/>
      <c r="D5" s="1176"/>
    </row>
    <row r="6" spans="1:4" ht="15.75" thickBot="1" x14ac:dyDescent="0.3">
      <c r="A6" s="1207"/>
      <c r="B6" s="1177"/>
      <c r="C6" s="1207"/>
      <c r="D6" s="1177"/>
    </row>
    <row r="7" spans="1:4" ht="15.75" thickBot="1" x14ac:dyDescent="0.3">
      <c r="A7" s="713" t="s">
        <v>550</v>
      </c>
      <c r="B7" s="714" t="s">
        <v>551</v>
      </c>
      <c r="C7" s="113" t="s">
        <v>425</v>
      </c>
      <c r="D7" s="84" t="s">
        <v>426</v>
      </c>
    </row>
    <row r="8" spans="1:4" s="697" customFormat="1" x14ac:dyDescent="0.25">
      <c r="A8" s="161">
        <v>36708</v>
      </c>
      <c r="B8" s="162">
        <v>37072</v>
      </c>
      <c r="C8" s="17"/>
      <c r="D8" s="35"/>
    </row>
    <row r="9" spans="1:4" s="697" customFormat="1" x14ac:dyDescent="0.25">
      <c r="A9" s="163">
        <v>37073</v>
      </c>
      <c r="B9" s="164">
        <v>37437</v>
      </c>
      <c r="C9" s="17"/>
      <c r="D9" s="35"/>
    </row>
    <row r="10" spans="1:4" s="697" customFormat="1" x14ac:dyDescent="0.25">
      <c r="A10" s="163">
        <v>37438</v>
      </c>
      <c r="B10" s="164">
        <v>37802</v>
      </c>
      <c r="C10" s="17"/>
      <c r="D10" s="35"/>
    </row>
    <row r="11" spans="1:4" s="697" customFormat="1" x14ac:dyDescent="0.25">
      <c r="A11" s="163">
        <v>37803</v>
      </c>
      <c r="B11" s="164">
        <v>38168</v>
      </c>
      <c r="C11" s="17"/>
      <c r="D11" s="35"/>
    </row>
    <row r="12" spans="1:4" s="697" customFormat="1" x14ac:dyDescent="0.25">
      <c r="A12" s="163">
        <v>38169</v>
      </c>
      <c r="B12" s="164">
        <v>38533</v>
      </c>
      <c r="C12" s="17"/>
      <c r="D12" s="35"/>
    </row>
    <row r="13" spans="1:4" s="697" customFormat="1" x14ac:dyDescent="0.25">
      <c r="A13" s="163">
        <v>38534</v>
      </c>
      <c r="B13" s="164">
        <v>38898</v>
      </c>
      <c r="C13" s="17"/>
      <c r="D13" s="35"/>
    </row>
    <row r="14" spans="1:4" s="697" customFormat="1" x14ac:dyDescent="0.25">
      <c r="A14" s="163">
        <v>38899</v>
      </c>
      <c r="B14" s="164">
        <v>39263</v>
      </c>
      <c r="C14" s="17"/>
      <c r="D14" s="35"/>
    </row>
    <row r="15" spans="1:4" s="697" customFormat="1" x14ac:dyDescent="0.25">
      <c r="A15" s="163">
        <v>39264</v>
      </c>
      <c r="B15" s="164">
        <v>39629</v>
      </c>
      <c r="C15" s="17"/>
      <c r="D15" s="35"/>
    </row>
    <row r="16" spans="1:4" s="697" customFormat="1" x14ac:dyDescent="0.25">
      <c r="A16" s="163">
        <v>39630</v>
      </c>
      <c r="B16" s="164">
        <v>39994</v>
      </c>
      <c r="C16" s="17"/>
      <c r="D16" s="35"/>
    </row>
    <row r="17" spans="1:7" s="697" customFormat="1" x14ac:dyDescent="0.25">
      <c r="A17" s="163">
        <v>39995</v>
      </c>
      <c r="B17" s="164">
        <v>40359</v>
      </c>
      <c r="C17" s="17"/>
      <c r="D17" s="35"/>
    </row>
    <row r="18" spans="1:7" x14ac:dyDescent="0.25">
      <c r="A18" s="163">
        <v>40360</v>
      </c>
      <c r="B18" s="164">
        <v>40724</v>
      </c>
      <c r="C18" s="17">
        <f t="shared" ref="C18:D28" si="0">AnnualAverage($A18,C$7,IncomeSupportBonusParms,IncomeSupportBonusDates,IncomeSupportBonusNames)</f>
        <v>0</v>
      </c>
      <c r="D18" s="35">
        <f t="shared" si="0"/>
        <v>0</v>
      </c>
    </row>
    <row r="19" spans="1:7" x14ac:dyDescent="0.25">
      <c r="A19" s="163">
        <v>40725</v>
      </c>
      <c r="B19" s="164">
        <v>41090</v>
      </c>
      <c r="C19" s="17">
        <f t="shared" si="0"/>
        <v>0</v>
      </c>
      <c r="D19" s="35">
        <f t="shared" si="0"/>
        <v>0</v>
      </c>
    </row>
    <row r="20" spans="1:7" s="5" customFormat="1" x14ac:dyDescent="0.25">
      <c r="A20" s="496">
        <v>41091</v>
      </c>
      <c r="B20" s="497">
        <v>41455</v>
      </c>
      <c r="C20" s="375">
        <f t="shared" si="0"/>
        <v>52.5</v>
      </c>
      <c r="D20" s="374">
        <f t="shared" si="0"/>
        <v>43.75</v>
      </c>
    </row>
    <row r="21" spans="1:7" x14ac:dyDescent="0.25">
      <c r="A21" s="496">
        <v>41456</v>
      </c>
      <c r="B21" s="497">
        <v>41820</v>
      </c>
      <c r="C21" s="375">
        <f t="shared" si="0"/>
        <v>106.8</v>
      </c>
      <c r="D21" s="374">
        <f t="shared" si="0"/>
        <v>89.050000000000011</v>
      </c>
      <c r="F21" s="5"/>
      <c r="G21" s="5"/>
    </row>
    <row r="22" spans="1:7" x14ac:dyDescent="0.25">
      <c r="A22" s="496">
        <v>41821</v>
      </c>
      <c r="B22" s="497">
        <v>42185</v>
      </c>
      <c r="C22" s="375">
        <f t="shared" si="0"/>
        <v>109.30000000000001</v>
      </c>
      <c r="D22" s="374">
        <f t="shared" si="0"/>
        <v>91.1</v>
      </c>
      <c r="F22" s="5"/>
      <c r="G22" s="5"/>
    </row>
    <row r="23" spans="1:7" x14ac:dyDescent="0.25">
      <c r="A23" s="496">
        <v>42186</v>
      </c>
      <c r="B23" s="497">
        <v>42551</v>
      </c>
      <c r="C23" s="375">
        <f t="shared" si="0"/>
        <v>111.03333333333333</v>
      </c>
      <c r="D23" s="374">
        <f t="shared" si="0"/>
        <v>92.43703703703703</v>
      </c>
      <c r="F23" s="5"/>
      <c r="G23" s="5"/>
    </row>
    <row r="24" spans="1:7" s="5" customFormat="1" x14ac:dyDescent="0.25">
      <c r="A24" s="496">
        <v>42552</v>
      </c>
      <c r="B24" s="497">
        <v>42916</v>
      </c>
      <c r="C24" s="375">
        <f t="shared" si="0"/>
        <v>55.85</v>
      </c>
      <c r="D24" s="374">
        <f t="shared" si="0"/>
        <v>46.5</v>
      </c>
    </row>
    <row r="25" spans="1:7" x14ac:dyDescent="0.25">
      <c r="A25" s="165">
        <v>42917</v>
      </c>
      <c r="B25" s="166">
        <v>43281</v>
      </c>
      <c r="C25" s="33">
        <f t="shared" si="0"/>
        <v>0</v>
      </c>
      <c r="D25" s="75">
        <f t="shared" si="0"/>
        <v>0</v>
      </c>
    </row>
    <row r="26" spans="1:7" x14ac:dyDescent="0.25">
      <c r="A26" s="165">
        <v>43282</v>
      </c>
      <c r="B26" s="166">
        <v>43646</v>
      </c>
      <c r="C26" s="33">
        <f t="shared" si="0"/>
        <v>0</v>
      </c>
      <c r="D26" s="75">
        <f t="shared" si="0"/>
        <v>0</v>
      </c>
    </row>
    <row r="27" spans="1:7" x14ac:dyDescent="0.25">
      <c r="A27" s="165">
        <v>43647</v>
      </c>
      <c r="B27" s="166">
        <v>44012</v>
      </c>
      <c r="C27" s="33">
        <f t="shared" si="0"/>
        <v>0</v>
      </c>
      <c r="D27" s="75">
        <f t="shared" si="0"/>
        <v>0</v>
      </c>
    </row>
    <row r="28" spans="1:7" x14ac:dyDescent="0.25">
      <c r="A28" s="165">
        <v>44013</v>
      </c>
      <c r="B28" s="166">
        <v>44377</v>
      </c>
      <c r="C28" s="33">
        <f t="shared" si="0"/>
        <v>0</v>
      </c>
      <c r="D28" s="75">
        <f t="shared" si="0"/>
        <v>0</v>
      </c>
    </row>
  </sheetData>
  <customSheetViews>
    <customSheetView guid="{E49C2F27-B0B9-497E-BEC0-5B59561292FE}">
      <selection activeCell="M29" sqref="M29"/>
      <pageMargins left="0.7" right="0.7" top="0.75" bottom="0.75" header="0.3" footer="0.3"/>
    </customSheetView>
    <customSheetView guid="{A5953138-1481-4137-BEAD-32FA4FDF03E6}">
      <selection activeCell="M29" sqref="M29"/>
      <pageMargins left="0.7" right="0.7" top="0.75" bottom="0.75" header="0.3" footer="0.3"/>
    </customSheetView>
    <customSheetView guid="{2A1F94CA-1A34-4418-88FD-EABF7586C2B2}">
      <selection activeCell="M29" sqref="M29"/>
      <pageMargins left="0.7" right="0.7" top="0.75" bottom="0.75" header="0.3" footer="0.3"/>
    </customSheetView>
  </customSheetViews>
  <mergeCells count="6">
    <mergeCell ref="A1:B3"/>
    <mergeCell ref="A4:A6"/>
    <mergeCell ref="B4:B6"/>
    <mergeCell ref="C1:D3"/>
    <mergeCell ref="C4:C6"/>
    <mergeCell ref="D4:D6"/>
  </mergeCells>
  <pageMargins left="0.7" right="0.7" top="0.75" bottom="0.75" header="0.3" footer="0.3"/>
  <legacyDrawing r:id="rId1"/>
</worksheet>
</file>

<file path=xl/worksheets/sheet4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700-000000000000}">
  <sheetPr codeName="Sheet29">
    <tabColor theme="9"/>
  </sheetPr>
  <dimension ref="A1:BJ1468"/>
  <sheetViews>
    <sheetView zoomScaleNormal="100" workbookViewId="0">
      <pane xSplit="2" ySplit="7" topLeftCell="AO67" activePane="bottomRight" state="frozen"/>
      <selection pane="topRight" activeCell="C1" sqref="C1"/>
      <selection pane="bottomLeft" activeCell="A8" sqref="A8"/>
      <selection pane="bottomRight" activeCell="W8" sqref="W8"/>
    </sheetView>
  </sheetViews>
  <sheetFormatPr defaultRowHeight="15" x14ac:dyDescent="0.25"/>
  <cols>
    <col min="1" max="2" width="13.7109375" style="28" customWidth="1"/>
    <col min="3" max="3" width="19.85546875" style="28" bestFit="1" customWidth="1"/>
    <col min="4" max="4" width="19.85546875" style="697" customWidth="1"/>
    <col min="5" max="6" width="12.85546875" style="28" bestFit="1" customWidth="1"/>
    <col min="7" max="7" width="21.85546875" style="28" bestFit="1" customWidth="1"/>
    <col min="8" max="9" width="15.5703125" style="28" bestFit="1" customWidth="1"/>
    <col min="10" max="11" width="16.85546875" style="28" bestFit="1" customWidth="1"/>
    <col min="12" max="12" width="16.85546875" style="16" bestFit="1" customWidth="1"/>
    <col min="13" max="13" width="16.85546875" style="28" bestFit="1" customWidth="1"/>
    <col min="14" max="14" width="18.140625" style="28" bestFit="1" customWidth="1"/>
    <col min="15" max="15" width="16.42578125" style="28" customWidth="1"/>
    <col min="16" max="16" width="30.28515625" style="28" customWidth="1"/>
    <col min="17" max="17" width="16.28515625" style="697" customWidth="1"/>
    <col min="18" max="28" width="19.140625" style="697" customWidth="1"/>
    <col min="29" max="30" width="20.7109375" style="28" customWidth="1"/>
    <col min="31" max="35" width="18.7109375" style="697" customWidth="1"/>
    <col min="36" max="36" width="18.7109375" style="999" customWidth="1"/>
    <col min="37" max="41" width="18.7109375" style="697" customWidth="1"/>
    <col min="42" max="42" width="18.7109375" style="999" customWidth="1"/>
    <col min="43" max="44" width="18.7109375" style="1" customWidth="1"/>
    <col min="45" max="46" width="18.7109375" style="697" customWidth="1"/>
    <col min="47" max="47" width="18.7109375" style="1" customWidth="1"/>
    <col min="48" max="52" width="18.7109375" style="697" customWidth="1"/>
    <col min="53" max="16384" width="9.140625" style="28"/>
  </cols>
  <sheetData>
    <row r="1" spans="1:52" ht="15.75" customHeight="1" thickBot="1" x14ac:dyDescent="0.3">
      <c r="A1" s="1164" t="s">
        <v>13</v>
      </c>
      <c r="B1" s="1165"/>
      <c r="C1" s="1160" t="s">
        <v>146</v>
      </c>
      <c r="D1" s="1161"/>
      <c r="E1" s="1161"/>
      <c r="F1" s="1161"/>
      <c r="G1" s="1161"/>
      <c r="H1" s="1161"/>
      <c r="I1" s="1161"/>
      <c r="J1" s="1161"/>
      <c r="K1" s="1161"/>
      <c r="L1" s="1161"/>
      <c r="M1" s="1161"/>
      <c r="N1" s="1161"/>
      <c r="O1" s="1161"/>
      <c r="P1" s="1161"/>
      <c r="Q1" s="1161"/>
      <c r="R1" s="1161"/>
      <c r="S1" s="1161"/>
      <c r="T1" s="1161"/>
      <c r="U1" s="1161"/>
      <c r="V1" s="1161"/>
      <c r="W1" s="1161"/>
      <c r="X1" s="1161"/>
      <c r="Y1" s="1161"/>
      <c r="Z1" s="1161"/>
      <c r="AA1" s="1161"/>
      <c r="AB1" s="1162"/>
      <c r="AC1" s="1268" t="s">
        <v>162</v>
      </c>
      <c r="AD1" s="1269"/>
      <c r="AE1" s="1344" t="s">
        <v>665</v>
      </c>
      <c r="AF1" s="1345"/>
      <c r="AG1" s="1345"/>
      <c r="AH1" s="1345"/>
      <c r="AI1" s="1345"/>
      <c r="AJ1" s="1345"/>
      <c r="AK1" s="1345"/>
      <c r="AL1" s="1345"/>
      <c r="AM1" s="1345"/>
      <c r="AN1" s="1345"/>
      <c r="AO1" s="1345"/>
      <c r="AP1" s="1345"/>
      <c r="AQ1" s="1345"/>
      <c r="AR1" s="1345"/>
      <c r="AS1" s="1345"/>
      <c r="AT1" s="1345"/>
      <c r="AU1" s="1345"/>
      <c r="AV1" s="1345"/>
      <c r="AW1" s="1345"/>
      <c r="AX1" s="1345"/>
      <c r="AY1" s="1345"/>
      <c r="AZ1" s="1346"/>
    </row>
    <row r="2" spans="1:52" ht="15.75" customHeight="1" thickBot="1" x14ac:dyDescent="0.3">
      <c r="A2" s="1215"/>
      <c r="B2" s="1236"/>
      <c r="C2" s="1258" t="s">
        <v>23</v>
      </c>
      <c r="D2" s="1259"/>
      <c r="E2" s="1259"/>
      <c r="F2" s="1259"/>
      <c r="G2" s="1259"/>
      <c r="H2" s="1260" t="s">
        <v>155</v>
      </c>
      <c r="I2" s="1262"/>
      <c r="J2" s="1258" t="s">
        <v>158</v>
      </c>
      <c r="K2" s="1259"/>
      <c r="L2" s="1259"/>
      <c r="M2" s="1259"/>
      <c r="N2" s="1260" t="s">
        <v>151</v>
      </c>
      <c r="O2" s="1261"/>
      <c r="P2" s="1355" t="s">
        <v>154</v>
      </c>
      <c r="Q2" s="1355" t="s">
        <v>742</v>
      </c>
      <c r="R2" s="1258" t="s">
        <v>710</v>
      </c>
      <c r="S2" s="1259"/>
      <c r="T2" s="1259"/>
      <c r="U2" s="1259"/>
      <c r="V2" s="1259"/>
      <c r="W2" s="1259"/>
      <c r="X2" s="1259"/>
      <c r="Y2" s="1259"/>
      <c r="Z2" s="1259"/>
      <c r="AA2" s="1259"/>
      <c r="AB2" s="1274"/>
      <c r="AC2" s="1271"/>
      <c r="AD2" s="1273"/>
      <c r="AE2" s="1352" t="s">
        <v>666</v>
      </c>
      <c r="AF2" s="1353"/>
      <c r="AG2" s="1354"/>
      <c r="AH2" s="1347" t="s">
        <v>672</v>
      </c>
      <c r="AI2" s="1348"/>
      <c r="AJ2" s="1348"/>
      <c r="AK2" s="1349"/>
      <c r="AL2" s="1352" t="s">
        <v>155</v>
      </c>
      <c r="AM2" s="1353"/>
      <c r="AN2" s="1353"/>
      <c r="AO2" s="1353"/>
      <c r="AP2" s="1353"/>
      <c r="AQ2" s="1353"/>
      <c r="AR2" s="1354"/>
      <c r="AS2" s="1352" t="s">
        <v>667</v>
      </c>
      <c r="AT2" s="1353"/>
      <c r="AU2" s="1353"/>
      <c r="AV2" s="1347" t="s">
        <v>668</v>
      </c>
      <c r="AW2" s="1348"/>
      <c r="AX2" s="1348"/>
      <c r="AY2" s="1348"/>
      <c r="AZ2" s="1349"/>
    </row>
    <row r="3" spans="1:52" ht="15" customHeight="1" thickBot="1" x14ac:dyDescent="0.3">
      <c r="A3" s="1215" t="s">
        <v>16</v>
      </c>
      <c r="B3" s="1236" t="s">
        <v>17</v>
      </c>
      <c r="C3" s="1157" t="s">
        <v>656</v>
      </c>
      <c r="D3" s="1157" t="s">
        <v>657</v>
      </c>
      <c r="E3" s="1254" t="s">
        <v>147</v>
      </c>
      <c r="F3" s="1255"/>
      <c r="G3" s="1157" t="s">
        <v>150</v>
      </c>
      <c r="H3" s="1264"/>
      <c r="I3" s="1265"/>
      <c r="J3" s="1248" t="s">
        <v>156</v>
      </c>
      <c r="K3" s="1239"/>
      <c r="L3" s="1238" t="s">
        <v>157</v>
      </c>
      <c r="M3" s="1239"/>
      <c r="N3" s="1263"/>
      <c r="O3" s="1264"/>
      <c r="P3" s="1231"/>
      <c r="Q3" s="1231"/>
      <c r="R3" s="1248" t="s">
        <v>711</v>
      </c>
      <c r="S3" s="1238"/>
      <c r="T3" s="1238"/>
      <c r="U3" s="1238"/>
      <c r="V3" s="1239"/>
      <c r="W3" s="1248" t="s">
        <v>712</v>
      </c>
      <c r="X3" s="1238"/>
      <c r="Y3" s="1238"/>
      <c r="Z3" s="1238"/>
      <c r="AA3" s="1238"/>
      <c r="AB3" s="1239"/>
      <c r="AC3" s="1250" t="s">
        <v>164</v>
      </c>
      <c r="AD3" s="1187" t="s">
        <v>163</v>
      </c>
      <c r="AE3" s="1250" t="s">
        <v>669</v>
      </c>
      <c r="AF3" s="1256" t="s">
        <v>670</v>
      </c>
      <c r="AG3" s="1187" t="s">
        <v>671</v>
      </c>
      <c r="AH3" s="1250" t="s">
        <v>674</v>
      </c>
      <c r="AI3" s="1256" t="s">
        <v>851</v>
      </c>
      <c r="AJ3" s="1256" t="s">
        <v>673</v>
      </c>
      <c r="AK3" s="1187" t="s">
        <v>875</v>
      </c>
      <c r="AL3" s="1250" t="s">
        <v>336</v>
      </c>
      <c r="AM3" s="1256" t="s">
        <v>852</v>
      </c>
      <c r="AN3" s="1256" t="s">
        <v>853</v>
      </c>
      <c r="AO3" s="1256" t="s">
        <v>872</v>
      </c>
      <c r="AP3" s="1187" t="s">
        <v>874</v>
      </c>
      <c r="AQ3" s="1250" t="s">
        <v>854</v>
      </c>
      <c r="AR3" s="1187" t="s">
        <v>735</v>
      </c>
      <c r="AS3" s="1250" t="s">
        <v>707</v>
      </c>
      <c r="AT3" s="1256" t="s">
        <v>708</v>
      </c>
      <c r="AU3" s="1187" t="s">
        <v>709</v>
      </c>
      <c r="AV3" s="1189" t="s">
        <v>736</v>
      </c>
      <c r="AW3" s="1189" t="s">
        <v>737</v>
      </c>
      <c r="AX3" s="1350" t="s">
        <v>738</v>
      </c>
      <c r="AY3" s="1256" t="s">
        <v>739</v>
      </c>
      <c r="AZ3" s="1187" t="s">
        <v>740</v>
      </c>
    </row>
    <row r="4" spans="1:52" ht="15" customHeight="1" x14ac:dyDescent="0.25">
      <c r="A4" s="1188" t="s">
        <v>16</v>
      </c>
      <c r="B4" s="1176" t="s">
        <v>17</v>
      </c>
      <c r="C4" s="1158"/>
      <c r="D4" s="1158"/>
      <c r="E4" s="1356"/>
      <c r="F4" s="1357"/>
      <c r="G4" s="1158"/>
      <c r="H4" s="1250" t="s">
        <v>156</v>
      </c>
      <c r="I4" s="1187" t="s">
        <v>157</v>
      </c>
      <c r="J4" s="1250" t="s">
        <v>159</v>
      </c>
      <c r="K4" s="1187" t="s">
        <v>658</v>
      </c>
      <c r="L4" s="1256" t="s">
        <v>160</v>
      </c>
      <c r="M4" s="1187" t="s">
        <v>161</v>
      </c>
      <c r="N4" s="1250" t="s">
        <v>166</v>
      </c>
      <c r="O4" s="1187" t="s">
        <v>165</v>
      </c>
      <c r="P4" s="1231"/>
      <c r="Q4" s="1231"/>
      <c r="R4" s="1250" t="s">
        <v>713</v>
      </c>
      <c r="S4" s="1256" t="s">
        <v>714</v>
      </c>
      <c r="T4" s="1256" t="s">
        <v>715</v>
      </c>
      <c r="U4" s="1256" t="s">
        <v>716</v>
      </c>
      <c r="V4" s="1187" t="s">
        <v>717</v>
      </c>
      <c r="W4" s="1250" t="s">
        <v>718</v>
      </c>
      <c r="X4" s="1256" t="s">
        <v>719</v>
      </c>
      <c r="Y4" s="1256" t="s">
        <v>720</v>
      </c>
      <c r="Z4" s="1256" t="s">
        <v>721</v>
      </c>
      <c r="AA4" s="1256" t="s">
        <v>722</v>
      </c>
      <c r="AB4" s="1187" t="s">
        <v>723</v>
      </c>
      <c r="AC4" s="1188"/>
      <c r="AD4" s="1176"/>
      <c r="AE4" s="1188"/>
      <c r="AF4" s="1189"/>
      <c r="AG4" s="1176"/>
      <c r="AH4" s="1188"/>
      <c r="AI4" s="1189"/>
      <c r="AJ4" s="1189"/>
      <c r="AK4" s="1176"/>
      <c r="AL4" s="1188"/>
      <c r="AM4" s="1189"/>
      <c r="AN4" s="1189"/>
      <c r="AO4" s="1189"/>
      <c r="AP4" s="1176"/>
      <c r="AQ4" s="1188"/>
      <c r="AR4" s="1176"/>
      <c r="AS4" s="1188"/>
      <c r="AT4" s="1189"/>
      <c r="AU4" s="1176"/>
      <c r="AV4" s="1189"/>
      <c r="AW4" s="1189"/>
      <c r="AX4" s="1350"/>
      <c r="AY4" s="1189"/>
      <c r="AZ4" s="1176"/>
    </row>
    <row r="5" spans="1:52" s="502" customFormat="1" ht="15" customHeight="1" thickBot="1" x14ac:dyDescent="0.3">
      <c r="A5" s="1188"/>
      <c r="B5" s="1176"/>
      <c r="C5" s="1158"/>
      <c r="D5" s="1158"/>
      <c r="E5" s="1266"/>
      <c r="F5" s="1267"/>
      <c r="G5" s="1158"/>
      <c r="H5" s="1188"/>
      <c r="I5" s="1176"/>
      <c r="J5" s="1188"/>
      <c r="K5" s="1176"/>
      <c r="L5" s="1189"/>
      <c r="M5" s="1176"/>
      <c r="N5" s="1188"/>
      <c r="O5" s="1176"/>
      <c r="P5" s="1231"/>
      <c r="Q5" s="1231"/>
      <c r="R5" s="1188"/>
      <c r="S5" s="1189"/>
      <c r="T5" s="1189"/>
      <c r="U5" s="1189"/>
      <c r="V5" s="1176"/>
      <c r="W5" s="1188"/>
      <c r="X5" s="1189"/>
      <c r="Y5" s="1189"/>
      <c r="Z5" s="1189"/>
      <c r="AA5" s="1189"/>
      <c r="AB5" s="1176"/>
      <c r="AC5" s="1188"/>
      <c r="AD5" s="1176"/>
      <c r="AE5" s="1188"/>
      <c r="AF5" s="1189"/>
      <c r="AG5" s="1176"/>
      <c r="AH5" s="1188"/>
      <c r="AI5" s="1189"/>
      <c r="AJ5" s="1189"/>
      <c r="AK5" s="1176"/>
      <c r="AL5" s="1188"/>
      <c r="AM5" s="1189"/>
      <c r="AN5" s="1189"/>
      <c r="AO5" s="1189"/>
      <c r="AP5" s="1176"/>
      <c r="AQ5" s="1188"/>
      <c r="AR5" s="1176"/>
      <c r="AS5" s="1188"/>
      <c r="AT5" s="1189"/>
      <c r="AU5" s="1176"/>
      <c r="AV5" s="1189"/>
      <c r="AW5" s="1189"/>
      <c r="AX5" s="1350"/>
      <c r="AY5" s="1189"/>
      <c r="AZ5" s="1176"/>
    </row>
    <row r="6" spans="1:52" ht="15.75" customHeight="1" thickBot="1" x14ac:dyDescent="0.3">
      <c r="A6" s="1188"/>
      <c r="B6" s="1176"/>
      <c r="C6" s="1159"/>
      <c r="D6" s="1159"/>
      <c r="E6" s="194" t="s">
        <v>148</v>
      </c>
      <c r="F6" s="195" t="s">
        <v>149</v>
      </c>
      <c r="G6" s="1159"/>
      <c r="H6" s="1207"/>
      <c r="I6" s="1177"/>
      <c r="J6" s="1207"/>
      <c r="K6" s="1177"/>
      <c r="L6" s="1257"/>
      <c r="M6" s="1177"/>
      <c r="N6" s="1207"/>
      <c r="O6" s="1177"/>
      <c r="P6" s="1232"/>
      <c r="Q6" s="1232"/>
      <c r="R6" s="1207"/>
      <c r="S6" s="1257"/>
      <c r="T6" s="1257"/>
      <c r="U6" s="1257"/>
      <c r="V6" s="1177"/>
      <c r="W6" s="1207"/>
      <c r="X6" s="1257"/>
      <c r="Y6" s="1257"/>
      <c r="Z6" s="1257"/>
      <c r="AA6" s="1257"/>
      <c r="AB6" s="1177"/>
      <c r="AC6" s="1207"/>
      <c r="AD6" s="1177"/>
      <c r="AE6" s="1207"/>
      <c r="AF6" s="1257"/>
      <c r="AG6" s="1177"/>
      <c r="AH6" s="1207"/>
      <c r="AI6" s="1257"/>
      <c r="AJ6" s="1257"/>
      <c r="AK6" s="1177"/>
      <c r="AL6" s="1207"/>
      <c r="AM6" s="1257"/>
      <c r="AN6" s="1257"/>
      <c r="AO6" s="1257"/>
      <c r="AP6" s="1177"/>
      <c r="AQ6" s="1207"/>
      <c r="AR6" s="1177"/>
      <c r="AS6" s="1207"/>
      <c r="AT6" s="1257"/>
      <c r="AU6" s="1177"/>
      <c r="AV6" s="1257"/>
      <c r="AW6" s="1257"/>
      <c r="AX6" s="1351"/>
      <c r="AY6" s="1257"/>
      <c r="AZ6" s="1177"/>
    </row>
    <row r="7" spans="1:52" s="44" customFormat="1" ht="15.75" customHeight="1" thickBot="1" x14ac:dyDescent="0.3">
      <c r="A7" s="713" t="s">
        <v>550</v>
      </c>
      <c r="B7" s="714" t="s">
        <v>551</v>
      </c>
      <c r="C7" s="305" t="s">
        <v>675</v>
      </c>
      <c r="D7" s="303" t="s">
        <v>676</v>
      </c>
      <c r="E7" s="303" t="s">
        <v>677</v>
      </c>
      <c r="F7" s="304" t="s">
        <v>678</v>
      </c>
      <c r="G7" s="305" t="s">
        <v>679</v>
      </c>
      <c r="H7" s="303" t="s">
        <v>680</v>
      </c>
      <c r="I7" s="304" t="s">
        <v>681</v>
      </c>
      <c r="J7" s="303" t="s">
        <v>682</v>
      </c>
      <c r="K7" s="304" t="s">
        <v>683</v>
      </c>
      <c r="L7" s="306" t="s">
        <v>684</v>
      </c>
      <c r="M7" s="304" t="s">
        <v>685</v>
      </c>
      <c r="N7" s="303" t="s">
        <v>686</v>
      </c>
      <c r="O7" s="304" t="s">
        <v>687</v>
      </c>
      <c r="P7" s="305" t="s">
        <v>688</v>
      </c>
      <c r="Q7" s="303" t="s">
        <v>659</v>
      </c>
      <c r="R7" s="303" t="s">
        <v>724</v>
      </c>
      <c r="S7" s="306" t="s">
        <v>725</v>
      </c>
      <c r="T7" s="306" t="s">
        <v>726</v>
      </c>
      <c r="U7" s="306" t="s">
        <v>727</v>
      </c>
      <c r="V7" s="304" t="s">
        <v>728</v>
      </c>
      <c r="W7" s="303" t="s">
        <v>729</v>
      </c>
      <c r="X7" s="306" t="s">
        <v>730</v>
      </c>
      <c r="Y7" s="306" t="s">
        <v>731</v>
      </c>
      <c r="Z7" s="306" t="s">
        <v>732</v>
      </c>
      <c r="AA7" s="306" t="s">
        <v>733</v>
      </c>
      <c r="AB7" s="304" t="s">
        <v>734</v>
      </c>
      <c r="AC7" s="303" t="s">
        <v>689</v>
      </c>
      <c r="AD7" s="304" t="s">
        <v>690</v>
      </c>
      <c r="AE7" s="303" t="s">
        <v>691</v>
      </c>
      <c r="AF7" s="306" t="s">
        <v>692</v>
      </c>
      <c r="AG7" s="304" t="s">
        <v>693</v>
      </c>
      <c r="AH7" s="306" t="s">
        <v>694</v>
      </c>
      <c r="AI7" s="306" t="s">
        <v>858</v>
      </c>
      <c r="AJ7" s="306" t="s">
        <v>695</v>
      </c>
      <c r="AK7" s="306" t="s">
        <v>877</v>
      </c>
      <c r="AL7" s="303" t="s">
        <v>696</v>
      </c>
      <c r="AM7" s="306" t="s">
        <v>697</v>
      </c>
      <c r="AN7" s="306" t="s">
        <v>698</v>
      </c>
      <c r="AO7" s="306" t="s">
        <v>856</v>
      </c>
      <c r="AP7" s="306" t="s">
        <v>878</v>
      </c>
      <c r="AQ7" s="303" t="s">
        <v>857</v>
      </c>
      <c r="AR7" s="304" t="s">
        <v>699</v>
      </c>
      <c r="AS7" s="306" t="s">
        <v>700</v>
      </c>
      <c r="AT7" s="306" t="s">
        <v>701</v>
      </c>
      <c r="AU7" s="304" t="s">
        <v>702</v>
      </c>
      <c r="AV7" s="306" t="s">
        <v>703</v>
      </c>
      <c r="AW7" s="306" t="s">
        <v>704</v>
      </c>
      <c r="AX7" s="306" t="s">
        <v>705</v>
      </c>
      <c r="AY7" s="306" t="s">
        <v>706</v>
      </c>
      <c r="AZ7" s="304" t="s">
        <v>741</v>
      </c>
    </row>
    <row r="8" spans="1:52" x14ac:dyDescent="0.25">
      <c r="A8" s="161">
        <v>36708</v>
      </c>
      <c r="B8" s="162">
        <v>36788</v>
      </c>
      <c r="C8" s="92">
        <v>2.44</v>
      </c>
      <c r="D8" s="842">
        <v>0.41</v>
      </c>
      <c r="E8" s="18">
        <v>11</v>
      </c>
      <c r="F8" s="60">
        <v>32</v>
      </c>
      <c r="G8" s="100">
        <v>0.85</v>
      </c>
      <c r="H8" s="18">
        <v>28200</v>
      </c>
      <c r="I8" s="60">
        <v>66000</v>
      </c>
      <c r="J8" s="58">
        <v>0.1</v>
      </c>
      <c r="K8" s="59">
        <v>0.15</v>
      </c>
      <c r="L8" s="624">
        <v>0.25</v>
      </c>
      <c r="M8" s="625">
        <v>0.35</v>
      </c>
      <c r="N8" s="3">
        <v>50</v>
      </c>
      <c r="O8" s="4">
        <v>24</v>
      </c>
      <c r="P8" s="10">
        <v>15</v>
      </c>
      <c r="Q8" s="3">
        <v>5</v>
      </c>
      <c r="R8" s="338">
        <v>34</v>
      </c>
      <c r="S8" s="873">
        <v>35</v>
      </c>
      <c r="T8" s="873">
        <v>36</v>
      </c>
      <c r="U8" s="873">
        <v>37</v>
      </c>
      <c r="V8" s="662">
        <v>38</v>
      </c>
      <c r="W8" s="286">
        <v>1</v>
      </c>
      <c r="X8" s="873">
        <v>1.02</v>
      </c>
      <c r="Y8" s="873">
        <v>1.04</v>
      </c>
      <c r="Z8" s="873">
        <v>1.06</v>
      </c>
      <c r="AA8" s="873">
        <v>1.08</v>
      </c>
      <c r="AB8" s="874">
        <v>1.1000000000000001</v>
      </c>
      <c r="AC8" s="58"/>
      <c r="AD8" s="60"/>
      <c r="AE8" s="18"/>
      <c r="AF8" s="20"/>
      <c r="AG8" s="60"/>
      <c r="AH8" s="886"/>
      <c r="AI8" s="886"/>
      <c r="AJ8" s="886"/>
      <c r="AK8" s="886"/>
      <c r="AL8" s="392"/>
      <c r="AM8" s="817"/>
      <c r="AN8" s="817"/>
      <c r="AO8" s="817"/>
      <c r="AP8" s="817"/>
      <c r="AQ8" s="392"/>
      <c r="AR8" s="887"/>
      <c r="AS8" s="779"/>
      <c r="AT8" s="723"/>
      <c r="AU8" s="958"/>
      <c r="AV8" s="779"/>
      <c r="AW8" s="779"/>
      <c r="AX8" s="779"/>
      <c r="AY8" s="779"/>
      <c r="AZ8" s="691"/>
    </row>
    <row r="9" spans="1:52" x14ac:dyDescent="0.25">
      <c r="A9" s="163">
        <v>36789</v>
      </c>
      <c r="B9" s="164">
        <v>36891</v>
      </c>
      <c r="C9" s="93">
        <v>2.44</v>
      </c>
      <c r="D9" s="843">
        <v>0.41</v>
      </c>
      <c r="E9" s="17">
        <v>11</v>
      </c>
      <c r="F9" s="35">
        <v>32</v>
      </c>
      <c r="G9" s="102">
        <v>0.85</v>
      </c>
      <c r="H9" s="17">
        <v>28200</v>
      </c>
      <c r="I9" s="35">
        <v>66000</v>
      </c>
      <c r="J9" s="62">
        <v>0.1</v>
      </c>
      <c r="K9" s="63">
        <v>0.15</v>
      </c>
      <c r="L9" s="626">
        <v>0.25</v>
      </c>
      <c r="M9" s="627">
        <v>0.35</v>
      </c>
      <c r="N9" s="2">
        <f>N8</f>
        <v>50</v>
      </c>
      <c r="O9" s="1">
        <f>O8</f>
        <v>24</v>
      </c>
      <c r="P9" s="11">
        <f>P8</f>
        <v>15</v>
      </c>
      <c r="Q9" s="2">
        <v>5</v>
      </c>
      <c r="R9" s="339">
        <v>34</v>
      </c>
      <c r="S9" s="875">
        <v>35</v>
      </c>
      <c r="T9" s="875">
        <v>36</v>
      </c>
      <c r="U9" s="875">
        <v>37</v>
      </c>
      <c r="V9" s="663">
        <v>38</v>
      </c>
      <c r="W9" s="269">
        <v>1</v>
      </c>
      <c r="X9" s="875">
        <v>1.02</v>
      </c>
      <c r="Y9" s="875">
        <v>1.04</v>
      </c>
      <c r="Z9" s="875">
        <v>1.06</v>
      </c>
      <c r="AA9" s="875">
        <v>1.08</v>
      </c>
      <c r="AB9" s="876">
        <v>1.1000000000000001</v>
      </c>
      <c r="AC9" s="62"/>
      <c r="AD9" s="35"/>
      <c r="AE9" s="17"/>
      <c r="AF9" s="19"/>
      <c r="AG9" s="35"/>
      <c r="AH9" s="888"/>
      <c r="AI9" s="888"/>
      <c r="AJ9" s="888"/>
      <c r="AK9" s="888"/>
      <c r="AL9" s="393"/>
      <c r="AM9" s="818"/>
      <c r="AN9" s="818"/>
      <c r="AO9" s="818"/>
      <c r="AP9" s="818"/>
      <c r="AQ9" s="393"/>
      <c r="AR9" s="889"/>
      <c r="AS9" s="780"/>
      <c r="AT9" s="724"/>
      <c r="AU9" s="959"/>
      <c r="AV9" s="780"/>
      <c r="AW9" s="780"/>
      <c r="AX9" s="780"/>
      <c r="AY9" s="780"/>
      <c r="AZ9" s="688"/>
    </row>
    <row r="10" spans="1:52" x14ac:dyDescent="0.25">
      <c r="A10" s="163">
        <v>36892</v>
      </c>
      <c r="B10" s="164">
        <v>36969</v>
      </c>
      <c r="C10" s="93">
        <v>2.44</v>
      </c>
      <c r="D10" s="843">
        <v>0.41</v>
      </c>
      <c r="E10" s="17">
        <v>11</v>
      </c>
      <c r="F10" s="35">
        <v>32</v>
      </c>
      <c r="G10" s="102">
        <v>0.85</v>
      </c>
      <c r="H10" s="17">
        <v>28200</v>
      </c>
      <c r="I10" s="35">
        <v>66000</v>
      </c>
      <c r="J10" s="62">
        <v>0.1</v>
      </c>
      <c r="K10" s="63">
        <v>0.15</v>
      </c>
      <c r="L10" s="626">
        <v>0.25</v>
      </c>
      <c r="M10" s="627">
        <v>0.35</v>
      </c>
      <c r="N10" s="2">
        <f t="shared" ref="N10:N59" si="0">N9</f>
        <v>50</v>
      </c>
      <c r="O10" s="1">
        <f t="shared" ref="O10:O59" si="1">O9</f>
        <v>24</v>
      </c>
      <c r="P10" s="11">
        <f t="shared" ref="P10:P41" si="2">P9</f>
        <v>15</v>
      </c>
      <c r="Q10" s="2">
        <v>5</v>
      </c>
      <c r="R10" s="339">
        <v>34</v>
      </c>
      <c r="S10" s="875">
        <v>35</v>
      </c>
      <c r="T10" s="875">
        <v>36</v>
      </c>
      <c r="U10" s="875">
        <v>37</v>
      </c>
      <c r="V10" s="663">
        <v>38</v>
      </c>
      <c r="W10" s="269">
        <v>1</v>
      </c>
      <c r="X10" s="875">
        <v>1.02</v>
      </c>
      <c r="Y10" s="875">
        <v>1.04</v>
      </c>
      <c r="Z10" s="875">
        <v>1.06</v>
      </c>
      <c r="AA10" s="875">
        <v>1.08</v>
      </c>
      <c r="AB10" s="876">
        <v>1.1000000000000001</v>
      </c>
      <c r="AC10" s="62"/>
      <c r="AD10" s="35"/>
      <c r="AE10" s="17"/>
      <c r="AF10" s="19"/>
      <c r="AG10" s="35"/>
      <c r="AH10" s="888"/>
      <c r="AI10" s="888"/>
      <c r="AJ10" s="888"/>
      <c r="AK10" s="888"/>
      <c r="AL10" s="393"/>
      <c r="AM10" s="818"/>
      <c r="AN10" s="818"/>
      <c r="AO10" s="818"/>
      <c r="AP10" s="818"/>
      <c r="AQ10" s="393"/>
      <c r="AR10" s="889"/>
      <c r="AS10" s="780"/>
      <c r="AT10" s="724"/>
      <c r="AU10" s="959"/>
      <c r="AV10" s="780"/>
      <c r="AW10" s="780"/>
      <c r="AX10" s="780"/>
      <c r="AY10" s="780"/>
      <c r="AZ10" s="688"/>
    </row>
    <row r="11" spans="1:52" ht="15.75" thickBot="1" x14ac:dyDescent="0.3">
      <c r="A11" s="180">
        <v>36970</v>
      </c>
      <c r="B11" s="181">
        <v>37072</v>
      </c>
      <c r="C11" s="94">
        <v>2.44</v>
      </c>
      <c r="D11" s="844">
        <v>0.41</v>
      </c>
      <c r="E11" s="65">
        <v>11</v>
      </c>
      <c r="F11" s="69">
        <v>32</v>
      </c>
      <c r="G11" s="187">
        <v>0.85</v>
      </c>
      <c r="H11" s="65">
        <v>28200</v>
      </c>
      <c r="I11" s="69">
        <v>66000</v>
      </c>
      <c r="J11" s="67">
        <v>0.1</v>
      </c>
      <c r="K11" s="358">
        <v>0.15</v>
      </c>
      <c r="L11" s="628">
        <v>0.25</v>
      </c>
      <c r="M11" s="629">
        <v>0.35</v>
      </c>
      <c r="N11" s="85">
        <f t="shared" si="0"/>
        <v>50</v>
      </c>
      <c r="O11" s="70">
        <f t="shared" si="1"/>
        <v>24</v>
      </c>
      <c r="P11" s="64">
        <f t="shared" si="2"/>
        <v>15</v>
      </c>
      <c r="Q11" s="85">
        <v>5</v>
      </c>
      <c r="R11" s="877">
        <v>34</v>
      </c>
      <c r="S11" s="878">
        <v>35</v>
      </c>
      <c r="T11" s="878">
        <v>36</v>
      </c>
      <c r="U11" s="878">
        <v>37</v>
      </c>
      <c r="V11" s="664">
        <v>38</v>
      </c>
      <c r="W11" s="285">
        <v>1</v>
      </c>
      <c r="X11" s="878">
        <v>1.02</v>
      </c>
      <c r="Y11" s="878">
        <v>1.04</v>
      </c>
      <c r="Z11" s="878">
        <v>1.06</v>
      </c>
      <c r="AA11" s="878">
        <v>1.08</v>
      </c>
      <c r="AB11" s="879">
        <v>1.1000000000000001</v>
      </c>
      <c r="AC11" s="67"/>
      <c r="AD11" s="69"/>
      <c r="AE11" s="65"/>
      <c r="AF11" s="68"/>
      <c r="AG11" s="69"/>
      <c r="AH11" s="890"/>
      <c r="AI11" s="890"/>
      <c r="AJ11" s="890"/>
      <c r="AK11" s="890"/>
      <c r="AL11" s="891"/>
      <c r="AM11" s="819"/>
      <c r="AN11" s="819"/>
      <c r="AO11" s="819"/>
      <c r="AP11" s="819"/>
      <c r="AQ11" s="891"/>
      <c r="AR11" s="892"/>
      <c r="AS11" s="949"/>
      <c r="AT11" s="960"/>
      <c r="AU11" s="961"/>
      <c r="AV11" s="949"/>
      <c r="AW11" s="949"/>
      <c r="AX11" s="949"/>
      <c r="AY11" s="949"/>
      <c r="AZ11" s="950"/>
    </row>
    <row r="12" spans="1:52" x14ac:dyDescent="0.25">
      <c r="A12" s="161">
        <v>37073</v>
      </c>
      <c r="B12" s="162">
        <v>37153</v>
      </c>
      <c r="C12" s="92">
        <v>2.58</v>
      </c>
      <c r="D12" s="842">
        <v>0.434</v>
      </c>
      <c r="E12" s="18">
        <v>11.64</v>
      </c>
      <c r="F12" s="60">
        <v>33.86</v>
      </c>
      <c r="G12" s="100">
        <v>0.85</v>
      </c>
      <c r="H12" s="18">
        <v>29857</v>
      </c>
      <c r="I12" s="60">
        <v>69828</v>
      </c>
      <c r="J12" s="58">
        <v>0.1</v>
      </c>
      <c r="K12" s="59">
        <v>0.15</v>
      </c>
      <c r="L12" s="624">
        <v>0.25</v>
      </c>
      <c r="M12" s="625">
        <v>0.35</v>
      </c>
      <c r="N12" s="3">
        <f t="shared" si="0"/>
        <v>50</v>
      </c>
      <c r="O12" s="4">
        <f t="shared" si="1"/>
        <v>24</v>
      </c>
      <c r="P12" s="10">
        <f t="shared" si="2"/>
        <v>15</v>
      </c>
      <c r="Q12" s="3">
        <v>5</v>
      </c>
      <c r="R12" s="338">
        <v>34</v>
      </c>
      <c r="S12" s="873">
        <v>35</v>
      </c>
      <c r="T12" s="873">
        <v>36</v>
      </c>
      <c r="U12" s="873">
        <v>37</v>
      </c>
      <c r="V12" s="662">
        <v>38</v>
      </c>
      <c r="W12" s="286">
        <v>1</v>
      </c>
      <c r="X12" s="873">
        <v>1.02</v>
      </c>
      <c r="Y12" s="873">
        <v>1.04</v>
      </c>
      <c r="Z12" s="873">
        <v>1.06</v>
      </c>
      <c r="AA12" s="873">
        <v>1.08</v>
      </c>
      <c r="AB12" s="874">
        <v>1.1000000000000001</v>
      </c>
      <c r="AC12" s="58"/>
      <c r="AD12" s="60"/>
      <c r="AE12" s="18"/>
      <c r="AF12" s="20"/>
      <c r="AG12" s="60"/>
      <c r="AH12" s="886"/>
      <c r="AI12" s="886"/>
      <c r="AJ12" s="886"/>
      <c r="AK12" s="886"/>
      <c r="AL12" s="392"/>
      <c r="AM12" s="817"/>
      <c r="AN12" s="817"/>
      <c r="AO12" s="817"/>
      <c r="AP12" s="817"/>
      <c r="AQ12" s="392"/>
      <c r="AR12" s="887"/>
      <c r="AS12" s="779"/>
      <c r="AT12" s="723"/>
      <c r="AU12" s="958"/>
      <c r="AV12" s="779"/>
      <c r="AW12" s="779"/>
      <c r="AX12" s="779"/>
      <c r="AY12" s="779"/>
      <c r="AZ12" s="691"/>
    </row>
    <row r="13" spans="1:52" x14ac:dyDescent="0.25">
      <c r="A13" s="163">
        <v>37154</v>
      </c>
      <c r="B13" s="164">
        <v>37256</v>
      </c>
      <c r="C13" s="93">
        <v>2.58</v>
      </c>
      <c r="D13" s="843">
        <v>0.434</v>
      </c>
      <c r="E13" s="17">
        <v>11.64</v>
      </c>
      <c r="F13" s="35">
        <v>33.86</v>
      </c>
      <c r="G13" s="102">
        <v>0.85</v>
      </c>
      <c r="H13" s="17">
        <v>29857</v>
      </c>
      <c r="I13" s="35">
        <v>69828</v>
      </c>
      <c r="J13" s="62">
        <v>0.1</v>
      </c>
      <c r="K13" s="63">
        <v>0.15</v>
      </c>
      <c r="L13" s="626">
        <v>0.25</v>
      </c>
      <c r="M13" s="627">
        <v>0.35</v>
      </c>
      <c r="N13" s="2">
        <f t="shared" si="0"/>
        <v>50</v>
      </c>
      <c r="O13" s="1">
        <f t="shared" si="1"/>
        <v>24</v>
      </c>
      <c r="P13" s="11">
        <f t="shared" si="2"/>
        <v>15</v>
      </c>
      <c r="Q13" s="2">
        <v>5</v>
      </c>
      <c r="R13" s="339">
        <v>34</v>
      </c>
      <c r="S13" s="875">
        <v>35</v>
      </c>
      <c r="T13" s="875">
        <v>36</v>
      </c>
      <c r="U13" s="875">
        <v>37</v>
      </c>
      <c r="V13" s="663">
        <v>38</v>
      </c>
      <c r="W13" s="269">
        <v>1</v>
      </c>
      <c r="X13" s="875">
        <v>1.02</v>
      </c>
      <c r="Y13" s="875">
        <v>1.04</v>
      </c>
      <c r="Z13" s="875">
        <v>1.06</v>
      </c>
      <c r="AA13" s="875">
        <v>1.08</v>
      </c>
      <c r="AB13" s="876">
        <v>1.1000000000000001</v>
      </c>
      <c r="AC13" s="62"/>
      <c r="AD13" s="35"/>
      <c r="AE13" s="17"/>
      <c r="AF13" s="19"/>
      <c r="AG13" s="35"/>
      <c r="AH13" s="888"/>
      <c r="AI13" s="888"/>
      <c r="AJ13" s="888"/>
      <c r="AK13" s="888"/>
      <c r="AL13" s="393"/>
      <c r="AM13" s="818"/>
      <c r="AN13" s="818"/>
      <c r="AO13" s="818"/>
      <c r="AP13" s="818"/>
      <c r="AQ13" s="393"/>
      <c r="AR13" s="889"/>
      <c r="AS13" s="780"/>
      <c r="AT13" s="724"/>
      <c r="AU13" s="959"/>
      <c r="AV13" s="780"/>
      <c r="AW13" s="780"/>
      <c r="AX13" s="780"/>
      <c r="AY13" s="780"/>
      <c r="AZ13" s="688"/>
    </row>
    <row r="14" spans="1:52" x14ac:dyDescent="0.25">
      <c r="A14" s="163">
        <v>37257</v>
      </c>
      <c r="B14" s="164">
        <v>37334</v>
      </c>
      <c r="C14" s="93">
        <v>2.58</v>
      </c>
      <c r="D14" s="843">
        <v>0.434</v>
      </c>
      <c r="E14" s="17">
        <v>11.64</v>
      </c>
      <c r="F14" s="35">
        <v>33.86</v>
      </c>
      <c r="G14" s="102">
        <v>0.85</v>
      </c>
      <c r="H14" s="17">
        <v>29857</v>
      </c>
      <c r="I14" s="35">
        <v>69828</v>
      </c>
      <c r="J14" s="62">
        <v>0.1</v>
      </c>
      <c r="K14" s="63">
        <v>0.15</v>
      </c>
      <c r="L14" s="626">
        <v>0.25</v>
      </c>
      <c r="M14" s="627">
        <v>0.35</v>
      </c>
      <c r="N14" s="2">
        <f t="shared" si="0"/>
        <v>50</v>
      </c>
      <c r="O14" s="1">
        <f t="shared" si="1"/>
        <v>24</v>
      </c>
      <c r="P14" s="11">
        <f t="shared" si="2"/>
        <v>15</v>
      </c>
      <c r="Q14" s="2">
        <v>5</v>
      </c>
      <c r="R14" s="339">
        <v>34</v>
      </c>
      <c r="S14" s="875">
        <v>35</v>
      </c>
      <c r="T14" s="875">
        <v>36</v>
      </c>
      <c r="U14" s="875">
        <v>37</v>
      </c>
      <c r="V14" s="663">
        <v>38</v>
      </c>
      <c r="W14" s="269">
        <v>1</v>
      </c>
      <c r="X14" s="875">
        <v>1.02</v>
      </c>
      <c r="Y14" s="875">
        <v>1.04</v>
      </c>
      <c r="Z14" s="875">
        <v>1.06</v>
      </c>
      <c r="AA14" s="875">
        <v>1.08</v>
      </c>
      <c r="AB14" s="876">
        <v>1.1000000000000001</v>
      </c>
      <c r="AC14" s="62"/>
      <c r="AD14" s="35"/>
      <c r="AE14" s="17"/>
      <c r="AF14" s="19"/>
      <c r="AG14" s="35"/>
      <c r="AH14" s="888"/>
      <c r="AI14" s="888"/>
      <c r="AJ14" s="888"/>
      <c r="AK14" s="888"/>
      <c r="AL14" s="393"/>
      <c r="AM14" s="818"/>
      <c r="AN14" s="818"/>
      <c r="AO14" s="818"/>
      <c r="AP14" s="818"/>
      <c r="AQ14" s="393"/>
      <c r="AR14" s="889"/>
      <c r="AS14" s="780"/>
      <c r="AT14" s="724"/>
      <c r="AU14" s="959"/>
      <c r="AV14" s="780"/>
      <c r="AW14" s="780"/>
      <c r="AX14" s="780"/>
      <c r="AY14" s="780"/>
      <c r="AZ14" s="688"/>
    </row>
    <row r="15" spans="1:52" ht="15.75" thickBot="1" x14ac:dyDescent="0.3">
      <c r="A15" s="180">
        <v>37335</v>
      </c>
      <c r="B15" s="181">
        <v>37437</v>
      </c>
      <c r="C15" s="94">
        <v>2.58</v>
      </c>
      <c r="D15" s="844">
        <v>0.434</v>
      </c>
      <c r="E15" s="65">
        <v>11.64</v>
      </c>
      <c r="F15" s="69">
        <v>33.86</v>
      </c>
      <c r="G15" s="187">
        <v>0.85</v>
      </c>
      <c r="H15" s="65">
        <v>29857</v>
      </c>
      <c r="I15" s="69">
        <v>69828</v>
      </c>
      <c r="J15" s="67">
        <v>0.1</v>
      </c>
      <c r="K15" s="358">
        <v>0.15</v>
      </c>
      <c r="L15" s="628">
        <v>0.25</v>
      </c>
      <c r="M15" s="629">
        <v>0.35</v>
      </c>
      <c r="N15" s="85">
        <f t="shared" si="0"/>
        <v>50</v>
      </c>
      <c r="O15" s="70">
        <f t="shared" si="1"/>
        <v>24</v>
      </c>
      <c r="P15" s="64">
        <f t="shared" si="2"/>
        <v>15</v>
      </c>
      <c r="Q15" s="85">
        <v>5</v>
      </c>
      <c r="R15" s="877">
        <v>34</v>
      </c>
      <c r="S15" s="878">
        <v>35</v>
      </c>
      <c r="T15" s="878">
        <v>36</v>
      </c>
      <c r="U15" s="878">
        <v>37</v>
      </c>
      <c r="V15" s="664">
        <v>38</v>
      </c>
      <c r="W15" s="285">
        <v>1</v>
      </c>
      <c r="X15" s="878">
        <v>1.02</v>
      </c>
      <c r="Y15" s="878">
        <v>1.04</v>
      </c>
      <c r="Z15" s="878">
        <v>1.06</v>
      </c>
      <c r="AA15" s="878">
        <v>1.08</v>
      </c>
      <c r="AB15" s="879">
        <v>1.1000000000000001</v>
      </c>
      <c r="AC15" s="67"/>
      <c r="AD15" s="69"/>
      <c r="AE15" s="65"/>
      <c r="AF15" s="68"/>
      <c r="AG15" s="69"/>
      <c r="AH15" s="890"/>
      <c r="AI15" s="890"/>
      <c r="AJ15" s="890"/>
      <c r="AK15" s="890"/>
      <c r="AL15" s="891"/>
      <c r="AM15" s="819"/>
      <c r="AN15" s="819"/>
      <c r="AO15" s="819"/>
      <c r="AP15" s="819"/>
      <c r="AQ15" s="891"/>
      <c r="AR15" s="892"/>
      <c r="AS15" s="949"/>
      <c r="AT15" s="960"/>
      <c r="AU15" s="961"/>
      <c r="AV15" s="949"/>
      <c r="AW15" s="949"/>
      <c r="AX15" s="949"/>
      <c r="AY15" s="949"/>
      <c r="AZ15" s="950"/>
    </row>
    <row r="16" spans="1:52" x14ac:dyDescent="0.25">
      <c r="A16" s="161">
        <v>37438</v>
      </c>
      <c r="B16" s="162">
        <v>37518</v>
      </c>
      <c r="C16" s="92">
        <v>2.66</v>
      </c>
      <c r="D16" s="842">
        <v>0.44700000000000001</v>
      </c>
      <c r="E16" s="18">
        <v>12</v>
      </c>
      <c r="F16" s="60">
        <v>34.910000000000004</v>
      </c>
      <c r="G16" s="100">
        <v>0.85</v>
      </c>
      <c r="H16" s="18">
        <v>30806</v>
      </c>
      <c r="I16" s="60">
        <v>71993</v>
      </c>
      <c r="J16" s="58">
        <v>0.1</v>
      </c>
      <c r="K16" s="59">
        <v>0.15</v>
      </c>
      <c r="L16" s="624">
        <v>0.25</v>
      </c>
      <c r="M16" s="625">
        <v>0.35</v>
      </c>
      <c r="N16" s="3">
        <f t="shared" si="0"/>
        <v>50</v>
      </c>
      <c r="O16" s="4">
        <f t="shared" si="1"/>
        <v>24</v>
      </c>
      <c r="P16" s="10">
        <f t="shared" si="2"/>
        <v>15</v>
      </c>
      <c r="Q16" s="3">
        <v>5</v>
      </c>
      <c r="R16" s="338">
        <v>34</v>
      </c>
      <c r="S16" s="873">
        <v>35</v>
      </c>
      <c r="T16" s="873">
        <v>36</v>
      </c>
      <c r="U16" s="873">
        <v>37</v>
      </c>
      <c r="V16" s="662">
        <v>38</v>
      </c>
      <c r="W16" s="286">
        <v>1</v>
      </c>
      <c r="X16" s="873">
        <v>1.02</v>
      </c>
      <c r="Y16" s="873">
        <v>1.04</v>
      </c>
      <c r="Z16" s="873">
        <v>1.06</v>
      </c>
      <c r="AA16" s="873">
        <v>1.08</v>
      </c>
      <c r="AB16" s="874">
        <v>1.1000000000000001</v>
      </c>
      <c r="AC16" s="58"/>
      <c r="AD16" s="60"/>
      <c r="AE16" s="18"/>
      <c r="AF16" s="20"/>
      <c r="AG16" s="60"/>
      <c r="AH16" s="886"/>
      <c r="AI16" s="886"/>
      <c r="AJ16" s="886"/>
      <c r="AK16" s="886"/>
      <c r="AL16" s="392"/>
      <c r="AM16" s="817"/>
      <c r="AN16" s="817"/>
      <c r="AO16" s="817"/>
      <c r="AP16" s="817"/>
      <c r="AQ16" s="392"/>
      <c r="AR16" s="887"/>
      <c r="AS16" s="779"/>
      <c r="AT16" s="723"/>
      <c r="AU16" s="958"/>
      <c r="AV16" s="779"/>
      <c r="AW16" s="779"/>
      <c r="AX16" s="779"/>
      <c r="AY16" s="779"/>
      <c r="AZ16" s="691"/>
    </row>
    <row r="17" spans="1:52" x14ac:dyDescent="0.25">
      <c r="A17" s="163">
        <v>37519</v>
      </c>
      <c r="B17" s="164">
        <v>37621</v>
      </c>
      <c r="C17" s="93">
        <v>2.66</v>
      </c>
      <c r="D17" s="843">
        <v>0.44700000000000001</v>
      </c>
      <c r="E17" s="17">
        <v>12</v>
      </c>
      <c r="F17" s="35">
        <v>34.910000000000004</v>
      </c>
      <c r="G17" s="102">
        <v>0.85</v>
      </c>
      <c r="H17" s="17">
        <v>30806</v>
      </c>
      <c r="I17" s="35">
        <v>71993</v>
      </c>
      <c r="J17" s="62">
        <v>0.1</v>
      </c>
      <c r="K17" s="63">
        <v>0.15</v>
      </c>
      <c r="L17" s="626">
        <v>0.25</v>
      </c>
      <c r="M17" s="627">
        <v>0.35</v>
      </c>
      <c r="N17" s="2">
        <f t="shared" si="0"/>
        <v>50</v>
      </c>
      <c r="O17" s="1">
        <f t="shared" si="1"/>
        <v>24</v>
      </c>
      <c r="P17" s="11">
        <f t="shared" si="2"/>
        <v>15</v>
      </c>
      <c r="Q17" s="2">
        <v>5</v>
      </c>
      <c r="R17" s="339">
        <v>34</v>
      </c>
      <c r="S17" s="875">
        <v>35</v>
      </c>
      <c r="T17" s="875">
        <v>36</v>
      </c>
      <c r="U17" s="875">
        <v>37</v>
      </c>
      <c r="V17" s="663">
        <v>38</v>
      </c>
      <c r="W17" s="269">
        <v>1</v>
      </c>
      <c r="X17" s="875">
        <v>1.02</v>
      </c>
      <c r="Y17" s="875">
        <v>1.04</v>
      </c>
      <c r="Z17" s="875">
        <v>1.06</v>
      </c>
      <c r="AA17" s="875">
        <v>1.08</v>
      </c>
      <c r="AB17" s="876">
        <v>1.1000000000000001</v>
      </c>
      <c r="AC17" s="62"/>
      <c r="AD17" s="35"/>
      <c r="AE17" s="17"/>
      <c r="AF17" s="19"/>
      <c r="AG17" s="35"/>
      <c r="AH17" s="888"/>
      <c r="AI17" s="888"/>
      <c r="AJ17" s="888"/>
      <c r="AK17" s="888"/>
      <c r="AL17" s="393"/>
      <c r="AM17" s="818"/>
      <c r="AN17" s="818"/>
      <c r="AO17" s="818"/>
      <c r="AP17" s="818"/>
      <c r="AQ17" s="393"/>
      <c r="AR17" s="889"/>
      <c r="AS17" s="780"/>
      <c r="AT17" s="724"/>
      <c r="AU17" s="959"/>
      <c r="AV17" s="780"/>
      <c r="AW17" s="780"/>
      <c r="AX17" s="780"/>
      <c r="AY17" s="780"/>
      <c r="AZ17" s="688"/>
    </row>
    <row r="18" spans="1:52" x14ac:dyDescent="0.25">
      <c r="A18" s="163">
        <v>37622</v>
      </c>
      <c r="B18" s="164">
        <v>37699</v>
      </c>
      <c r="C18" s="93">
        <v>2.66</v>
      </c>
      <c r="D18" s="843">
        <v>0.44700000000000001</v>
      </c>
      <c r="E18" s="17">
        <v>12</v>
      </c>
      <c r="F18" s="35">
        <v>34.910000000000004</v>
      </c>
      <c r="G18" s="102">
        <v>0.85</v>
      </c>
      <c r="H18" s="17">
        <v>30806</v>
      </c>
      <c r="I18" s="35">
        <v>71993</v>
      </c>
      <c r="J18" s="62">
        <v>0.1</v>
      </c>
      <c r="K18" s="63">
        <v>0.15</v>
      </c>
      <c r="L18" s="626">
        <v>0.25</v>
      </c>
      <c r="M18" s="627">
        <v>0.35</v>
      </c>
      <c r="N18" s="2">
        <f t="shared" si="0"/>
        <v>50</v>
      </c>
      <c r="O18" s="1">
        <f t="shared" si="1"/>
        <v>24</v>
      </c>
      <c r="P18" s="11">
        <f t="shared" si="2"/>
        <v>15</v>
      </c>
      <c r="Q18" s="2">
        <v>5</v>
      </c>
      <c r="R18" s="339">
        <v>34</v>
      </c>
      <c r="S18" s="875">
        <v>35</v>
      </c>
      <c r="T18" s="875">
        <v>36</v>
      </c>
      <c r="U18" s="875">
        <v>37</v>
      </c>
      <c r="V18" s="663">
        <v>38</v>
      </c>
      <c r="W18" s="269">
        <v>1</v>
      </c>
      <c r="X18" s="875">
        <v>1.02</v>
      </c>
      <c r="Y18" s="875">
        <v>1.04</v>
      </c>
      <c r="Z18" s="875">
        <v>1.06</v>
      </c>
      <c r="AA18" s="875">
        <v>1.08</v>
      </c>
      <c r="AB18" s="876">
        <v>1.1000000000000001</v>
      </c>
      <c r="AC18" s="62"/>
      <c r="AD18" s="35"/>
      <c r="AE18" s="17"/>
      <c r="AF18" s="19"/>
      <c r="AG18" s="35"/>
      <c r="AH18" s="888"/>
      <c r="AI18" s="888"/>
      <c r="AJ18" s="888"/>
      <c r="AK18" s="888"/>
      <c r="AL18" s="393"/>
      <c r="AM18" s="818"/>
      <c r="AN18" s="818"/>
      <c r="AO18" s="818"/>
      <c r="AP18" s="818"/>
      <c r="AQ18" s="393"/>
      <c r="AR18" s="889"/>
      <c r="AS18" s="780"/>
      <c r="AT18" s="724"/>
      <c r="AU18" s="959"/>
      <c r="AV18" s="780"/>
      <c r="AW18" s="780"/>
      <c r="AX18" s="780"/>
      <c r="AY18" s="780"/>
      <c r="AZ18" s="688"/>
    </row>
    <row r="19" spans="1:52" ht="15.75" thickBot="1" x14ac:dyDescent="0.3">
      <c r="A19" s="180">
        <v>37700</v>
      </c>
      <c r="B19" s="181">
        <v>37802</v>
      </c>
      <c r="C19" s="94">
        <v>2.66</v>
      </c>
      <c r="D19" s="844">
        <v>0.44700000000000001</v>
      </c>
      <c r="E19" s="65">
        <v>12</v>
      </c>
      <c r="F19" s="69">
        <v>34.910000000000004</v>
      </c>
      <c r="G19" s="187">
        <v>0.85</v>
      </c>
      <c r="H19" s="65">
        <v>30806</v>
      </c>
      <c r="I19" s="69">
        <v>71993</v>
      </c>
      <c r="J19" s="67">
        <v>0.1</v>
      </c>
      <c r="K19" s="358">
        <v>0.15</v>
      </c>
      <c r="L19" s="628">
        <v>0.25</v>
      </c>
      <c r="M19" s="629">
        <v>0.35</v>
      </c>
      <c r="N19" s="85">
        <f t="shared" si="0"/>
        <v>50</v>
      </c>
      <c r="O19" s="70">
        <f t="shared" si="1"/>
        <v>24</v>
      </c>
      <c r="P19" s="64">
        <f t="shared" si="2"/>
        <v>15</v>
      </c>
      <c r="Q19" s="85">
        <v>5</v>
      </c>
      <c r="R19" s="877">
        <v>34</v>
      </c>
      <c r="S19" s="878">
        <v>35</v>
      </c>
      <c r="T19" s="878">
        <v>36</v>
      </c>
      <c r="U19" s="878">
        <v>37</v>
      </c>
      <c r="V19" s="664">
        <v>38</v>
      </c>
      <c r="W19" s="285">
        <v>1</v>
      </c>
      <c r="X19" s="878">
        <v>1.02</v>
      </c>
      <c r="Y19" s="878">
        <v>1.04</v>
      </c>
      <c r="Z19" s="878">
        <v>1.06</v>
      </c>
      <c r="AA19" s="878">
        <v>1.08</v>
      </c>
      <c r="AB19" s="879">
        <v>1.1000000000000001</v>
      </c>
      <c r="AC19" s="67"/>
      <c r="AD19" s="69"/>
      <c r="AE19" s="65"/>
      <c r="AF19" s="68"/>
      <c r="AG19" s="69"/>
      <c r="AH19" s="890"/>
      <c r="AI19" s="890"/>
      <c r="AJ19" s="890"/>
      <c r="AK19" s="890"/>
      <c r="AL19" s="891"/>
      <c r="AM19" s="819"/>
      <c r="AN19" s="819"/>
      <c r="AO19" s="819"/>
      <c r="AP19" s="819"/>
      <c r="AQ19" s="891"/>
      <c r="AR19" s="892"/>
      <c r="AS19" s="949"/>
      <c r="AT19" s="960"/>
      <c r="AU19" s="961"/>
      <c r="AV19" s="949"/>
      <c r="AW19" s="949"/>
      <c r="AX19" s="949"/>
      <c r="AY19" s="949"/>
      <c r="AZ19" s="950"/>
    </row>
    <row r="20" spans="1:52" x14ac:dyDescent="0.25">
      <c r="A20" s="161">
        <v>37803</v>
      </c>
      <c r="B20" s="162">
        <v>37883</v>
      </c>
      <c r="C20" s="92">
        <v>2.74</v>
      </c>
      <c r="D20" s="842">
        <v>0.46</v>
      </c>
      <c r="E20" s="18">
        <v>12.36</v>
      </c>
      <c r="F20" s="60">
        <v>35.96</v>
      </c>
      <c r="G20" s="100">
        <v>0.85</v>
      </c>
      <c r="H20" s="18">
        <v>31755</v>
      </c>
      <c r="I20" s="60">
        <v>74153</v>
      </c>
      <c r="J20" s="58">
        <v>0.1</v>
      </c>
      <c r="K20" s="59">
        <v>0.15</v>
      </c>
      <c r="L20" s="624">
        <v>0.25</v>
      </c>
      <c r="M20" s="625">
        <v>0.35</v>
      </c>
      <c r="N20" s="3">
        <f t="shared" si="0"/>
        <v>50</v>
      </c>
      <c r="O20" s="4">
        <f t="shared" si="1"/>
        <v>24</v>
      </c>
      <c r="P20" s="10">
        <f t="shared" si="2"/>
        <v>15</v>
      </c>
      <c r="Q20" s="3">
        <v>5</v>
      </c>
      <c r="R20" s="338">
        <v>34</v>
      </c>
      <c r="S20" s="873">
        <v>35</v>
      </c>
      <c r="T20" s="873">
        <v>36</v>
      </c>
      <c r="U20" s="873">
        <v>37</v>
      </c>
      <c r="V20" s="662">
        <v>38</v>
      </c>
      <c r="W20" s="286">
        <v>1</v>
      </c>
      <c r="X20" s="873">
        <v>1.02</v>
      </c>
      <c r="Y20" s="873">
        <v>1.04</v>
      </c>
      <c r="Z20" s="873">
        <v>1.06</v>
      </c>
      <c r="AA20" s="873">
        <v>1.08</v>
      </c>
      <c r="AB20" s="874">
        <v>1.1000000000000001</v>
      </c>
      <c r="AC20" s="58"/>
      <c r="AD20" s="60"/>
      <c r="AE20" s="18"/>
      <c r="AF20" s="20"/>
      <c r="AG20" s="60"/>
      <c r="AH20" s="886"/>
      <c r="AI20" s="886"/>
      <c r="AJ20" s="886"/>
      <c r="AK20" s="886"/>
      <c r="AL20" s="392"/>
      <c r="AM20" s="817"/>
      <c r="AN20" s="817"/>
      <c r="AO20" s="817"/>
      <c r="AP20" s="817"/>
      <c r="AQ20" s="392"/>
      <c r="AR20" s="887"/>
      <c r="AS20" s="779"/>
      <c r="AT20" s="723"/>
      <c r="AU20" s="958"/>
      <c r="AV20" s="779"/>
      <c r="AW20" s="779"/>
      <c r="AX20" s="779"/>
      <c r="AY20" s="779"/>
      <c r="AZ20" s="691"/>
    </row>
    <row r="21" spans="1:52" x14ac:dyDescent="0.25">
      <c r="A21" s="163">
        <v>37884</v>
      </c>
      <c r="B21" s="164">
        <v>37986</v>
      </c>
      <c r="C21" s="93">
        <v>2.74</v>
      </c>
      <c r="D21" s="843">
        <v>0.46</v>
      </c>
      <c r="E21" s="17">
        <v>12.36</v>
      </c>
      <c r="F21" s="35">
        <v>35.96</v>
      </c>
      <c r="G21" s="102">
        <v>0.85</v>
      </c>
      <c r="H21" s="17">
        <v>31755</v>
      </c>
      <c r="I21" s="35">
        <v>74153</v>
      </c>
      <c r="J21" s="62">
        <v>0.1</v>
      </c>
      <c r="K21" s="63">
        <v>0.15</v>
      </c>
      <c r="L21" s="626">
        <v>0.25</v>
      </c>
      <c r="M21" s="627">
        <v>0.35</v>
      </c>
      <c r="N21" s="2">
        <f t="shared" si="0"/>
        <v>50</v>
      </c>
      <c r="O21" s="1">
        <f t="shared" si="1"/>
        <v>24</v>
      </c>
      <c r="P21" s="11">
        <f t="shared" si="2"/>
        <v>15</v>
      </c>
      <c r="Q21" s="2">
        <v>5</v>
      </c>
      <c r="R21" s="339">
        <v>34</v>
      </c>
      <c r="S21" s="875">
        <v>35</v>
      </c>
      <c r="T21" s="875">
        <v>36</v>
      </c>
      <c r="U21" s="875">
        <v>37</v>
      </c>
      <c r="V21" s="663">
        <v>38</v>
      </c>
      <c r="W21" s="269">
        <v>1</v>
      </c>
      <c r="X21" s="875">
        <v>1.02</v>
      </c>
      <c r="Y21" s="875">
        <v>1.04</v>
      </c>
      <c r="Z21" s="875">
        <v>1.06</v>
      </c>
      <c r="AA21" s="875">
        <v>1.08</v>
      </c>
      <c r="AB21" s="876">
        <v>1.1000000000000001</v>
      </c>
      <c r="AC21" s="62"/>
      <c r="AD21" s="35"/>
      <c r="AE21" s="17"/>
      <c r="AF21" s="19"/>
      <c r="AG21" s="35"/>
      <c r="AH21" s="888"/>
      <c r="AI21" s="888"/>
      <c r="AJ21" s="888"/>
      <c r="AK21" s="888"/>
      <c r="AL21" s="393"/>
      <c r="AM21" s="818"/>
      <c r="AN21" s="818"/>
      <c r="AO21" s="818"/>
      <c r="AP21" s="818"/>
      <c r="AQ21" s="393"/>
      <c r="AR21" s="889"/>
      <c r="AS21" s="780"/>
      <c r="AT21" s="724"/>
      <c r="AU21" s="959"/>
      <c r="AV21" s="780"/>
      <c r="AW21" s="780"/>
      <c r="AX21" s="780"/>
      <c r="AY21" s="780"/>
      <c r="AZ21" s="688"/>
    </row>
    <row r="22" spans="1:52" x14ac:dyDescent="0.25">
      <c r="A22" s="163">
        <v>37987</v>
      </c>
      <c r="B22" s="164">
        <v>38065</v>
      </c>
      <c r="C22" s="93">
        <v>2.74</v>
      </c>
      <c r="D22" s="843">
        <v>0.46</v>
      </c>
      <c r="E22" s="17">
        <v>12.36</v>
      </c>
      <c r="F22" s="35">
        <v>35.96</v>
      </c>
      <c r="G22" s="102">
        <v>0.85</v>
      </c>
      <c r="H22" s="17">
        <v>31755</v>
      </c>
      <c r="I22" s="35">
        <v>74153</v>
      </c>
      <c r="J22" s="62">
        <v>0.1</v>
      </c>
      <c r="K22" s="63">
        <v>0.15</v>
      </c>
      <c r="L22" s="626">
        <v>0.25</v>
      </c>
      <c r="M22" s="627">
        <v>0.35</v>
      </c>
      <c r="N22" s="2">
        <f t="shared" si="0"/>
        <v>50</v>
      </c>
      <c r="O22" s="1">
        <f t="shared" si="1"/>
        <v>24</v>
      </c>
      <c r="P22" s="11">
        <f t="shared" si="2"/>
        <v>15</v>
      </c>
      <c r="Q22" s="2">
        <v>5</v>
      </c>
      <c r="R22" s="339">
        <v>34</v>
      </c>
      <c r="S22" s="875">
        <v>35</v>
      </c>
      <c r="T22" s="875">
        <v>36</v>
      </c>
      <c r="U22" s="875">
        <v>37</v>
      </c>
      <c r="V22" s="663">
        <v>38</v>
      </c>
      <c r="W22" s="269">
        <v>1</v>
      </c>
      <c r="X22" s="875">
        <v>1.02</v>
      </c>
      <c r="Y22" s="875">
        <v>1.04</v>
      </c>
      <c r="Z22" s="875">
        <v>1.06</v>
      </c>
      <c r="AA22" s="875">
        <v>1.08</v>
      </c>
      <c r="AB22" s="876">
        <v>1.1000000000000001</v>
      </c>
      <c r="AC22" s="62"/>
      <c r="AD22" s="35"/>
      <c r="AE22" s="17"/>
      <c r="AF22" s="19"/>
      <c r="AG22" s="35"/>
      <c r="AH22" s="888"/>
      <c r="AI22" s="888"/>
      <c r="AJ22" s="888"/>
      <c r="AK22" s="888"/>
      <c r="AL22" s="393"/>
      <c r="AM22" s="818"/>
      <c r="AN22" s="818"/>
      <c r="AO22" s="818"/>
      <c r="AP22" s="818"/>
      <c r="AQ22" s="393"/>
      <c r="AR22" s="889"/>
      <c r="AS22" s="780"/>
      <c r="AT22" s="724"/>
      <c r="AU22" s="959"/>
      <c r="AV22" s="780"/>
      <c r="AW22" s="780"/>
      <c r="AX22" s="780"/>
      <c r="AY22" s="780"/>
      <c r="AZ22" s="688"/>
    </row>
    <row r="23" spans="1:52" ht="15.75" thickBot="1" x14ac:dyDescent="0.3">
      <c r="A23" s="180">
        <v>38066</v>
      </c>
      <c r="B23" s="181">
        <v>38168</v>
      </c>
      <c r="C23" s="94">
        <v>2.74</v>
      </c>
      <c r="D23" s="844">
        <v>0.46</v>
      </c>
      <c r="E23" s="65">
        <v>12.36</v>
      </c>
      <c r="F23" s="69">
        <v>35.96</v>
      </c>
      <c r="G23" s="187">
        <v>0.85</v>
      </c>
      <c r="H23" s="65">
        <v>31755</v>
      </c>
      <c r="I23" s="69">
        <v>74153</v>
      </c>
      <c r="J23" s="67">
        <v>0.1</v>
      </c>
      <c r="K23" s="358">
        <v>0.15</v>
      </c>
      <c r="L23" s="628">
        <v>0.25</v>
      </c>
      <c r="M23" s="629">
        <v>0.35</v>
      </c>
      <c r="N23" s="85">
        <f t="shared" si="0"/>
        <v>50</v>
      </c>
      <c r="O23" s="70">
        <f t="shared" si="1"/>
        <v>24</v>
      </c>
      <c r="P23" s="64">
        <f t="shared" si="2"/>
        <v>15</v>
      </c>
      <c r="Q23" s="85">
        <v>5</v>
      </c>
      <c r="R23" s="877">
        <v>34</v>
      </c>
      <c r="S23" s="878">
        <v>35</v>
      </c>
      <c r="T23" s="878">
        <v>36</v>
      </c>
      <c r="U23" s="878">
        <v>37</v>
      </c>
      <c r="V23" s="664">
        <v>38</v>
      </c>
      <c r="W23" s="285">
        <v>1</v>
      </c>
      <c r="X23" s="878">
        <v>1.02</v>
      </c>
      <c r="Y23" s="878">
        <v>1.04</v>
      </c>
      <c r="Z23" s="878">
        <v>1.06</v>
      </c>
      <c r="AA23" s="878">
        <v>1.08</v>
      </c>
      <c r="AB23" s="879">
        <v>1.1000000000000001</v>
      </c>
      <c r="AC23" s="67"/>
      <c r="AD23" s="69"/>
      <c r="AE23" s="65"/>
      <c r="AF23" s="68"/>
      <c r="AG23" s="69"/>
      <c r="AH23" s="890"/>
      <c r="AI23" s="890"/>
      <c r="AJ23" s="890"/>
      <c r="AK23" s="890"/>
      <c r="AL23" s="891"/>
      <c r="AM23" s="819"/>
      <c r="AN23" s="819"/>
      <c r="AO23" s="819"/>
      <c r="AP23" s="819"/>
      <c r="AQ23" s="891"/>
      <c r="AR23" s="892"/>
      <c r="AS23" s="949"/>
      <c r="AT23" s="960"/>
      <c r="AU23" s="961"/>
      <c r="AV23" s="949"/>
      <c r="AW23" s="949"/>
      <c r="AX23" s="949"/>
      <c r="AY23" s="949"/>
      <c r="AZ23" s="950"/>
    </row>
    <row r="24" spans="1:52" x14ac:dyDescent="0.25">
      <c r="A24" s="161">
        <v>38169</v>
      </c>
      <c r="B24" s="162">
        <v>38249</v>
      </c>
      <c r="C24" s="92">
        <v>2.81</v>
      </c>
      <c r="D24" s="842">
        <v>0.47099999999999997</v>
      </c>
      <c r="E24" s="18">
        <v>12.66</v>
      </c>
      <c r="F24" s="60">
        <v>36.82</v>
      </c>
      <c r="G24" s="100">
        <v>0.85</v>
      </c>
      <c r="H24" s="18">
        <v>32485</v>
      </c>
      <c r="I24" s="60">
        <v>75933</v>
      </c>
      <c r="J24" s="58">
        <v>0.1</v>
      </c>
      <c r="K24" s="59">
        <v>0.15</v>
      </c>
      <c r="L24" s="624">
        <v>0.25</v>
      </c>
      <c r="M24" s="625">
        <v>0.35</v>
      </c>
      <c r="N24" s="3">
        <f t="shared" si="0"/>
        <v>50</v>
      </c>
      <c r="O24" s="4">
        <f t="shared" si="1"/>
        <v>24</v>
      </c>
      <c r="P24" s="10">
        <f t="shared" si="2"/>
        <v>15</v>
      </c>
      <c r="Q24" s="3">
        <v>5</v>
      </c>
      <c r="R24" s="338">
        <v>34</v>
      </c>
      <c r="S24" s="873">
        <v>35</v>
      </c>
      <c r="T24" s="873">
        <v>36</v>
      </c>
      <c r="U24" s="873">
        <v>37</v>
      </c>
      <c r="V24" s="662">
        <v>38</v>
      </c>
      <c r="W24" s="286">
        <v>1</v>
      </c>
      <c r="X24" s="873">
        <v>1.02</v>
      </c>
      <c r="Y24" s="873">
        <v>1.04</v>
      </c>
      <c r="Z24" s="873">
        <v>1.06</v>
      </c>
      <c r="AA24" s="873">
        <v>1.08</v>
      </c>
      <c r="AB24" s="874">
        <v>1.1000000000000001</v>
      </c>
      <c r="AC24" s="58">
        <v>0.3</v>
      </c>
      <c r="AD24" s="60">
        <v>4000</v>
      </c>
      <c r="AE24" s="18"/>
      <c r="AF24" s="20"/>
      <c r="AG24" s="60"/>
      <c r="AH24" s="886"/>
      <c r="AI24" s="886"/>
      <c r="AJ24" s="886"/>
      <c r="AK24" s="886"/>
      <c r="AL24" s="392"/>
      <c r="AM24" s="817"/>
      <c r="AN24" s="817"/>
      <c r="AO24" s="817"/>
      <c r="AP24" s="817"/>
      <c r="AQ24" s="392"/>
      <c r="AR24" s="887"/>
      <c r="AS24" s="779"/>
      <c r="AT24" s="723"/>
      <c r="AU24" s="958"/>
      <c r="AV24" s="779"/>
      <c r="AW24" s="779"/>
      <c r="AX24" s="779"/>
      <c r="AY24" s="779"/>
      <c r="AZ24" s="691"/>
    </row>
    <row r="25" spans="1:52" x14ac:dyDescent="0.25">
      <c r="A25" s="163">
        <v>38250</v>
      </c>
      <c r="B25" s="164">
        <v>38352</v>
      </c>
      <c r="C25" s="93">
        <v>2.81</v>
      </c>
      <c r="D25" s="843">
        <v>0.47099999999999997</v>
      </c>
      <c r="E25" s="17">
        <v>12.66</v>
      </c>
      <c r="F25" s="35">
        <v>36.82</v>
      </c>
      <c r="G25" s="102">
        <v>0.85</v>
      </c>
      <c r="H25" s="17">
        <v>32485</v>
      </c>
      <c r="I25" s="35">
        <v>75933</v>
      </c>
      <c r="J25" s="62">
        <v>0.1</v>
      </c>
      <c r="K25" s="63">
        <v>0.15</v>
      </c>
      <c r="L25" s="626">
        <v>0.25</v>
      </c>
      <c r="M25" s="627">
        <v>0.35</v>
      </c>
      <c r="N25" s="2">
        <f t="shared" si="0"/>
        <v>50</v>
      </c>
      <c r="O25" s="1">
        <f t="shared" si="1"/>
        <v>24</v>
      </c>
      <c r="P25" s="11">
        <f t="shared" si="2"/>
        <v>15</v>
      </c>
      <c r="Q25" s="2">
        <v>5</v>
      </c>
      <c r="R25" s="339">
        <v>34</v>
      </c>
      <c r="S25" s="875">
        <v>35</v>
      </c>
      <c r="T25" s="875">
        <v>36</v>
      </c>
      <c r="U25" s="875">
        <v>37</v>
      </c>
      <c r="V25" s="663">
        <v>38</v>
      </c>
      <c r="W25" s="269">
        <v>1</v>
      </c>
      <c r="X25" s="875">
        <v>1.02</v>
      </c>
      <c r="Y25" s="875">
        <v>1.04</v>
      </c>
      <c r="Z25" s="875">
        <v>1.06</v>
      </c>
      <c r="AA25" s="875">
        <v>1.08</v>
      </c>
      <c r="AB25" s="876">
        <v>1.1000000000000001</v>
      </c>
      <c r="AC25" s="62">
        <f>AC24</f>
        <v>0.3</v>
      </c>
      <c r="AD25" s="35">
        <v>4000</v>
      </c>
      <c r="AE25" s="17"/>
      <c r="AF25" s="19"/>
      <c r="AG25" s="35"/>
      <c r="AH25" s="888"/>
      <c r="AI25" s="888"/>
      <c r="AJ25" s="888"/>
      <c r="AK25" s="888"/>
      <c r="AL25" s="393"/>
      <c r="AM25" s="818"/>
      <c r="AN25" s="818"/>
      <c r="AO25" s="818"/>
      <c r="AP25" s="818"/>
      <c r="AQ25" s="393"/>
      <c r="AR25" s="889"/>
      <c r="AS25" s="780"/>
      <c r="AT25" s="724"/>
      <c r="AU25" s="959"/>
      <c r="AV25" s="780"/>
      <c r="AW25" s="780"/>
      <c r="AX25" s="780"/>
      <c r="AY25" s="780"/>
      <c r="AZ25" s="688"/>
    </row>
    <row r="26" spans="1:52" x14ac:dyDescent="0.25">
      <c r="A26" s="163">
        <v>38353</v>
      </c>
      <c r="B26" s="164">
        <v>38430</v>
      </c>
      <c r="C26" s="93">
        <v>2.81</v>
      </c>
      <c r="D26" s="843">
        <v>0.47099999999999997</v>
      </c>
      <c r="E26" s="17">
        <v>12.66</v>
      </c>
      <c r="F26" s="35">
        <v>36.82</v>
      </c>
      <c r="G26" s="102">
        <v>0.85</v>
      </c>
      <c r="H26" s="17">
        <v>32485</v>
      </c>
      <c r="I26" s="35">
        <v>75933</v>
      </c>
      <c r="J26" s="62">
        <v>0.1</v>
      </c>
      <c r="K26" s="63">
        <v>0.15</v>
      </c>
      <c r="L26" s="626">
        <v>0.25</v>
      </c>
      <c r="M26" s="627">
        <v>0.35</v>
      </c>
      <c r="N26" s="2">
        <f t="shared" si="0"/>
        <v>50</v>
      </c>
      <c r="O26" s="1">
        <f t="shared" si="1"/>
        <v>24</v>
      </c>
      <c r="P26" s="11">
        <f t="shared" si="2"/>
        <v>15</v>
      </c>
      <c r="Q26" s="2">
        <v>5</v>
      </c>
      <c r="R26" s="339">
        <v>34</v>
      </c>
      <c r="S26" s="875">
        <v>35</v>
      </c>
      <c r="T26" s="875">
        <v>36</v>
      </c>
      <c r="U26" s="875">
        <v>37</v>
      </c>
      <c r="V26" s="663">
        <v>38</v>
      </c>
      <c r="W26" s="269">
        <v>1</v>
      </c>
      <c r="X26" s="875">
        <v>1.02</v>
      </c>
      <c r="Y26" s="875">
        <v>1.04</v>
      </c>
      <c r="Z26" s="875">
        <v>1.06</v>
      </c>
      <c r="AA26" s="875">
        <v>1.08</v>
      </c>
      <c r="AB26" s="876">
        <v>1.1000000000000001</v>
      </c>
      <c r="AC26" s="62">
        <f>AC25</f>
        <v>0.3</v>
      </c>
      <c r="AD26" s="35">
        <v>4000</v>
      </c>
      <c r="AE26" s="17"/>
      <c r="AF26" s="19"/>
      <c r="AG26" s="35"/>
      <c r="AH26" s="888"/>
      <c r="AI26" s="888"/>
      <c r="AJ26" s="888"/>
      <c r="AK26" s="888"/>
      <c r="AL26" s="393"/>
      <c r="AM26" s="818"/>
      <c r="AN26" s="818"/>
      <c r="AO26" s="818"/>
      <c r="AP26" s="818"/>
      <c r="AQ26" s="393"/>
      <c r="AR26" s="889"/>
      <c r="AS26" s="780"/>
      <c r="AT26" s="724"/>
      <c r="AU26" s="959"/>
      <c r="AV26" s="780"/>
      <c r="AW26" s="780"/>
      <c r="AX26" s="780"/>
      <c r="AY26" s="780"/>
      <c r="AZ26" s="688"/>
    </row>
    <row r="27" spans="1:52" ht="15.75" thickBot="1" x14ac:dyDescent="0.3">
      <c r="A27" s="180">
        <v>38431</v>
      </c>
      <c r="B27" s="181">
        <v>38533</v>
      </c>
      <c r="C27" s="94">
        <v>2.81</v>
      </c>
      <c r="D27" s="844">
        <v>0.47099999999999997</v>
      </c>
      <c r="E27" s="65">
        <v>12.66</v>
      </c>
      <c r="F27" s="69">
        <v>36.82</v>
      </c>
      <c r="G27" s="187">
        <v>0.85</v>
      </c>
      <c r="H27" s="65">
        <v>32485</v>
      </c>
      <c r="I27" s="69">
        <v>75933</v>
      </c>
      <c r="J27" s="67">
        <v>0.1</v>
      </c>
      <c r="K27" s="358">
        <v>0.15</v>
      </c>
      <c r="L27" s="628">
        <v>0.25</v>
      </c>
      <c r="M27" s="629">
        <v>0.35</v>
      </c>
      <c r="N27" s="85">
        <f t="shared" si="0"/>
        <v>50</v>
      </c>
      <c r="O27" s="70">
        <f t="shared" si="1"/>
        <v>24</v>
      </c>
      <c r="P27" s="64">
        <f t="shared" si="2"/>
        <v>15</v>
      </c>
      <c r="Q27" s="85">
        <v>5</v>
      </c>
      <c r="R27" s="877">
        <v>34</v>
      </c>
      <c r="S27" s="878">
        <v>35</v>
      </c>
      <c r="T27" s="878">
        <v>36</v>
      </c>
      <c r="U27" s="878">
        <v>37</v>
      </c>
      <c r="V27" s="664">
        <v>38</v>
      </c>
      <c r="W27" s="285">
        <v>1</v>
      </c>
      <c r="X27" s="878">
        <v>1.02</v>
      </c>
      <c r="Y27" s="878">
        <v>1.04</v>
      </c>
      <c r="Z27" s="878">
        <v>1.06</v>
      </c>
      <c r="AA27" s="878">
        <v>1.08</v>
      </c>
      <c r="AB27" s="879">
        <v>1.1000000000000001</v>
      </c>
      <c r="AC27" s="67">
        <f>AC26</f>
        <v>0.3</v>
      </c>
      <c r="AD27" s="69">
        <v>4000</v>
      </c>
      <c r="AE27" s="65"/>
      <c r="AF27" s="68"/>
      <c r="AG27" s="69"/>
      <c r="AH27" s="890"/>
      <c r="AI27" s="890"/>
      <c r="AJ27" s="890"/>
      <c r="AK27" s="890"/>
      <c r="AL27" s="891"/>
      <c r="AM27" s="819"/>
      <c r="AN27" s="819"/>
      <c r="AO27" s="819"/>
      <c r="AP27" s="819"/>
      <c r="AQ27" s="891"/>
      <c r="AR27" s="892"/>
      <c r="AS27" s="949"/>
      <c r="AT27" s="960"/>
      <c r="AU27" s="961"/>
      <c r="AV27" s="949"/>
      <c r="AW27" s="949"/>
      <c r="AX27" s="949"/>
      <c r="AY27" s="949"/>
      <c r="AZ27" s="950"/>
    </row>
    <row r="28" spans="1:52" x14ac:dyDescent="0.25">
      <c r="A28" s="161">
        <v>38534</v>
      </c>
      <c r="B28" s="162">
        <v>38614</v>
      </c>
      <c r="C28" s="92">
        <v>2.88</v>
      </c>
      <c r="D28" s="842">
        <v>0.48299999999999998</v>
      </c>
      <c r="E28" s="18">
        <v>12.99</v>
      </c>
      <c r="F28" s="60">
        <v>37.78</v>
      </c>
      <c r="G28" s="100">
        <v>0.85</v>
      </c>
      <c r="H28" s="18">
        <v>33361</v>
      </c>
      <c r="I28" s="60">
        <v>77907</v>
      </c>
      <c r="J28" s="58">
        <v>0.1</v>
      </c>
      <c r="K28" s="59">
        <v>0.15</v>
      </c>
      <c r="L28" s="624">
        <v>0.25</v>
      </c>
      <c r="M28" s="625">
        <v>0.35</v>
      </c>
      <c r="N28" s="3">
        <f t="shared" si="0"/>
        <v>50</v>
      </c>
      <c r="O28" s="4">
        <f t="shared" si="1"/>
        <v>24</v>
      </c>
      <c r="P28" s="10">
        <f t="shared" si="2"/>
        <v>15</v>
      </c>
      <c r="Q28" s="3">
        <v>5</v>
      </c>
      <c r="R28" s="338">
        <v>34</v>
      </c>
      <c r="S28" s="873">
        <v>35</v>
      </c>
      <c r="T28" s="873">
        <v>36</v>
      </c>
      <c r="U28" s="873">
        <v>37</v>
      </c>
      <c r="V28" s="662">
        <v>38</v>
      </c>
      <c r="W28" s="286">
        <v>1</v>
      </c>
      <c r="X28" s="873">
        <v>1.02</v>
      </c>
      <c r="Y28" s="873">
        <v>1.04</v>
      </c>
      <c r="Z28" s="873">
        <v>1.06</v>
      </c>
      <c r="AA28" s="873">
        <v>1.08</v>
      </c>
      <c r="AB28" s="874">
        <v>1.1000000000000001</v>
      </c>
      <c r="AC28" s="58">
        <v>0.3</v>
      </c>
      <c r="AD28" s="60">
        <v>4096</v>
      </c>
      <c r="AE28" s="18"/>
      <c r="AF28" s="20"/>
      <c r="AG28" s="60"/>
      <c r="AH28" s="886"/>
      <c r="AI28" s="886"/>
      <c r="AJ28" s="886"/>
      <c r="AK28" s="886"/>
      <c r="AL28" s="392"/>
      <c r="AM28" s="817"/>
      <c r="AN28" s="817"/>
      <c r="AO28" s="817"/>
      <c r="AP28" s="817"/>
      <c r="AQ28" s="392"/>
      <c r="AR28" s="887"/>
      <c r="AS28" s="779"/>
      <c r="AT28" s="723"/>
      <c r="AU28" s="958"/>
      <c r="AV28" s="779"/>
      <c r="AW28" s="779"/>
      <c r="AX28" s="779"/>
      <c r="AY28" s="779"/>
      <c r="AZ28" s="691"/>
    </row>
    <row r="29" spans="1:52" x14ac:dyDescent="0.25">
      <c r="A29" s="163">
        <v>38615</v>
      </c>
      <c r="B29" s="164">
        <v>38717</v>
      </c>
      <c r="C29" s="93">
        <v>2.88</v>
      </c>
      <c r="D29" s="843">
        <v>0.48299999999999998</v>
      </c>
      <c r="E29" s="17">
        <v>12.99</v>
      </c>
      <c r="F29" s="35">
        <v>37.78</v>
      </c>
      <c r="G29" s="102">
        <v>0.85</v>
      </c>
      <c r="H29" s="17">
        <v>33361</v>
      </c>
      <c r="I29" s="35">
        <v>77907</v>
      </c>
      <c r="J29" s="62">
        <v>0.1</v>
      </c>
      <c r="K29" s="63">
        <v>0.15</v>
      </c>
      <c r="L29" s="626">
        <v>0.25</v>
      </c>
      <c r="M29" s="627">
        <v>0.35</v>
      </c>
      <c r="N29" s="2">
        <f t="shared" si="0"/>
        <v>50</v>
      </c>
      <c r="O29" s="1">
        <f t="shared" si="1"/>
        <v>24</v>
      </c>
      <c r="P29" s="11">
        <f t="shared" si="2"/>
        <v>15</v>
      </c>
      <c r="Q29" s="2">
        <v>5</v>
      </c>
      <c r="R29" s="339">
        <v>34</v>
      </c>
      <c r="S29" s="875">
        <v>35</v>
      </c>
      <c r="T29" s="875">
        <v>36</v>
      </c>
      <c r="U29" s="875">
        <v>37</v>
      </c>
      <c r="V29" s="663">
        <v>38</v>
      </c>
      <c r="W29" s="269">
        <v>1</v>
      </c>
      <c r="X29" s="875">
        <v>1.02</v>
      </c>
      <c r="Y29" s="875">
        <v>1.04</v>
      </c>
      <c r="Z29" s="875">
        <v>1.06</v>
      </c>
      <c r="AA29" s="875">
        <v>1.08</v>
      </c>
      <c r="AB29" s="876">
        <v>1.1000000000000001</v>
      </c>
      <c r="AC29" s="62">
        <f>AC28</f>
        <v>0.3</v>
      </c>
      <c r="AD29" s="35">
        <v>4096</v>
      </c>
      <c r="AE29" s="17"/>
      <c r="AF29" s="19"/>
      <c r="AG29" s="35"/>
      <c r="AH29" s="888"/>
      <c r="AI29" s="888"/>
      <c r="AJ29" s="888"/>
      <c r="AK29" s="888"/>
      <c r="AL29" s="393"/>
      <c r="AM29" s="818"/>
      <c r="AN29" s="818"/>
      <c r="AO29" s="818"/>
      <c r="AP29" s="818"/>
      <c r="AQ29" s="393"/>
      <c r="AR29" s="889"/>
      <c r="AS29" s="780"/>
      <c r="AT29" s="724"/>
      <c r="AU29" s="959"/>
      <c r="AV29" s="780"/>
      <c r="AW29" s="780"/>
      <c r="AX29" s="780"/>
      <c r="AY29" s="780"/>
      <c r="AZ29" s="688"/>
    </row>
    <row r="30" spans="1:52" x14ac:dyDescent="0.25">
      <c r="A30" s="163">
        <v>38718</v>
      </c>
      <c r="B30" s="164">
        <v>38795</v>
      </c>
      <c r="C30" s="93">
        <v>2.88</v>
      </c>
      <c r="D30" s="843">
        <v>0.48299999999999998</v>
      </c>
      <c r="E30" s="17">
        <v>12.99</v>
      </c>
      <c r="F30" s="35">
        <v>37.78</v>
      </c>
      <c r="G30" s="102">
        <v>0.85</v>
      </c>
      <c r="H30" s="17">
        <v>33361</v>
      </c>
      <c r="I30" s="35">
        <v>77907</v>
      </c>
      <c r="J30" s="62">
        <v>0.1</v>
      </c>
      <c r="K30" s="63">
        <v>0.15</v>
      </c>
      <c r="L30" s="626">
        <v>0.25</v>
      </c>
      <c r="M30" s="627">
        <v>0.35</v>
      </c>
      <c r="N30" s="2">
        <f t="shared" si="0"/>
        <v>50</v>
      </c>
      <c r="O30" s="1">
        <f t="shared" si="1"/>
        <v>24</v>
      </c>
      <c r="P30" s="11">
        <f t="shared" si="2"/>
        <v>15</v>
      </c>
      <c r="Q30" s="2">
        <v>5</v>
      </c>
      <c r="R30" s="339">
        <v>34</v>
      </c>
      <c r="S30" s="875">
        <v>35</v>
      </c>
      <c r="T30" s="875">
        <v>36</v>
      </c>
      <c r="U30" s="875">
        <v>37</v>
      </c>
      <c r="V30" s="663">
        <v>38</v>
      </c>
      <c r="W30" s="269">
        <v>1</v>
      </c>
      <c r="X30" s="875">
        <v>1.02</v>
      </c>
      <c r="Y30" s="875">
        <v>1.04</v>
      </c>
      <c r="Z30" s="875">
        <v>1.06</v>
      </c>
      <c r="AA30" s="875">
        <v>1.08</v>
      </c>
      <c r="AB30" s="876">
        <v>1.1000000000000001</v>
      </c>
      <c r="AC30" s="62">
        <f>AC29</f>
        <v>0.3</v>
      </c>
      <c r="AD30" s="35">
        <v>4096</v>
      </c>
      <c r="AE30" s="17"/>
      <c r="AF30" s="19"/>
      <c r="AG30" s="35"/>
      <c r="AH30" s="888"/>
      <c r="AI30" s="888"/>
      <c r="AJ30" s="888"/>
      <c r="AK30" s="888"/>
      <c r="AL30" s="393"/>
      <c r="AM30" s="818"/>
      <c r="AN30" s="818"/>
      <c r="AO30" s="818"/>
      <c r="AP30" s="818"/>
      <c r="AQ30" s="393"/>
      <c r="AR30" s="889"/>
      <c r="AS30" s="780"/>
      <c r="AT30" s="724"/>
      <c r="AU30" s="959"/>
      <c r="AV30" s="780"/>
      <c r="AW30" s="780"/>
      <c r="AX30" s="780"/>
      <c r="AY30" s="780"/>
      <c r="AZ30" s="688"/>
    </row>
    <row r="31" spans="1:52" ht="15.75" thickBot="1" x14ac:dyDescent="0.3">
      <c r="A31" s="180">
        <v>38796</v>
      </c>
      <c r="B31" s="181">
        <v>38898</v>
      </c>
      <c r="C31" s="94">
        <v>2.88</v>
      </c>
      <c r="D31" s="844">
        <v>0.48299999999999998</v>
      </c>
      <c r="E31" s="65">
        <v>12.99</v>
      </c>
      <c r="F31" s="69">
        <v>37.78</v>
      </c>
      <c r="G31" s="187">
        <v>0.85</v>
      </c>
      <c r="H31" s="65">
        <v>33361</v>
      </c>
      <c r="I31" s="69">
        <v>77907</v>
      </c>
      <c r="J31" s="67">
        <v>0.1</v>
      </c>
      <c r="K31" s="358">
        <v>0.15</v>
      </c>
      <c r="L31" s="628">
        <v>0.25</v>
      </c>
      <c r="M31" s="629">
        <v>0.35</v>
      </c>
      <c r="N31" s="85">
        <f t="shared" si="0"/>
        <v>50</v>
      </c>
      <c r="O31" s="70">
        <f t="shared" si="1"/>
        <v>24</v>
      </c>
      <c r="P31" s="64">
        <f t="shared" si="2"/>
        <v>15</v>
      </c>
      <c r="Q31" s="85">
        <v>5</v>
      </c>
      <c r="R31" s="877">
        <v>34</v>
      </c>
      <c r="S31" s="878">
        <v>35</v>
      </c>
      <c r="T31" s="878">
        <v>36</v>
      </c>
      <c r="U31" s="878">
        <v>37</v>
      </c>
      <c r="V31" s="664">
        <v>38</v>
      </c>
      <c r="W31" s="285">
        <v>1</v>
      </c>
      <c r="X31" s="878">
        <v>1.02</v>
      </c>
      <c r="Y31" s="878">
        <v>1.04</v>
      </c>
      <c r="Z31" s="878">
        <v>1.06</v>
      </c>
      <c r="AA31" s="878">
        <v>1.08</v>
      </c>
      <c r="AB31" s="879">
        <v>1.1000000000000001</v>
      </c>
      <c r="AC31" s="67">
        <f>AC30</f>
        <v>0.3</v>
      </c>
      <c r="AD31" s="69">
        <v>4096</v>
      </c>
      <c r="AE31" s="65"/>
      <c r="AF31" s="68"/>
      <c r="AG31" s="69"/>
      <c r="AH31" s="890"/>
      <c r="AI31" s="890"/>
      <c r="AJ31" s="890"/>
      <c r="AK31" s="890"/>
      <c r="AL31" s="891"/>
      <c r="AM31" s="819"/>
      <c r="AN31" s="819"/>
      <c r="AO31" s="819"/>
      <c r="AP31" s="819"/>
      <c r="AQ31" s="891"/>
      <c r="AR31" s="892"/>
      <c r="AS31" s="949"/>
      <c r="AT31" s="960"/>
      <c r="AU31" s="961"/>
      <c r="AV31" s="949"/>
      <c r="AW31" s="949"/>
      <c r="AX31" s="949"/>
      <c r="AY31" s="949"/>
      <c r="AZ31" s="950"/>
    </row>
    <row r="32" spans="1:52" x14ac:dyDescent="0.25">
      <c r="A32" s="161">
        <v>38899</v>
      </c>
      <c r="B32" s="162">
        <v>38979</v>
      </c>
      <c r="C32" s="92">
        <v>2.96</v>
      </c>
      <c r="D32" s="842">
        <v>0.497</v>
      </c>
      <c r="E32" s="18">
        <v>13.35</v>
      </c>
      <c r="F32" s="60">
        <v>38.840000000000003</v>
      </c>
      <c r="G32" s="100">
        <v>0.85</v>
      </c>
      <c r="H32" s="18">
        <v>34310</v>
      </c>
      <c r="I32" s="60">
        <v>80088</v>
      </c>
      <c r="J32" s="58">
        <v>0.1</v>
      </c>
      <c r="K32" s="59">
        <v>0.15</v>
      </c>
      <c r="L32" s="624">
        <v>0.25</v>
      </c>
      <c r="M32" s="625">
        <v>0.35</v>
      </c>
      <c r="N32" s="3">
        <f t="shared" si="0"/>
        <v>50</v>
      </c>
      <c r="O32" s="4">
        <f t="shared" si="1"/>
        <v>24</v>
      </c>
      <c r="P32" s="10">
        <f t="shared" si="2"/>
        <v>15</v>
      </c>
      <c r="Q32" s="3">
        <v>5</v>
      </c>
      <c r="R32" s="338">
        <v>34</v>
      </c>
      <c r="S32" s="873">
        <v>35</v>
      </c>
      <c r="T32" s="873">
        <v>36</v>
      </c>
      <c r="U32" s="873">
        <v>37</v>
      </c>
      <c r="V32" s="662">
        <v>38</v>
      </c>
      <c r="W32" s="286">
        <v>1</v>
      </c>
      <c r="X32" s="873">
        <v>1.02</v>
      </c>
      <c r="Y32" s="873">
        <v>1.04</v>
      </c>
      <c r="Z32" s="873">
        <v>1.06</v>
      </c>
      <c r="AA32" s="873">
        <v>1.08</v>
      </c>
      <c r="AB32" s="874">
        <v>1.1000000000000001</v>
      </c>
      <c r="AC32" s="58">
        <v>0.3</v>
      </c>
      <c r="AD32" s="60">
        <v>4211</v>
      </c>
      <c r="AE32" s="18"/>
      <c r="AF32" s="20"/>
      <c r="AG32" s="60"/>
      <c r="AH32" s="886"/>
      <c r="AI32" s="886"/>
      <c r="AJ32" s="886"/>
      <c r="AK32" s="886"/>
      <c r="AL32" s="392"/>
      <c r="AM32" s="817"/>
      <c r="AN32" s="817"/>
      <c r="AO32" s="817"/>
      <c r="AP32" s="817"/>
      <c r="AQ32" s="392"/>
      <c r="AR32" s="887"/>
      <c r="AS32" s="779"/>
      <c r="AT32" s="723"/>
      <c r="AU32" s="958"/>
      <c r="AV32" s="779"/>
      <c r="AW32" s="779"/>
      <c r="AX32" s="779"/>
      <c r="AY32" s="779"/>
      <c r="AZ32" s="691"/>
    </row>
    <row r="33" spans="1:52" x14ac:dyDescent="0.25">
      <c r="A33" s="163">
        <v>38980</v>
      </c>
      <c r="B33" s="164">
        <v>39082</v>
      </c>
      <c r="C33" s="93">
        <v>2.96</v>
      </c>
      <c r="D33" s="843">
        <v>0.497</v>
      </c>
      <c r="E33" s="17">
        <v>13.35</v>
      </c>
      <c r="F33" s="35">
        <v>38.840000000000003</v>
      </c>
      <c r="G33" s="102">
        <v>0.85</v>
      </c>
      <c r="H33" s="17">
        <v>34310</v>
      </c>
      <c r="I33" s="35">
        <v>80088</v>
      </c>
      <c r="J33" s="62">
        <v>0.1</v>
      </c>
      <c r="K33" s="63">
        <v>0.15</v>
      </c>
      <c r="L33" s="626">
        <v>0.25</v>
      </c>
      <c r="M33" s="627">
        <v>0.35</v>
      </c>
      <c r="N33" s="2">
        <f t="shared" si="0"/>
        <v>50</v>
      </c>
      <c r="O33" s="1">
        <f t="shared" si="1"/>
        <v>24</v>
      </c>
      <c r="P33" s="11">
        <f t="shared" si="2"/>
        <v>15</v>
      </c>
      <c r="Q33" s="2">
        <v>5</v>
      </c>
      <c r="R33" s="339">
        <v>34</v>
      </c>
      <c r="S33" s="875">
        <v>35</v>
      </c>
      <c r="T33" s="875">
        <v>36</v>
      </c>
      <c r="U33" s="875">
        <v>37</v>
      </c>
      <c r="V33" s="663">
        <v>38</v>
      </c>
      <c r="W33" s="269">
        <v>1</v>
      </c>
      <c r="X33" s="875">
        <v>1.02</v>
      </c>
      <c r="Y33" s="875">
        <v>1.04</v>
      </c>
      <c r="Z33" s="875">
        <v>1.06</v>
      </c>
      <c r="AA33" s="875">
        <v>1.08</v>
      </c>
      <c r="AB33" s="876">
        <v>1.1000000000000001</v>
      </c>
      <c r="AC33" s="62">
        <f>AC32</f>
        <v>0.3</v>
      </c>
      <c r="AD33" s="35">
        <f>AD32</f>
        <v>4211</v>
      </c>
      <c r="AE33" s="17"/>
      <c r="AF33" s="19"/>
      <c r="AG33" s="35"/>
      <c r="AH33" s="888"/>
      <c r="AI33" s="888"/>
      <c r="AJ33" s="888"/>
      <c r="AK33" s="888"/>
      <c r="AL33" s="393"/>
      <c r="AM33" s="818"/>
      <c r="AN33" s="818"/>
      <c r="AO33" s="818"/>
      <c r="AP33" s="818"/>
      <c r="AQ33" s="393"/>
      <c r="AR33" s="889"/>
      <c r="AS33" s="780"/>
      <c r="AT33" s="724"/>
      <c r="AU33" s="959"/>
      <c r="AV33" s="780"/>
      <c r="AW33" s="780"/>
      <c r="AX33" s="780"/>
      <c r="AY33" s="780"/>
      <c r="AZ33" s="688"/>
    </row>
    <row r="34" spans="1:52" x14ac:dyDescent="0.25">
      <c r="A34" s="163">
        <v>39083</v>
      </c>
      <c r="B34" s="164">
        <v>39160</v>
      </c>
      <c r="C34" s="93">
        <v>2.96</v>
      </c>
      <c r="D34" s="843">
        <v>0.497</v>
      </c>
      <c r="E34" s="17">
        <v>13.35</v>
      </c>
      <c r="F34" s="35">
        <v>38.840000000000003</v>
      </c>
      <c r="G34" s="102">
        <v>0.85</v>
      </c>
      <c r="H34" s="17">
        <v>34310</v>
      </c>
      <c r="I34" s="35">
        <v>80088</v>
      </c>
      <c r="J34" s="62">
        <v>0.1</v>
      </c>
      <c r="K34" s="63">
        <v>0.15</v>
      </c>
      <c r="L34" s="626">
        <v>0.25</v>
      </c>
      <c r="M34" s="627">
        <v>0.35</v>
      </c>
      <c r="N34" s="2">
        <f t="shared" si="0"/>
        <v>50</v>
      </c>
      <c r="O34" s="1">
        <f t="shared" si="1"/>
        <v>24</v>
      </c>
      <c r="P34" s="11">
        <f t="shared" si="2"/>
        <v>15</v>
      </c>
      <c r="Q34" s="2">
        <v>5</v>
      </c>
      <c r="R34" s="339">
        <v>34</v>
      </c>
      <c r="S34" s="875">
        <v>35</v>
      </c>
      <c r="T34" s="875">
        <v>36</v>
      </c>
      <c r="U34" s="875">
        <v>37</v>
      </c>
      <c r="V34" s="663">
        <v>38</v>
      </c>
      <c r="W34" s="269">
        <v>1</v>
      </c>
      <c r="X34" s="875">
        <v>1.02</v>
      </c>
      <c r="Y34" s="875">
        <v>1.04</v>
      </c>
      <c r="Z34" s="875">
        <v>1.06</v>
      </c>
      <c r="AA34" s="875">
        <v>1.08</v>
      </c>
      <c r="AB34" s="876">
        <v>1.1000000000000001</v>
      </c>
      <c r="AC34" s="62">
        <f t="shared" ref="AC34:AC39" si="3">AC33</f>
        <v>0.3</v>
      </c>
      <c r="AD34" s="35">
        <f>AD33</f>
        <v>4211</v>
      </c>
      <c r="AE34" s="17"/>
      <c r="AF34" s="19"/>
      <c r="AG34" s="35"/>
      <c r="AH34" s="888"/>
      <c r="AI34" s="888"/>
      <c r="AJ34" s="888"/>
      <c r="AK34" s="888"/>
      <c r="AL34" s="393"/>
      <c r="AM34" s="818"/>
      <c r="AN34" s="818"/>
      <c r="AO34" s="818"/>
      <c r="AP34" s="818"/>
      <c r="AQ34" s="393"/>
      <c r="AR34" s="889"/>
      <c r="AS34" s="780"/>
      <c r="AT34" s="724"/>
      <c r="AU34" s="959"/>
      <c r="AV34" s="780"/>
      <c r="AW34" s="780"/>
      <c r="AX34" s="780"/>
      <c r="AY34" s="780"/>
      <c r="AZ34" s="688"/>
    </row>
    <row r="35" spans="1:52" ht="15.75" thickBot="1" x14ac:dyDescent="0.3">
      <c r="A35" s="180">
        <v>39161</v>
      </c>
      <c r="B35" s="181">
        <v>39263</v>
      </c>
      <c r="C35" s="94">
        <v>2.96</v>
      </c>
      <c r="D35" s="844">
        <v>0.497</v>
      </c>
      <c r="E35" s="65">
        <v>13.35</v>
      </c>
      <c r="F35" s="69">
        <v>38.840000000000003</v>
      </c>
      <c r="G35" s="187">
        <v>0.85</v>
      </c>
      <c r="H35" s="65">
        <v>34310</v>
      </c>
      <c r="I35" s="69">
        <v>80088</v>
      </c>
      <c r="J35" s="67">
        <v>0.1</v>
      </c>
      <c r="K35" s="358">
        <v>0.15</v>
      </c>
      <c r="L35" s="628">
        <v>0.25</v>
      </c>
      <c r="M35" s="629">
        <v>0.35</v>
      </c>
      <c r="N35" s="85">
        <f t="shared" si="0"/>
        <v>50</v>
      </c>
      <c r="O35" s="70">
        <f t="shared" si="1"/>
        <v>24</v>
      </c>
      <c r="P35" s="64">
        <f t="shared" si="2"/>
        <v>15</v>
      </c>
      <c r="Q35" s="85">
        <v>5</v>
      </c>
      <c r="R35" s="877">
        <v>34</v>
      </c>
      <c r="S35" s="878">
        <v>35</v>
      </c>
      <c r="T35" s="878">
        <v>36</v>
      </c>
      <c r="U35" s="878">
        <v>37</v>
      </c>
      <c r="V35" s="664">
        <v>38</v>
      </c>
      <c r="W35" s="285">
        <v>1</v>
      </c>
      <c r="X35" s="878">
        <v>1.02</v>
      </c>
      <c r="Y35" s="878">
        <v>1.04</v>
      </c>
      <c r="Z35" s="878">
        <v>1.06</v>
      </c>
      <c r="AA35" s="878">
        <v>1.08</v>
      </c>
      <c r="AB35" s="879">
        <v>1.1000000000000001</v>
      </c>
      <c r="AC35" s="67">
        <f t="shared" si="3"/>
        <v>0.3</v>
      </c>
      <c r="AD35" s="69">
        <f>AD34</f>
        <v>4211</v>
      </c>
      <c r="AE35" s="65"/>
      <c r="AF35" s="68"/>
      <c r="AG35" s="69"/>
      <c r="AH35" s="890"/>
      <c r="AI35" s="890"/>
      <c r="AJ35" s="890"/>
      <c r="AK35" s="890"/>
      <c r="AL35" s="891"/>
      <c r="AM35" s="819"/>
      <c r="AN35" s="819"/>
      <c r="AO35" s="819"/>
      <c r="AP35" s="819"/>
      <c r="AQ35" s="891"/>
      <c r="AR35" s="892"/>
      <c r="AS35" s="949"/>
      <c r="AT35" s="960"/>
      <c r="AU35" s="961"/>
      <c r="AV35" s="949"/>
      <c r="AW35" s="949"/>
      <c r="AX35" s="949"/>
      <c r="AY35" s="949"/>
      <c r="AZ35" s="950"/>
    </row>
    <row r="36" spans="1:52" x14ac:dyDescent="0.25">
      <c r="A36" s="161">
        <v>39264</v>
      </c>
      <c r="B36" s="162">
        <v>39344</v>
      </c>
      <c r="C36" s="92">
        <v>3.37</v>
      </c>
      <c r="D36" s="842">
        <v>0.56399999999999995</v>
      </c>
      <c r="E36" s="18">
        <v>15.17</v>
      </c>
      <c r="F36" s="60">
        <v>44.13</v>
      </c>
      <c r="G36" s="100">
        <v>0.85</v>
      </c>
      <c r="H36" s="18">
        <v>35478</v>
      </c>
      <c r="I36" s="60">
        <v>82731</v>
      </c>
      <c r="J36" s="58">
        <v>0.1</v>
      </c>
      <c r="K36" s="59">
        <v>0.15</v>
      </c>
      <c r="L36" s="624">
        <v>0.25</v>
      </c>
      <c r="M36" s="625">
        <v>0.35</v>
      </c>
      <c r="N36" s="3">
        <f t="shared" si="0"/>
        <v>50</v>
      </c>
      <c r="O36" s="4">
        <f t="shared" si="1"/>
        <v>24</v>
      </c>
      <c r="P36" s="10">
        <f t="shared" si="2"/>
        <v>15</v>
      </c>
      <c r="Q36" s="3">
        <v>5</v>
      </c>
      <c r="R36" s="338">
        <v>34</v>
      </c>
      <c r="S36" s="873">
        <v>35</v>
      </c>
      <c r="T36" s="873">
        <v>36</v>
      </c>
      <c r="U36" s="873">
        <v>37</v>
      </c>
      <c r="V36" s="662">
        <v>38</v>
      </c>
      <c r="W36" s="286">
        <v>1</v>
      </c>
      <c r="X36" s="873">
        <v>1.02</v>
      </c>
      <c r="Y36" s="873">
        <v>1.04</v>
      </c>
      <c r="Z36" s="873">
        <v>1.06</v>
      </c>
      <c r="AA36" s="873">
        <v>1.08</v>
      </c>
      <c r="AB36" s="874">
        <v>1.1000000000000001</v>
      </c>
      <c r="AC36" s="58">
        <f t="shared" si="3"/>
        <v>0.3</v>
      </c>
      <c r="AD36" s="60">
        <v>4354</v>
      </c>
      <c r="AE36" s="18"/>
      <c r="AF36" s="20"/>
      <c r="AG36" s="60"/>
      <c r="AH36" s="886"/>
      <c r="AI36" s="886"/>
      <c r="AJ36" s="886"/>
      <c r="AK36" s="886"/>
      <c r="AL36" s="392"/>
      <c r="AM36" s="817"/>
      <c r="AN36" s="817"/>
      <c r="AO36" s="817"/>
      <c r="AP36" s="817"/>
      <c r="AQ36" s="392"/>
      <c r="AR36" s="887"/>
      <c r="AS36" s="779"/>
      <c r="AT36" s="723"/>
      <c r="AU36" s="958"/>
      <c r="AV36" s="779"/>
      <c r="AW36" s="779"/>
      <c r="AX36" s="779"/>
      <c r="AY36" s="779"/>
      <c r="AZ36" s="691"/>
    </row>
    <row r="37" spans="1:52" x14ac:dyDescent="0.25">
      <c r="A37" s="163">
        <v>39345</v>
      </c>
      <c r="B37" s="164">
        <v>39447</v>
      </c>
      <c r="C37" s="93">
        <v>3.37</v>
      </c>
      <c r="D37" s="843">
        <v>0.56399999999999995</v>
      </c>
      <c r="E37" s="17">
        <v>15.17</v>
      </c>
      <c r="F37" s="35">
        <v>44.13</v>
      </c>
      <c r="G37" s="102">
        <v>0.85</v>
      </c>
      <c r="H37" s="17">
        <v>35478</v>
      </c>
      <c r="I37" s="35">
        <v>82731</v>
      </c>
      <c r="J37" s="62">
        <v>0.1</v>
      </c>
      <c r="K37" s="63">
        <v>0.15</v>
      </c>
      <c r="L37" s="626">
        <v>0.25</v>
      </c>
      <c r="M37" s="627">
        <v>0.35</v>
      </c>
      <c r="N37" s="2">
        <f t="shared" si="0"/>
        <v>50</v>
      </c>
      <c r="O37" s="1">
        <f t="shared" si="1"/>
        <v>24</v>
      </c>
      <c r="P37" s="11">
        <f t="shared" si="2"/>
        <v>15</v>
      </c>
      <c r="Q37" s="2">
        <v>5</v>
      </c>
      <c r="R37" s="339">
        <v>34</v>
      </c>
      <c r="S37" s="875">
        <v>35</v>
      </c>
      <c r="T37" s="875">
        <v>36</v>
      </c>
      <c r="U37" s="875">
        <v>37</v>
      </c>
      <c r="V37" s="663">
        <v>38</v>
      </c>
      <c r="W37" s="269">
        <v>1</v>
      </c>
      <c r="X37" s="875">
        <v>1.02</v>
      </c>
      <c r="Y37" s="875">
        <v>1.04</v>
      </c>
      <c r="Z37" s="875">
        <v>1.06</v>
      </c>
      <c r="AA37" s="875">
        <v>1.08</v>
      </c>
      <c r="AB37" s="876">
        <v>1.1000000000000001</v>
      </c>
      <c r="AC37" s="62">
        <f t="shared" si="3"/>
        <v>0.3</v>
      </c>
      <c r="AD37" s="35">
        <f>AD36</f>
        <v>4354</v>
      </c>
      <c r="AE37" s="17"/>
      <c r="AF37" s="19"/>
      <c r="AG37" s="35"/>
      <c r="AH37" s="888"/>
      <c r="AI37" s="888"/>
      <c r="AJ37" s="888"/>
      <c r="AK37" s="888"/>
      <c r="AL37" s="393"/>
      <c r="AM37" s="818"/>
      <c r="AN37" s="818"/>
      <c r="AO37" s="818"/>
      <c r="AP37" s="818"/>
      <c r="AQ37" s="393"/>
      <c r="AR37" s="889"/>
      <c r="AS37" s="780"/>
      <c r="AT37" s="724"/>
      <c r="AU37" s="959"/>
      <c r="AV37" s="780"/>
      <c r="AW37" s="780"/>
      <c r="AX37" s="780"/>
      <c r="AY37" s="780"/>
      <c r="AZ37" s="688"/>
    </row>
    <row r="38" spans="1:52" x14ac:dyDescent="0.25">
      <c r="A38" s="163">
        <v>39448</v>
      </c>
      <c r="B38" s="164">
        <v>39526</v>
      </c>
      <c r="C38" s="93">
        <v>3.37</v>
      </c>
      <c r="D38" s="843">
        <v>0.56399999999999995</v>
      </c>
      <c r="E38" s="17">
        <v>15.17</v>
      </c>
      <c r="F38" s="35">
        <v>44.13</v>
      </c>
      <c r="G38" s="102">
        <v>0.85</v>
      </c>
      <c r="H38" s="17">
        <v>35478</v>
      </c>
      <c r="I38" s="35">
        <v>82731</v>
      </c>
      <c r="J38" s="62">
        <v>0.1</v>
      </c>
      <c r="K38" s="63">
        <v>0.15</v>
      </c>
      <c r="L38" s="626">
        <v>0.25</v>
      </c>
      <c r="M38" s="627">
        <v>0.35</v>
      </c>
      <c r="N38" s="2">
        <f t="shared" si="0"/>
        <v>50</v>
      </c>
      <c r="O38" s="1">
        <f t="shared" si="1"/>
        <v>24</v>
      </c>
      <c r="P38" s="11">
        <f t="shared" si="2"/>
        <v>15</v>
      </c>
      <c r="Q38" s="2">
        <v>5</v>
      </c>
      <c r="R38" s="339">
        <v>34</v>
      </c>
      <c r="S38" s="875">
        <v>35</v>
      </c>
      <c r="T38" s="875">
        <v>36</v>
      </c>
      <c r="U38" s="875">
        <v>37</v>
      </c>
      <c r="V38" s="663">
        <v>38</v>
      </c>
      <c r="W38" s="269">
        <v>1</v>
      </c>
      <c r="X38" s="875">
        <v>1.02</v>
      </c>
      <c r="Y38" s="875">
        <v>1.04</v>
      </c>
      <c r="Z38" s="875">
        <v>1.06</v>
      </c>
      <c r="AA38" s="875">
        <v>1.08</v>
      </c>
      <c r="AB38" s="876">
        <v>1.1000000000000001</v>
      </c>
      <c r="AC38" s="62">
        <f t="shared" si="3"/>
        <v>0.3</v>
      </c>
      <c r="AD38" s="35">
        <f>AD37</f>
        <v>4354</v>
      </c>
      <c r="AE38" s="17"/>
      <c r="AF38" s="19"/>
      <c r="AG38" s="35"/>
      <c r="AH38" s="888"/>
      <c r="AI38" s="888"/>
      <c r="AJ38" s="888"/>
      <c r="AK38" s="888"/>
      <c r="AL38" s="393"/>
      <c r="AM38" s="818"/>
      <c r="AN38" s="818"/>
      <c r="AO38" s="818"/>
      <c r="AP38" s="818"/>
      <c r="AQ38" s="393"/>
      <c r="AR38" s="889"/>
      <c r="AS38" s="780"/>
      <c r="AT38" s="724"/>
      <c r="AU38" s="959"/>
      <c r="AV38" s="780"/>
      <c r="AW38" s="780"/>
      <c r="AX38" s="780"/>
      <c r="AY38" s="780"/>
      <c r="AZ38" s="688"/>
    </row>
    <row r="39" spans="1:52" ht="15.75" thickBot="1" x14ac:dyDescent="0.3">
      <c r="A39" s="180">
        <v>39527</v>
      </c>
      <c r="B39" s="181">
        <v>39629</v>
      </c>
      <c r="C39" s="94">
        <v>3.37</v>
      </c>
      <c r="D39" s="844">
        <v>0.56399999999999995</v>
      </c>
      <c r="E39" s="65">
        <v>15.17</v>
      </c>
      <c r="F39" s="69">
        <v>44.13</v>
      </c>
      <c r="G39" s="187">
        <v>0.85</v>
      </c>
      <c r="H39" s="65">
        <v>35478</v>
      </c>
      <c r="I39" s="69">
        <v>82731</v>
      </c>
      <c r="J39" s="67">
        <v>0.1</v>
      </c>
      <c r="K39" s="358">
        <v>0.15</v>
      </c>
      <c r="L39" s="628">
        <v>0.25</v>
      </c>
      <c r="M39" s="629">
        <v>0.35</v>
      </c>
      <c r="N39" s="85">
        <f t="shared" si="0"/>
        <v>50</v>
      </c>
      <c r="O39" s="70">
        <f t="shared" si="1"/>
        <v>24</v>
      </c>
      <c r="P39" s="64">
        <f t="shared" si="2"/>
        <v>15</v>
      </c>
      <c r="Q39" s="85">
        <v>5</v>
      </c>
      <c r="R39" s="877">
        <v>34</v>
      </c>
      <c r="S39" s="878">
        <v>35</v>
      </c>
      <c r="T39" s="878">
        <v>36</v>
      </c>
      <c r="U39" s="878">
        <v>37</v>
      </c>
      <c r="V39" s="664">
        <v>38</v>
      </c>
      <c r="W39" s="285">
        <v>1</v>
      </c>
      <c r="X39" s="878">
        <v>1.02</v>
      </c>
      <c r="Y39" s="878">
        <v>1.04</v>
      </c>
      <c r="Z39" s="878">
        <v>1.06</v>
      </c>
      <c r="AA39" s="878">
        <v>1.08</v>
      </c>
      <c r="AB39" s="879">
        <v>1.1000000000000001</v>
      </c>
      <c r="AC39" s="67">
        <f t="shared" si="3"/>
        <v>0.3</v>
      </c>
      <c r="AD39" s="69">
        <f>AD38</f>
        <v>4354</v>
      </c>
      <c r="AE39" s="65"/>
      <c r="AF39" s="68"/>
      <c r="AG39" s="69"/>
      <c r="AH39" s="890"/>
      <c r="AI39" s="890"/>
      <c r="AJ39" s="890"/>
      <c r="AK39" s="890"/>
      <c r="AL39" s="891"/>
      <c r="AM39" s="819"/>
      <c r="AN39" s="819"/>
      <c r="AO39" s="819"/>
      <c r="AP39" s="819"/>
      <c r="AQ39" s="891"/>
      <c r="AR39" s="892"/>
      <c r="AS39" s="949"/>
      <c r="AT39" s="960"/>
      <c r="AU39" s="961"/>
      <c r="AV39" s="949"/>
      <c r="AW39" s="949"/>
      <c r="AX39" s="949"/>
      <c r="AY39" s="949"/>
      <c r="AZ39" s="950"/>
    </row>
    <row r="40" spans="1:52" x14ac:dyDescent="0.25">
      <c r="A40" s="161">
        <v>39630</v>
      </c>
      <c r="B40" s="162">
        <v>39710</v>
      </c>
      <c r="C40" s="92">
        <v>3.47</v>
      </c>
      <c r="D40" s="842">
        <v>0.58099999999999996</v>
      </c>
      <c r="E40" s="18">
        <v>15.63</v>
      </c>
      <c r="F40" s="60">
        <v>45.45</v>
      </c>
      <c r="G40" s="100">
        <v>0.85</v>
      </c>
      <c r="H40" s="18">
        <v>36573</v>
      </c>
      <c r="I40" s="60">
        <v>85213</v>
      </c>
      <c r="J40" s="58">
        <v>0.1</v>
      </c>
      <c r="K40" s="59">
        <v>0.15</v>
      </c>
      <c r="L40" s="624">
        <v>0.25</v>
      </c>
      <c r="M40" s="625">
        <v>0.35</v>
      </c>
      <c r="N40" s="3">
        <f t="shared" si="0"/>
        <v>50</v>
      </c>
      <c r="O40" s="4">
        <f t="shared" si="1"/>
        <v>24</v>
      </c>
      <c r="P40" s="10">
        <f t="shared" si="2"/>
        <v>15</v>
      </c>
      <c r="Q40" s="3">
        <v>5</v>
      </c>
      <c r="R40" s="338">
        <v>34</v>
      </c>
      <c r="S40" s="873">
        <v>35</v>
      </c>
      <c r="T40" s="873">
        <v>36</v>
      </c>
      <c r="U40" s="873">
        <v>37</v>
      </c>
      <c r="V40" s="662">
        <v>38</v>
      </c>
      <c r="W40" s="286">
        <v>1</v>
      </c>
      <c r="X40" s="873">
        <v>1.02</v>
      </c>
      <c r="Y40" s="873">
        <v>1.04</v>
      </c>
      <c r="Z40" s="873">
        <v>1.06</v>
      </c>
      <c r="AA40" s="873">
        <v>1.08</v>
      </c>
      <c r="AB40" s="874">
        <v>1.1000000000000001</v>
      </c>
      <c r="AC40" s="58">
        <v>0.5</v>
      </c>
      <c r="AD40" s="60">
        <v>7500</v>
      </c>
      <c r="AE40" s="18"/>
      <c r="AF40" s="20"/>
      <c r="AG40" s="60"/>
      <c r="AH40" s="886"/>
      <c r="AI40" s="886"/>
      <c r="AJ40" s="886"/>
      <c r="AK40" s="886"/>
      <c r="AL40" s="392"/>
      <c r="AM40" s="817"/>
      <c r="AN40" s="817"/>
      <c r="AO40" s="817"/>
      <c r="AP40" s="817"/>
      <c r="AQ40" s="392"/>
      <c r="AR40" s="887"/>
      <c r="AS40" s="779"/>
      <c r="AT40" s="723"/>
      <c r="AU40" s="958"/>
      <c r="AV40" s="779"/>
      <c r="AW40" s="779"/>
      <c r="AX40" s="779"/>
      <c r="AY40" s="779"/>
      <c r="AZ40" s="691"/>
    </row>
    <row r="41" spans="1:52" x14ac:dyDescent="0.25">
      <c r="A41" s="163">
        <v>39711</v>
      </c>
      <c r="B41" s="164">
        <v>39813</v>
      </c>
      <c r="C41" s="93">
        <v>3.47</v>
      </c>
      <c r="D41" s="843">
        <v>0.58099999999999996</v>
      </c>
      <c r="E41" s="17">
        <v>15.63</v>
      </c>
      <c r="F41" s="35">
        <v>45.45</v>
      </c>
      <c r="G41" s="102">
        <v>0.85</v>
      </c>
      <c r="H41" s="17">
        <v>36573</v>
      </c>
      <c r="I41" s="35">
        <v>85213</v>
      </c>
      <c r="J41" s="62">
        <v>0.1</v>
      </c>
      <c r="K41" s="63">
        <v>0.15</v>
      </c>
      <c r="L41" s="626">
        <v>0.25</v>
      </c>
      <c r="M41" s="627">
        <v>0.35</v>
      </c>
      <c r="N41" s="2">
        <f t="shared" si="0"/>
        <v>50</v>
      </c>
      <c r="O41" s="1">
        <f t="shared" si="1"/>
        <v>24</v>
      </c>
      <c r="P41" s="11">
        <f t="shared" si="2"/>
        <v>15</v>
      </c>
      <c r="Q41" s="2">
        <v>5</v>
      </c>
      <c r="R41" s="339">
        <v>34</v>
      </c>
      <c r="S41" s="875">
        <v>35</v>
      </c>
      <c r="T41" s="875">
        <v>36</v>
      </c>
      <c r="U41" s="875">
        <v>37</v>
      </c>
      <c r="V41" s="663">
        <v>38</v>
      </c>
      <c r="W41" s="269">
        <v>1</v>
      </c>
      <c r="X41" s="875">
        <v>1.02</v>
      </c>
      <c r="Y41" s="875">
        <v>1.04</v>
      </c>
      <c r="Z41" s="875">
        <v>1.06</v>
      </c>
      <c r="AA41" s="875">
        <v>1.08</v>
      </c>
      <c r="AB41" s="876">
        <v>1.1000000000000001</v>
      </c>
      <c r="AC41" s="62">
        <f t="shared" ref="AC41:AD43" si="4">AC40</f>
        <v>0.5</v>
      </c>
      <c r="AD41" s="35">
        <f t="shared" si="4"/>
        <v>7500</v>
      </c>
      <c r="AE41" s="17"/>
      <c r="AF41" s="19"/>
      <c r="AG41" s="35"/>
      <c r="AH41" s="888"/>
      <c r="AI41" s="888"/>
      <c r="AJ41" s="888"/>
      <c r="AK41" s="888"/>
      <c r="AL41" s="393"/>
      <c r="AM41" s="818"/>
      <c r="AN41" s="818"/>
      <c r="AO41" s="818"/>
      <c r="AP41" s="818"/>
      <c r="AQ41" s="393"/>
      <c r="AR41" s="889"/>
      <c r="AS41" s="780"/>
      <c r="AT41" s="724"/>
      <c r="AU41" s="959"/>
      <c r="AV41" s="780"/>
      <c r="AW41" s="780"/>
      <c r="AX41" s="780"/>
      <c r="AY41" s="780"/>
      <c r="AZ41" s="688"/>
    </row>
    <row r="42" spans="1:52" x14ac:dyDescent="0.25">
      <c r="A42" s="163">
        <v>39814</v>
      </c>
      <c r="B42" s="164">
        <v>39891</v>
      </c>
      <c r="C42" s="93">
        <v>3.47</v>
      </c>
      <c r="D42" s="843">
        <v>0.58099999999999996</v>
      </c>
      <c r="E42" s="17">
        <v>15.63</v>
      </c>
      <c r="F42" s="35">
        <v>45.45</v>
      </c>
      <c r="G42" s="102">
        <v>0.85</v>
      </c>
      <c r="H42" s="17">
        <v>36573</v>
      </c>
      <c r="I42" s="35">
        <v>85213</v>
      </c>
      <c r="J42" s="62">
        <v>0.1</v>
      </c>
      <c r="K42" s="63">
        <v>0.15</v>
      </c>
      <c r="L42" s="626">
        <v>0.25</v>
      </c>
      <c r="M42" s="627">
        <v>0.35</v>
      </c>
      <c r="N42" s="2">
        <f t="shared" si="0"/>
        <v>50</v>
      </c>
      <c r="O42" s="1">
        <f t="shared" si="1"/>
        <v>24</v>
      </c>
      <c r="P42" s="11">
        <f t="shared" ref="P42:P59" si="5">P41</f>
        <v>15</v>
      </c>
      <c r="Q42" s="2">
        <v>5</v>
      </c>
      <c r="R42" s="339">
        <v>34</v>
      </c>
      <c r="S42" s="875">
        <v>35</v>
      </c>
      <c r="T42" s="875">
        <v>36</v>
      </c>
      <c r="U42" s="875">
        <v>37</v>
      </c>
      <c r="V42" s="663">
        <v>38</v>
      </c>
      <c r="W42" s="269">
        <v>1</v>
      </c>
      <c r="X42" s="875">
        <v>1.02</v>
      </c>
      <c r="Y42" s="875">
        <v>1.04</v>
      </c>
      <c r="Z42" s="875">
        <v>1.06</v>
      </c>
      <c r="AA42" s="875">
        <v>1.08</v>
      </c>
      <c r="AB42" s="876">
        <v>1.1000000000000001</v>
      </c>
      <c r="AC42" s="62">
        <f t="shared" si="4"/>
        <v>0.5</v>
      </c>
      <c r="AD42" s="35">
        <f t="shared" si="4"/>
        <v>7500</v>
      </c>
      <c r="AE42" s="17"/>
      <c r="AF42" s="19"/>
      <c r="AG42" s="35"/>
      <c r="AH42" s="888"/>
      <c r="AI42" s="888"/>
      <c r="AJ42" s="888"/>
      <c r="AK42" s="888"/>
      <c r="AL42" s="393"/>
      <c r="AM42" s="818"/>
      <c r="AN42" s="818"/>
      <c r="AO42" s="818"/>
      <c r="AP42" s="818"/>
      <c r="AQ42" s="393"/>
      <c r="AR42" s="889"/>
      <c r="AS42" s="780"/>
      <c r="AT42" s="724"/>
      <c r="AU42" s="959"/>
      <c r="AV42" s="780"/>
      <c r="AW42" s="780"/>
      <c r="AX42" s="780"/>
      <c r="AY42" s="780"/>
      <c r="AZ42" s="688"/>
    </row>
    <row r="43" spans="1:52" ht="15.75" thickBot="1" x14ac:dyDescent="0.3">
      <c r="A43" s="163">
        <v>39892</v>
      </c>
      <c r="B43" s="164">
        <v>39994</v>
      </c>
      <c r="C43" s="93">
        <v>3.47</v>
      </c>
      <c r="D43" s="843">
        <v>0.58099999999999996</v>
      </c>
      <c r="E43" s="17">
        <v>15.63</v>
      </c>
      <c r="F43" s="35">
        <v>45.45</v>
      </c>
      <c r="G43" s="102">
        <v>0.85</v>
      </c>
      <c r="H43" s="17">
        <v>36573</v>
      </c>
      <c r="I43" s="35">
        <v>85213</v>
      </c>
      <c r="J43" s="62">
        <v>0.1</v>
      </c>
      <c r="K43" s="63">
        <v>0.15</v>
      </c>
      <c r="L43" s="626">
        <v>0.25</v>
      </c>
      <c r="M43" s="627">
        <v>0.35</v>
      </c>
      <c r="N43" s="2">
        <f t="shared" si="0"/>
        <v>50</v>
      </c>
      <c r="O43" s="1">
        <f t="shared" si="1"/>
        <v>24</v>
      </c>
      <c r="P43" s="11">
        <f t="shared" si="5"/>
        <v>15</v>
      </c>
      <c r="Q43" s="2">
        <v>5</v>
      </c>
      <c r="R43" s="877">
        <v>34</v>
      </c>
      <c r="S43" s="878">
        <v>35</v>
      </c>
      <c r="T43" s="878">
        <v>36</v>
      </c>
      <c r="U43" s="878">
        <v>37</v>
      </c>
      <c r="V43" s="664">
        <v>38</v>
      </c>
      <c r="W43" s="285">
        <v>1</v>
      </c>
      <c r="X43" s="878">
        <v>1.02</v>
      </c>
      <c r="Y43" s="878">
        <v>1.04</v>
      </c>
      <c r="Z43" s="878">
        <v>1.06</v>
      </c>
      <c r="AA43" s="878">
        <v>1.08</v>
      </c>
      <c r="AB43" s="879">
        <v>1.1000000000000001</v>
      </c>
      <c r="AC43" s="62">
        <f t="shared" si="4"/>
        <v>0.5</v>
      </c>
      <c r="AD43" s="35">
        <f t="shared" si="4"/>
        <v>7500</v>
      </c>
      <c r="AE43" s="17"/>
      <c r="AF43" s="19"/>
      <c r="AG43" s="35"/>
      <c r="AH43" s="888"/>
      <c r="AI43" s="888"/>
      <c r="AJ43" s="888"/>
      <c r="AK43" s="888"/>
      <c r="AL43" s="393"/>
      <c r="AM43" s="818"/>
      <c r="AN43" s="818"/>
      <c r="AO43" s="818"/>
      <c r="AP43" s="818"/>
      <c r="AQ43" s="393"/>
      <c r="AR43" s="889"/>
      <c r="AS43" s="780"/>
      <c r="AT43" s="724"/>
      <c r="AU43" s="959"/>
      <c r="AV43" s="780"/>
      <c r="AW43" s="780"/>
      <c r="AX43" s="780"/>
      <c r="AY43" s="780"/>
      <c r="AZ43" s="688"/>
    </row>
    <row r="44" spans="1:52" x14ac:dyDescent="0.25">
      <c r="A44" s="161">
        <v>39995</v>
      </c>
      <c r="B44" s="162">
        <v>40075</v>
      </c>
      <c r="C44" s="92">
        <v>3.6</v>
      </c>
      <c r="D44" s="842">
        <v>0.60199999999999998</v>
      </c>
      <c r="E44" s="18">
        <v>16.21</v>
      </c>
      <c r="F44" s="60">
        <v>47.13</v>
      </c>
      <c r="G44" s="100">
        <v>0.85</v>
      </c>
      <c r="H44" s="18">
        <v>37960</v>
      </c>
      <c r="I44" s="60">
        <v>88366</v>
      </c>
      <c r="J44" s="58">
        <v>0.1</v>
      </c>
      <c r="K44" s="59">
        <v>0.15</v>
      </c>
      <c r="L44" s="624">
        <v>0.25</v>
      </c>
      <c r="M44" s="625">
        <v>0.35</v>
      </c>
      <c r="N44" s="3">
        <f t="shared" si="0"/>
        <v>50</v>
      </c>
      <c r="O44" s="4">
        <f t="shared" si="1"/>
        <v>24</v>
      </c>
      <c r="P44" s="10">
        <f t="shared" si="5"/>
        <v>15</v>
      </c>
      <c r="Q44" s="3">
        <v>5</v>
      </c>
      <c r="R44" s="338">
        <v>34</v>
      </c>
      <c r="S44" s="873">
        <v>35</v>
      </c>
      <c r="T44" s="873">
        <v>36</v>
      </c>
      <c r="U44" s="873">
        <v>37</v>
      </c>
      <c r="V44" s="662">
        <v>38</v>
      </c>
      <c r="W44" s="286">
        <v>1</v>
      </c>
      <c r="X44" s="873">
        <v>1.02</v>
      </c>
      <c r="Y44" s="873">
        <v>1.04</v>
      </c>
      <c r="Z44" s="873">
        <v>1.06</v>
      </c>
      <c r="AA44" s="873">
        <v>1.08</v>
      </c>
      <c r="AB44" s="874">
        <v>1.1000000000000001</v>
      </c>
      <c r="AC44" s="58">
        <f>AC43</f>
        <v>0.5</v>
      </c>
      <c r="AD44" s="60">
        <v>7778</v>
      </c>
      <c r="AE44" s="18"/>
      <c r="AF44" s="20"/>
      <c r="AG44" s="60"/>
      <c r="AH44" s="886"/>
      <c r="AI44" s="886"/>
      <c r="AJ44" s="886"/>
      <c r="AK44" s="886"/>
      <c r="AL44" s="392"/>
      <c r="AM44" s="817"/>
      <c r="AN44" s="817"/>
      <c r="AO44" s="817"/>
      <c r="AP44" s="817"/>
      <c r="AQ44" s="392"/>
      <c r="AR44" s="887"/>
      <c r="AS44" s="779"/>
      <c r="AT44" s="723"/>
      <c r="AU44" s="958"/>
      <c r="AV44" s="779"/>
      <c r="AW44" s="779"/>
      <c r="AX44" s="779"/>
      <c r="AY44" s="779"/>
      <c r="AZ44" s="691"/>
    </row>
    <row r="45" spans="1:52" x14ac:dyDescent="0.25">
      <c r="A45" s="163">
        <v>40076</v>
      </c>
      <c r="B45" s="164">
        <v>40178</v>
      </c>
      <c r="C45" s="93">
        <v>3.6</v>
      </c>
      <c r="D45" s="843">
        <v>0.60199999999999998</v>
      </c>
      <c r="E45" s="17">
        <v>16.21</v>
      </c>
      <c r="F45" s="35">
        <v>47.13</v>
      </c>
      <c r="G45" s="102">
        <v>0.85</v>
      </c>
      <c r="H45" s="17">
        <v>37960</v>
      </c>
      <c r="I45" s="35">
        <v>88366</v>
      </c>
      <c r="J45" s="62">
        <v>0.1</v>
      </c>
      <c r="K45" s="63">
        <v>0.15</v>
      </c>
      <c r="L45" s="626">
        <v>0.25</v>
      </c>
      <c r="M45" s="627">
        <v>0.35</v>
      </c>
      <c r="N45" s="2">
        <f t="shared" si="0"/>
        <v>50</v>
      </c>
      <c r="O45" s="1">
        <f t="shared" si="1"/>
        <v>24</v>
      </c>
      <c r="P45" s="11">
        <f t="shared" si="5"/>
        <v>15</v>
      </c>
      <c r="Q45" s="2">
        <v>5</v>
      </c>
      <c r="R45" s="339">
        <v>34</v>
      </c>
      <c r="S45" s="875">
        <v>35</v>
      </c>
      <c r="T45" s="875">
        <v>36</v>
      </c>
      <c r="U45" s="875">
        <v>37</v>
      </c>
      <c r="V45" s="663">
        <v>38</v>
      </c>
      <c r="W45" s="269">
        <v>1</v>
      </c>
      <c r="X45" s="875">
        <v>1.02</v>
      </c>
      <c r="Y45" s="875">
        <v>1.04</v>
      </c>
      <c r="Z45" s="875">
        <v>1.06</v>
      </c>
      <c r="AA45" s="875">
        <v>1.08</v>
      </c>
      <c r="AB45" s="876">
        <v>1.1000000000000001</v>
      </c>
      <c r="AC45" s="62">
        <f t="shared" ref="AC45:AC91" si="6">AC44</f>
        <v>0.5</v>
      </c>
      <c r="AD45" s="35">
        <f>AD44</f>
        <v>7778</v>
      </c>
      <c r="AE45" s="17"/>
      <c r="AF45" s="19"/>
      <c r="AG45" s="35"/>
      <c r="AH45" s="888"/>
      <c r="AI45" s="888"/>
      <c r="AJ45" s="888"/>
      <c r="AK45" s="888"/>
      <c r="AL45" s="393"/>
      <c r="AM45" s="818"/>
      <c r="AN45" s="818"/>
      <c r="AO45" s="818"/>
      <c r="AP45" s="818"/>
      <c r="AQ45" s="393"/>
      <c r="AR45" s="889"/>
      <c r="AS45" s="780"/>
      <c r="AT45" s="724"/>
      <c r="AU45" s="959"/>
      <c r="AV45" s="780"/>
      <c r="AW45" s="780"/>
      <c r="AX45" s="780"/>
      <c r="AY45" s="780"/>
      <c r="AZ45" s="688"/>
    </row>
    <row r="46" spans="1:52" x14ac:dyDescent="0.25">
      <c r="A46" s="163">
        <v>40179</v>
      </c>
      <c r="B46" s="164">
        <v>40256</v>
      </c>
      <c r="C46" s="93">
        <v>3.6</v>
      </c>
      <c r="D46" s="843">
        <v>0.60199999999999998</v>
      </c>
      <c r="E46" s="17">
        <v>16.21</v>
      </c>
      <c r="F46" s="35">
        <v>47.13</v>
      </c>
      <c r="G46" s="102">
        <v>0.85</v>
      </c>
      <c r="H46" s="17">
        <v>37960</v>
      </c>
      <c r="I46" s="35">
        <v>88366</v>
      </c>
      <c r="J46" s="62">
        <v>0.1</v>
      </c>
      <c r="K46" s="63">
        <v>0.15</v>
      </c>
      <c r="L46" s="626">
        <v>0.25</v>
      </c>
      <c r="M46" s="627">
        <v>0.35</v>
      </c>
      <c r="N46" s="2">
        <f t="shared" si="0"/>
        <v>50</v>
      </c>
      <c r="O46" s="1">
        <f t="shared" si="1"/>
        <v>24</v>
      </c>
      <c r="P46" s="11">
        <f t="shared" si="5"/>
        <v>15</v>
      </c>
      <c r="Q46" s="2">
        <v>5</v>
      </c>
      <c r="R46" s="339">
        <v>34</v>
      </c>
      <c r="S46" s="875">
        <v>35</v>
      </c>
      <c r="T46" s="875">
        <v>36</v>
      </c>
      <c r="U46" s="875">
        <v>37</v>
      </c>
      <c r="V46" s="663">
        <v>38</v>
      </c>
      <c r="W46" s="269">
        <v>1</v>
      </c>
      <c r="X46" s="875">
        <v>1.02</v>
      </c>
      <c r="Y46" s="875">
        <v>1.04</v>
      </c>
      <c r="Z46" s="875">
        <v>1.06</v>
      </c>
      <c r="AA46" s="875">
        <v>1.08</v>
      </c>
      <c r="AB46" s="876">
        <v>1.1000000000000001</v>
      </c>
      <c r="AC46" s="62">
        <f t="shared" si="6"/>
        <v>0.5</v>
      </c>
      <c r="AD46" s="35">
        <f>AD45</f>
        <v>7778</v>
      </c>
      <c r="AE46" s="17"/>
      <c r="AF46" s="19"/>
      <c r="AG46" s="35"/>
      <c r="AH46" s="888"/>
      <c r="AI46" s="888"/>
      <c r="AJ46" s="888"/>
      <c r="AK46" s="888"/>
      <c r="AL46" s="393"/>
      <c r="AM46" s="818"/>
      <c r="AN46" s="818"/>
      <c r="AO46" s="818"/>
      <c r="AP46" s="818"/>
      <c r="AQ46" s="393"/>
      <c r="AR46" s="889"/>
      <c r="AS46" s="780"/>
      <c r="AT46" s="724"/>
      <c r="AU46" s="959"/>
      <c r="AV46" s="780"/>
      <c r="AW46" s="780"/>
      <c r="AX46" s="780"/>
      <c r="AY46" s="780"/>
      <c r="AZ46" s="688"/>
    </row>
    <row r="47" spans="1:52" ht="15.75" thickBot="1" x14ac:dyDescent="0.3">
      <c r="A47" s="180">
        <v>40257</v>
      </c>
      <c r="B47" s="181">
        <v>40359</v>
      </c>
      <c r="C47" s="94">
        <v>3.6</v>
      </c>
      <c r="D47" s="844">
        <v>0.60199999999999998</v>
      </c>
      <c r="E47" s="65">
        <v>16.21</v>
      </c>
      <c r="F47" s="69">
        <v>47.13</v>
      </c>
      <c r="G47" s="187">
        <v>0.85</v>
      </c>
      <c r="H47" s="65">
        <v>37960</v>
      </c>
      <c r="I47" s="69">
        <v>88366</v>
      </c>
      <c r="J47" s="67">
        <v>0.1</v>
      </c>
      <c r="K47" s="358">
        <v>0.15</v>
      </c>
      <c r="L47" s="628">
        <v>0.25</v>
      </c>
      <c r="M47" s="629">
        <v>0.35</v>
      </c>
      <c r="N47" s="85">
        <f t="shared" si="0"/>
        <v>50</v>
      </c>
      <c r="O47" s="70">
        <f t="shared" si="1"/>
        <v>24</v>
      </c>
      <c r="P47" s="64">
        <f t="shared" si="5"/>
        <v>15</v>
      </c>
      <c r="Q47" s="85">
        <v>5</v>
      </c>
      <c r="R47" s="877">
        <v>34</v>
      </c>
      <c r="S47" s="878">
        <v>35</v>
      </c>
      <c r="T47" s="878">
        <v>36</v>
      </c>
      <c r="U47" s="878">
        <v>37</v>
      </c>
      <c r="V47" s="664">
        <v>38</v>
      </c>
      <c r="W47" s="285">
        <v>1</v>
      </c>
      <c r="X47" s="878">
        <v>1.02</v>
      </c>
      <c r="Y47" s="878">
        <v>1.04</v>
      </c>
      <c r="Z47" s="878">
        <v>1.06</v>
      </c>
      <c r="AA47" s="878">
        <v>1.08</v>
      </c>
      <c r="AB47" s="879">
        <v>1.1000000000000001</v>
      </c>
      <c r="AC47" s="67">
        <f t="shared" si="6"/>
        <v>0.5</v>
      </c>
      <c r="AD47" s="69">
        <f>AD46</f>
        <v>7778</v>
      </c>
      <c r="AE47" s="65"/>
      <c r="AF47" s="68"/>
      <c r="AG47" s="69"/>
      <c r="AH47" s="890"/>
      <c r="AI47" s="890"/>
      <c r="AJ47" s="890"/>
      <c r="AK47" s="890"/>
      <c r="AL47" s="891"/>
      <c r="AM47" s="819"/>
      <c r="AN47" s="819"/>
      <c r="AO47" s="819"/>
      <c r="AP47" s="819"/>
      <c r="AQ47" s="891"/>
      <c r="AR47" s="892"/>
      <c r="AS47" s="949"/>
      <c r="AT47" s="960"/>
      <c r="AU47" s="961"/>
      <c r="AV47" s="949"/>
      <c r="AW47" s="949"/>
      <c r="AX47" s="949"/>
      <c r="AY47" s="949"/>
      <c r="AZ47" s="950"/>
    </row>
    <row r="48" spans="1:52" x14ac:dyDescent="0.25">
      <c r="A48" s="161">
        <v>40360</v>
      </c>
      <c r="B48" s="162">
        <v>40440</v>
      </c>
      <c r="C48" s="92">
        <v>3.68</v>
      </c>
      <c r="D48" s="842">
        <v>0.61499999999999999</v>
      </c>
      <c r="E48" s="18">
        <v>16.55</v>
      </c>
      <c r="F48" s="60">
        <v>48.120000000000005</v>
      </c>
      <c r="G48" s="100">
        <v>0.85</v>
      </c>
      <c r="H48" s="18">
        <v>38763</v>
      </c>
      <c r="I48" s="60">
        <v>90222</v>
      </c>
      <c r="J48" s="58">
        <v>0.1</v>
      </c>
      <c r="K48" s="59">
        <v>0.15</v>
      </c>
      <c r="L48" s="624">
        <v>0.25</v>
      </c>
      <c r="M48" s="625">
        <v>0.35</v>
      </c>
      <c r="N48" s="3">
        <f t="shared" si="0"/>
        <v>50</v>
      </c>
      <c r="O48" s="4">
        <f t="shared" si="1"/>
        <v>24</v>
      </c>
      <c r="P48" s="10">
        <f t="shared" si="5"/>
        <v>15</v>
      </c>
      <c r="Q48" s="3">
        <v>5</v>
      </c>
      <c r="R48" s="338">
        <v>34</v>
      </c>
      <c r="S48" s="873">
        <v>35</v>
      </c>
      <c r="T48" s="873">
        <v>36</v>
      </c>
      <c r="U48" s="873">
        <v>37</v>
      </c>
      <c r="V48" s="662">
        <v>38</v>
      </c>
      <c r="W48" s="286">
        <v>1</v>
      </c>
      <c r="X48" s="873">
        <v>1.02</v>
      </c>
      <c r="Y48" s="873">
        <v>1.04</v>
      </c>
      <c r="Z48" s="873">
        <v>1.06</v>
      </c>
      <c r="AA48" s="873">
        <v>1.08</v>
      </c>
      <c r="AB48" s="874">
        <v>1.1000000000000001</v>
      </c>
      <c r="AC48" s="58">
        <f t="shared" si="6"/>
        <v>0.5</v>
      </c>
      <c r="AD48" s="60">
        <v>7941</v>
      </c>
      <c r="AE48" s="18"/>
      <c r="AF48" s="20"/>
      <c r="AG48" s="60"/>
      <c r="AH48" s="886"/>
      <c r="AI48" s="886"/>
      <c r="AJ48" s="886"/>
      <c r="AK48" s="886"/>
      <c r="AL48" s="392"/>
      <c r="AM48" s="817"/>
      <c r="AN48" s="817"/>
      <c r="AO48" s="817"/>
      <c r="AP48" s="817"/>
      <c r="AQ48" s="392"/>
      <c r="AR48" s="887"/>
      <c r="AS48" s="779"/>
      <c r="AT48" s="723"/>
      <c r="AU48" s="958"/>
      <c r="AV48" s="779"/>
      <c r="AW48" s="779"/>
      <c r="AX48" s="779"/>
      <c r="AY48" s="779"/>
      <c r="AZ48" s="691"/>
    </row>
    <row r="49" spans="1:52" x14ac:dyDescent="0.25">
      <c r="A49" s="163">
        <v>40441</v>
      </c>
      <c r="B49" s="164">
        <v>40543</v>
      </c>
      <c r="C49" s="93">
        <v>3.68</v>
      </c>
      <c r="D49" s="843">
        <v>0.61499999999999999</v>
      </c>
      <c r="E49" s="17">
        <v>16.55</v>
      </c>
      <c r="F49" s="35">
        <v>48.120000000000005</v>
      </c>
      <c r="G49" s="102">
        <v>0.85</v>
      </c>
      <c r="H49" s="17">
        <v>38763</v>
      </c>
      <c r="I49" s="35">
        <v>90222</v>
      </c>
      <c r="J49" s="62">
        <v>0.1</v>
      </c>
      <c r="K49" s="63">
        <v>0.15</v>
      </c>
      <c r="L49" s="626">
        <v>0.25</v>
      </c>
      <c r="M49" s="627">
        <v>0.35</v>
      </c>
      <c r="N49" s="2">
        <f t="shared" si="0"/>
        <v>50</v>
      </c>
      <c r="O49" s="1">
        <f t="shared" si="1"/>
        <v>24</v>
      </c>
      <c r="P49" s="11">
        <f t="shared" si="5"/>
        <v>15</v>
      </c>
      <c r="Q49" s="2">
        <v>5</v>
      </c>
      <c r="R49" s="339">
        <v>34</v>
      </c>
      <c r="S49" s="875">
        <v>35</v>
      </c>
      <c r="T49" s="875">
        <v>36</v>
      </c>
      <c r="U49" s="875">
        <v>37</v>
      </c>
      <c r="V49" s="663">
        <v>38</v>
      </c>
      <c r="W49" s="269">
        <v>1</v>
      </c>
      <c r="X49" s="875">
        <v>1.02</v>
      </c>
      <c r="Y49" s="875">
        <v>1.04</v>
      </c>
      <c r="Z49" s="875">
        <v>1.06</v>
      </c>
      <c r="AA49" s="875">
        <v>1.08</v>
      </c>
      <c r="AB49" s="876">
        <v>1.1000000000000001</v>
      </c>
      <c r="AC49" s="62">
        <f t="shared" si="6"/>
        <v>0.5</v>
      </c>
      <c r="AD49" s="35">
        <f>AD48</f>
        <v>7941</v>
      </c>
      <c r="AE49" s="17"/>
      <c r="AF49" s="19"/>
      <c r="AG49" s="35"/>
      <c r="AH49" s="888"/>
      <c r="AI49" s="888"/>
      <c r="AJ49" s="888"/>
      <c r="AK49" s="888"/>
      <c r="AL49" s="393"/>
      <c r="AM49" s="818"/>
      <c r="AN49" s="818"/>
      <c r="AO49" s="818"/>
      <c r="AP49" s="818"/>
      <c r="AQ49" s="393"/>
      <c r="AR49" s="889"/>
      <c r="AS49" s="780"/>
      <c r="AT49" s="724"/>
      <c r="AU49" s="959"/>
      <c r="AV49" s="780"/>
      <c r="AW49" s="780"/>
      <c r="AX49" s="780"/>
      <c r="AY49" s="780"/>
      <c r="AZ49" s="688"/>
    </row>
    <row r="50" spans="1:52" x14ac:dyDescent="0.25">
      <c r="A50" s="163">
        <v>40544</v>
      </c>
      <c r="B50" s="164">
        <v>40621</v>
      </c>
      <c r="C50" s="93">
        <v>3.68</v>
      </c>
      <c r="D50" s="843">
        <v>0.61499999999999999</v>
      </c>
      <c r="E50" s="17">
        <v>16.55</v>
      </c>
      <c r="F50" s="35">
        <v>48.120000000000005</v>
      </c>
      <c r="G50" s="102">
        <v>0.85</v>
      </c>
      <c r="H50" s="17">
        <v>38763</v>
      </c>
      <c r="I50" s="35">
        <v>90222</v>
      </c>
      <c r="J50" s="62">
        <v>0.1</v>
      </c>
      <c r="K50" s="63">
        <v>0.15</v>
      </c>
      <c r="L50" s="626">
        <v>0.25</v>
      </c>
      <c r="M50" s="627">
        <v>0.35</v>
      </c>
      <c r="N50" s="2">
        <f t="shared" si="0"/>
        <v>50</v>
      </c>
      <c r="O50" s="1">
        <f t="shared" si="1"/>
        <v>24</v>
      </c>
      <c r="P50" s="11">
        <f t="shared" si="5"/>
        <v>15</v>
      </c>
      <c r="Q50" s="2">
        <v>5</v>
      </c>
      <c r="R50" s="339">
        <v>34</v>
      </c>
      <c r="S50" s="875">
        <v>35</v>
      </c>
      <c r="T50" s="875">
        <v>36</v>
      </c>
      <c r="U50" s="875">
        <v>37</v>
      </c>
      <c r="V50" s="663">
        <v>38</v>
      </c>
      <c r="W50" s="269">
        <v>1</v>
      </c>
      <c r="X50" s="875">
        <v>1.02</v>
      </c>
      <c r="Y50" s="875">
        <v>1.04</v>
      </c>
      <c r="Z50" s="875">
        <v>1.06</v>
      </c>
      <c r="AA50" s="875">
        <v>1.08</v>
      </c>
      <c r="AB50" s="876">
        <v>1.1000000000000001</v>
      </c>
      <c r="AC50" s="62">
        <f t="shared" si="6"/>
        <v>0.5</v>
      </c>
      <c r="AD50" s="35">
        <f>AD49</f>
        <v>7941</v>
      </c>
      <c r="AE50" s="17"/>
      <c r="AF50" s="19"/>
      <c r="AG50" s="35"/>
      <c r="AH50" s="888"/>
      <c r="AI50" s="888"/>
      <c r="AJ50" s="888"/>
      <c r="AK50" s="888"/>
      <c r="AL50" s="393"/>
      <c r="AM50" s="818"/>
      <c r="AN50" s="818"/>
      <c r="AO50" s="818"/>
      <c r="AP50" s="818"/>
      <c r="AQ50" s="393"/>
      <c r="AR50" s="889"/>
      <c r="AS50" s="780"/>
      <c r="AT50" s="724"/>
      <c r="AU50" s="959"/>
      <c r="AV50" s="780"/>
      <c r="AW50" s="780"/>
      <c r="AX50" s="780"/>
      <c r="AY50" s="780"/>
      <c r="AZ50" s="688"/>
    </row>
    <row r="51" spans="1:52" ht="15.75" thickBot="1" x14ac:dyDescent="0.3">
      <c r="A51" s="180">
        <v>40622</v>
      </c>
      <c r="B51" s="181">
        <v>40724</v>
      </c>
      <c r="C51" s="94">
        <v>3.68</v>
      </c>
      <c r="D51" s="844">
        <v>0.61499999999999999</v>
      </c>
      <c r="E51" s="65">
        <v>16.55</v>
      </c>
      <c r="F51" s="69">
        <v>48.120000000000005</v>
      </c>
      <c r="G51" s="187">
        <v>0.85</v>
      </c>
      <c r="H51" s="65">
        <v>38763</v>
      </c>
      <c r="I51" s="69">
        <v>90222</v>
      </c>
      <c r="J51" s="67">
        <v>0.1</v>
      </c>
      <c r="K51" s="358">
        <v>0.15</v>
      </c>
      <c r="L51" s="628">
        <v>0.25</v>
      </c>
      <c r="M51" s="629">
        <v>0.35</v>
      </c>
      <c r="N51" s="85">
        <f t="shared" si="0"/>
        <v>50</v>
      </c>
      <c r="O51" s="70">
        <f t="shared" si="1"/>
        <v>24</v>
      </c>
      <c r="P51" s="64">
        <f t="shared" si="5"/>
        <v>15</v>
      </c>
      <c r="Q51" s="85">
        <v>5</v>
      </c>
      <c r="R51" s="877">
        <v>34</v>
      </c>
      <c r="S51" s="878">
        <v>35</v>
      </c>
      <c r="T51" s="878">
        <v>36</v>
      </c>
      <c r="U51" s="878">
        <v>37</v>
      </c>
      <c r="V51" s="664">
        <v>38</v>
      </c>
      <c r="W51" s="285">
        <v>1</v>
      </c>
      <c r="X51" s="878">
        <v>1.02</v>
      </c>
      <c r="Y51" s="878">
        <v>1.04</v>
      </c>
      <c r="Z51" s="878">
        <v>1.06</v>
      </c>
      <c r="AA51" s="878">
        <v>1.08</v>
      </c>
      <c r="AB51" s="879">
        <v>1.1000000000000001</v>
      </c>
      <c r="AC51" s="67">
        <f t="shared" si="6"/>
        <v>0.5</v>
      </c>
      <c r="AD51" s="69">
        <f>AD50</f>
        <v>7941</v>
      </c>
      <c r="AE51" s="65"/>
      <c r="AF51" s="68"/>
      <c r="AG51" s="69"/>
      <c r="AH51" s="890"/>
      <c r="AI51" s="890"/>
      <c r="AJ51" s="890"/>
      <c r="AK51" s="890"/>
      <c r="AL51" s="891"/>
      <c r="AM51" s="819"/>
      <c r="AN51" s="819"/>
      <c r="AO51" s="819"/>
      <c r="AP51" s="819"/>
      <c r="AQ51" s="891"/>
      <c r="AR51" s="892"/>
      <c r="AS51" s="949"/>
      <c r="AT51" s="960"/>
      <c r="AU51" s="961"/>
      <c r="AV51" s="949"/>
      <c r="AW51" s="949"/>
      <c r="AX51" s="949"/>
      <c r="AY51" s="949"/>
      <c r="AZ51" s="950"/>
    </row>
    <row r="52" spans="1:52" x14ac:dyDescent="0.25">
      <c r="A52" s="161">
        <v>40725</v>
      </c>
      <c r="B52" s="162">
        <v>40805</v>
      </c>
      <c r="C52" s="92">
        <v>3.7800000000000002</v>
      </c>
      <c r="D52" s="842">
        <v>0.63200000000000001</v>
      </c>
      <c r="E52" s="18">
        <v>17</v>
      </c>
      <c r="F52" s="60">
        <v>49.42</v>
      </c>
      <c r="G52" s="100">
        <v>0.85</v>
      </c>
      <c r="H52" s="18">
        <v>39785</v>
      </c>
      <c r="I52" s="60">
        <v>92658</v>
      </c>
      <c r="J52" s="58">
        <v>0.1</v>
      </c>
      <c r="K52" s="59">
        <v>0.15</v>
      </c>
      <c r="L52" s="624">
        <v>0.25</v>
      </c>
      <c r="M52" s="625">
        <v>0.35</v>
      </c>
      <c r="N52" s="3">
        <f t="shared" si="0"/>
        <v>50</v>
      </c>
      <c r="O52" s="4">
        <f t="shared" si="1"/>
        <v>24</v>
      </c>
      <c r="P52" s="10">
        <f t="shared" si="5"/>
        <v>15</v>
      </c>
      <c r="Q52" s="3">
        <v>5</v>
      </c>
      <c r="R52" s="338">
        <v>34</v>
      </c>
      <c r="S52" s="873">
        <v>35</v>
      </c>
      <c r="T52" s="873">
        <v>36</v>
      </c>
      <c r="U52" s="873">
        <v>37</v>
      </c>
      <c r="V52" s="662">
        <v>38</v>
      </c>
      <c r="W52" s="286">
        <v>1</v>
      </c>
      <c r="X52" s="873">
        <v>1.02</v>
      </c>
      <c r="Y52" s="873">
        <v>1.04</v>
      </c>
      <c r="Z52" s="873">
        <v>1.06</v>
      </c>
      <c r="AA52" s="873">
        <v>1.08</v>
      </c>
      <c r="AB52" s="874">
        <v>1.1000000000000001</v>
      </c>
      <c r="AC52" s="58">
        <f t="shared" si="6"/>
        <v>0.5</v>
      </c>
      <c r="AD52" s="60">
        <v>7500</v>
      </c>
      <c r="AE52" s="18"/>
      <c r="AF52" s="20"/>
      <c r="AG52" s="60"/>
      <c r="AH52" s="886"/>
      <c r="AI52" s="886"/>
      <c r="AJ52" s="886"/>
      <c r="AK52" s="886"/>
      <c r="AL52" s="392"/>
      <c r="AM52" s="817"/>
      <c r="AN52" s="817"/>
      <c r="AO52" s="817"/>
      <c r="AP52" s="817"/>
      <c r="AQ52" s="392"/>
      <c r="AR52" s="887"/>
      <c r="AS52" s="779"/>
      <c r="AT52" s="723"/>
      <c r="AU52" s="958"/>
      <c r="AV52" s="779"/>
      <c r="AW52" s="779"/>
      <c r="AX52" s="779"/>
      <c r="AY52" s="779"/>
      <c r="AZ52" s="691"/>
    </row>
    <row r="53" spans="1:52" x14ac:dyDescent="0.25">
      <c r="A53" s="163">
        <v>40806</v>
      </c>
      <c r="B53" s="164">
        <v>40908</v>
      </c>
      <c r="C53" s="93">
        <v>3.7800000000000002</v>
      </c>
      <c r="D53" s="843">
        <v>0.63200000000000001</v>
      </c>
      <c r="E53" s="17">
        <v>17</v>
      </c>
      <c r="F53" s="35">
        <v>49.42</v>
      </c>
      <c r="G53" s="102">
        <v>0.85</v>
      </c>
      <c r="H53" s="17">
        <v>39785</v>
      </c>
      <c r="I53" s="35">
        <v>92658</v>
      </c>
      <c r="J53" s="62">
        <v>0.1</v>
      </c>
      <c r="K53" s="63">
        <v>0.15</v>
      </c>
      <c r="L53" s="626">
        <v>0.25</v>
      </c>
      <c r="M53" s="627">
        <v>0.35</v>
      </c>
      <c r="N53" s="2">
        <f t="shared" si="0"/>
        <v>50</v>
      </c>
      <c r="O53" s="1">
        <f t="shared" si="1"/>
        <v>24</v>
      </c>
      <c r="P53" s="11">
        <f t="shared" si="5"/>
        <v>15</v>
      </c>
      <c r="Q53" s="2">
        <v>5</v>
      </c>
      <c r="R53" s="339">
        <v>34</v>
      </c>
      <c r="S53" s="875">
        <v>35</v>
      </c>
      <c r="T53" s="875">
        <v>36</v>
      </c>
      <c r="U53" s="875">
        <v>37</v>
      </c>
      <c r="V53" s="663">
        <v>38</v>
      </c>
      <c r="W53" s="269">
        <v>1</v>
      </c>
      <c r="X53" s="875">
        <v>1.02</v>
      </c>
      <c r="Y53" s="875">
        <v>1.04</v>
      </c>
      <c r="Z53" s="875">
        <v>1.06</v>
      </c>
      <c r="AA53" s="875">
        <v>1.08</v>
      </c>
      <c r="AB53" s="876">
        <v>1.1000000000000001</v>
      </c>
      <c r="AC53" s="62">
        <f t="shared" si="6"/>
        <v>0.5</v>
      </c>
      <c r="AD53" s="35">
        <f>AD52</f>
        <v>7500</v>
      </c>
      <c r="AE53" s="17"/>
      <c r="AF53" s="19"/>
      <c r="AG53" s="35"/>
      <c r="AH53" s="888"/>
      <c r="AI53" s="888"/>
      <c r="AJ53" s="888"/>
      <c r="AK53" s="888"/>
      <c r="AL53" s="393"/>
      <c r="AM53" s="818"/>
      <c r="AN53" s="818"/>
      <c r="AO53" s="818"/>
      <c r="AP53" s="818"/>
      <c r="AQ53" s="393"/>
      <c r="AR53" s="889"/>
      <c r="AS53" s="780"/>
      <c r="AT53" s="724"/>
      <c r="AU53" s="959"/>
      <c r="AV53" s="780"/>
      <c r="AW53" s="780"/>
      <c r="AX53" s="780"/>
      <c r="AY53" s="780"/>
      <c r="AZ53" s="688"/>
    </row>
    <row r="54" spans="1:52" s="5" customFormat="1" x14ac:dyDescent="0.25">
      <c r="A54" s="496">
        <v>40909</v>
      </c>
      <c r="B54" s="497">
        <v>40987</v>
      </c>
      <c r="C54" s="373">
        <v>3.7800000000000002</v>
      </c>
      <c r="D54" s="845">
        <v>0.63200000000000001</v>
      </c>
      <c r="E54" s="375">
        <v>17</v>
      </c>
      <c r="F54" s="374">
        <v>49.42</v>
      </c>
      <c r="G54" s="376">
        <v>0.85</v>
      </c>
      <c r="H54" s="375">
        <v>39785</v>
      </c>
      <c r="I54" s="374">
        <v>92658</v>
      </c>
      <c r="J54" s="403">
        <v>0.1</v>
      </c>
      <c r="K54" s="404">
        <v>0.15</v>
      </c>
      <c r="L54" s="630">
        <v>0.25</v>
      </c>
      <c r="M54" s="631">
        <v>0.35</v>
      </c>
      <c r="N54" s="396">
        <f t="shared" si="0"/>
        <v>50</v>
      </c>
      <c r="O54" s="397">
        <f t="shared" si="1"/>
        <v>24</v>
      </c>
      <c r="P54" s="406">
        <f t="shared" si="5"/>
        <v>15</v>
      </c>
      <c r="Q54" s="396">
        <v>5</v>
      </c>
      <c r="R54" s="339">
        <v>34</v>
      </c>
      <c r="S54" s="875">
        <v>35</v>
      </c>
      <c r="T54" s="875">
        <v>36</v>
      </c>
      <c r="U54" s="875">
        <v>37</v>
      </c>
      <c r="V54" s="663">
        <v>38</v>
      </c>
      <c r="W54" s="269">
        <v>1</v>
      </c>
      <c r="X54" s="875">
        <v>1.02</v>
      </c>
      <c r="Y54" s="875">
        <v>1.04</v>
      </c>
      <c r="Z54" s="875">
        <v>1.06</v>
      </c>
      <c r="AA54" s="875">
        <v>1.08</v>
      </c>
      <c r="AB54" s="876">
        <v>1.1000000000000001</v>
      </c>
      <c r="AC54" s="403">
        <f t="shared" si="6"/>
        <v>0.5</v>
      </c>
      <c r="AD54" s="374">
        <f t="shared" ref="AD54:AD59" si="7">AD53</f>
        <v>7500</v>
      </c>
      <c r="AE54" s="375"/>
      <c r="AF54" s="242"/>
      <c r="AG54" s="374"/>
      <c r="AH54" s="893"/>
      <c r="AI54" s="893"/>
      <c r="AJ54" s="893"/>
      <c r="AK54" s="893"/>
      <c r="AL54" s="401"/>
      <c r="AM54" s="820"/>
      <c r="AN54" s="820"/>
      <c r="AO54" s="820"/>
      <c r="AP54" s="820"/>
      <c r="AQ54" s="401"/>
      <c r="AR54" s="894"/>
      <c r="AS54" s="781"/>
      <c r="AT54" s="763"/>
      <c r="AU54" s="962"/>
      <c r="AV54" s="781"/>
      <c r="AW54" s="781"/>
      <c r="AX54" s="781"/>
      <c r="AY54" s="781"/>
      <c r="AZ54" s="689"/>
    </row>
    <row r="55" spans="1:52" s="5" customFormat="1" ht="15.75" thickBot="1" x14ac:dyDescent="0.3">
      <c r="A55" s="538">
        <v>40988</v>
      </c>
      <c r="B55" s="539">
        <v>41090</v>
      </c>
      <c r="C55" s="542">
        <v>3.7800000000000002</v>
      </c>
      <c r="D55" s="846">
        <v>0.63200000000000001</v>
      </c>
      <c r="E55" s="540">
        <v>17</v>
      </c>
      <c r="F55" s="541">
        <v>49.42</v>
      </c>
      <c r="G55" s="550">
        <v>0.85</v>
      </c>
      <c r="H55" s="540">
        <v>39785</v>
      </c>
      <c r="I55" s="541">
        <v>92658</v>
      </c>
      <c r="J55" s="544">
        <v>0.1</v>
      </c>
      <c r="K55" s="551">
        <v>0.15</v>
      </c>
      <c r="L55" s="632">
        <v>0.25</v>
      </c>
      <c r="M55" s="633">
        <v>0.35</v>
      </c>
      <c r="N55" s="548">
        <f t="shared" si="0"/>
        <v>50</v>
      </c>
      <c r="O55" s="549">
        <f t="shared" si="1"/>
        <v>24</v>
      </c>
      <c r="P55" s="552">
        <f t="shared" si="5"/>
        <v>15</v>
      </c>
      <c r="Q55" s="548">
        <v>5</v>
      </c>
      <c r="R55" s="877">
        <v>34</v>
      </c>
      <c r="S55" s="878">
        <v>35</v>
      </c>
      <c r="T55" s="878">
        <v>36</v>
      </c>
      <c r="U55" s="878">
        <v>37</v>
      </c>
      <c r="V55" s="664">
        <v>38</v>
      </c>
      <c r="W55" s="285">
        <v>1</v>
      </c>
      <c r="X55" s="878">
        <v>1.02</v>
      </c>
      <c r="Y55" s="878">
        <v>1.04</v>
      </c>
      <c r="Z55" s="878">
        <v>1.06</v>
      </c>
      <c r="AA55" s="878">
        <v>1.08</v>
      </c>
      <c r="AB55" s="879">
        <v>1.1000000000000001</v>
      </c>
      <c r="AC55" s="544">
        <f t="shared" si="6"/>
        <v>0.5</v>
      </c>
      <c r="AD55" s="541">
        <f t="shared" si="7"/>
        <v>7500</v>
      </c>
      <c r="AE55" s="540"/>
      <c r="AF55" s="543"/>
      <c r="AG55" s="541"/>
      <c r="AH55" s="895"/>
      <c r="AI55" s="895"/>
      <c r="AJ55" s="895"/>
      <c r="AK55" s="895"/>
      <c r="AL55" s="896"/>
      <c r="AM55" s="821"/>
      <c r="AN55" s="821"/>
      <c r="AO55" s="821"/>
      <c r="AP55" s="821"/>
      <c r="AQ55" s="896"/>
      <c r="AR55" s="897"/>
      <c r="AS55" s="951"/>
      <c r="AT55" s="963"/>
      <c r="AU55" s="964"/>
      <c r="AV55" s="951"/>
      <c r="AW55" s="951"/>
      <c r="AX55" s="951"/>
      <c r="AY55" s="951"/>
      <c r="AZ55" s="952"/>
    </row>
    <row r="56" spans="1:52" s="5" customFormat="1" x14ac:dyDescent="0.25">
      <c r="A56" s="531">
        <v>41091</v>
      </c>
      <c r="B56" s="532">
        <v>41171</v>
      </c>
      <c r="C56" s="533">
        <v>3.9</v>
      </c>
      <c r="D56" s="847">
        <v>0.65200000000000002</v>
      </c>
      <c r="E56" s="534">
        <v>17.53</v>
      </c>
      <c r="F56" s="535">
        <v>50.95</v>
      </c>
      <c r="G56" s="553">
        <v>0.85</v>
      </c>
      <c r="H56" s="534">
        <v>41026</v>
      </c>
      <c r="I56" s="535">
        <v>95530</v>
      </c>
      <c r="J56" s="546">
        <v>0.1</v>
      </c>
      <c r="K56" s="554">
        <v>0.15</v>
      </c>
      <c r="L56" s="634">
        <v>0.25</v>
      </c>
      <c r="M56" s="635">
        <v>0.35</v>
      </c>
      <c r="N56" s="555">
        <f t="shared" si="0"/>
        <v>50</v>
      </c>
      <c r="O56" s="537">
        <f t="shared" si="1"/>
        <v>24</v>
      </c>
      <c r="P56" s="556">
        <f t="shared" si="5"/>
        <v>15</v>
      </c>
      <c r="Q56" s="555">
        <v>5</v>
      </c>
      <c r="R56" s="338">
        <v>34</v>
      </c>
      <c r="S56" s="873">
        <v>35</v>
      </c>
      <c r="T56" s="873">
        <v>36</v>
      </c>
      <c r="U56" s="873">
        <v>37</v>
      </c>
      <c r="V56" s="662">
        <v>38</v>
      </c>
      <c r="W56" s="286">
        <v>1</v>
      </c>
      <c r="X56" s="873">
        <v>1.02</v>
      </c>
      <c r="Y56" s="873">
        <v>1.04</v>
      </c>
      <c r="Z56" s="873">
        <v>1.06</v>
      </c>
      <c r="AA56" s="873">
        <v>1.08</v>
      </c>
      <c r="AB56" s="874">
        <v>1.1000000000000001</v>
      </c>
      <c r="AC56" s="546">
        <f t="shared" si="6"/>
        <v>0.5</v>
      </c>
      <c r="AD56" s="535">
        <f t="shared" si="7"/>
        <v>7500</v>
      </c>
      <c r="AE56" s="534"/>
      <c r="AF56" s="536"/>
      <c r="AG56" s="535"/>
      <c r="AH56" s="898"/>
      <c r="AI56" s="898"/>
      <c r="AJ56" s="898"/>
      <c r="AK56" s="898"/>
      <c r="AL56" s="899"/>
      <c r="AM56" s="822"/>
      <c r="AN56" s="822"/>
      <c r="AO56" s="822"/>
      <c r="AP56" s="822"/>
      <c r="AQ56" s="899"/>
      <c r="AR56" s="900"/>
      <c r="AS56" s="953"/>
      <c r="AT56" s="965"/>
      <c r="AU56" s="966"/>
      <c r="AV56" s="953"/>
      <c r="AW56" s="953"/>
      <c r="AX56" s="953"/>
      <c r="AY56" s="953"/>
      <c r="AZ56" s="954"/>
    </row>
    <row r="57" spans="1:52" s="5" customFormat="1" x14ac:dyDescent="0.25">
      <c r="A57" s="496">
        <v>41172</v>
      </c>
      <c r="B57" s="497">
        <v>41274</v>
      </c>
      <c r="C57" s="373">
        <v>3.9</v>
      </c>
      <c r="D57" s="845">
        <v>0.65200000000000002</v>
      </c>
      <c r="E57" s="375">
        <v>17.53</v>
      </c>
      <c r="F57" s="374">
        <v>50.95</v>
      </c>
      <c r="G57" s="376">
        <v>0.85</v>
      </c>
      <c r="H57" s="375">
        <v>41026</v>
      </c>
      <c r="I57" s="374">
        <v>95530</v>
      </c>
      <c r="J57" s="403">
        <v>0.1</v>
      </c>
      <c r="K57" s="404">
        <v>0.15</v>
      </c>
      <c r="L57" s="630">
        <v>0.25</v>
      </c>
      <c r="M57" s="631">
        <v>0.35</v>
      </c>
      <c r="N57" s="396">
        <f t="shared" si="0"/>
        <v>50</v>
      </c>
      <c r="O57" s="397">
        <f t="shared" si="1"/>
        <v>24</v>
      </c>
      <c r="P57" s="406">
        <f t="shared" si="5"/>
        <v>15</v>
      </c>
      <c r="Q57" s="396">
        <v>5</v>
      </c>
      <c r="R57" s="339">
        <v>34</v>
      </c>
      <c r="S57" s="875">
        <v>35</v>
      </c>
      <c r="T57" s="875">
        <v>36</v>
      </c>
      <c r="U57" s="875">
        <v>37</v>
      </c>
      <c r="V57" s="663">
        <v>38</v>
      </c>
      <c r="W57" s="269">
        <v>1</v>
      </c>
      <c r="X57" s="875">
        <v>1.02</v>
      </c>
      <c r="Y57" s="875">
        <v>1.04</v>
      </c>
      <c r="Z57" s="875">
        <v>1.06</v>
      </c>
      <c r="AA57" s="875">
        <v>1.08</v>
      </c>
      <c r="AB57" s="876">
        <v>1.1000000000000001</v>
      </c>
      <c r="AC57" s="403">
        <f t="shared" si="6"/>
        <v>0.5</v>
      </c>
      <c r="AD57" s="374">
        <f t="shared" si="7"/>
        <v>7500</v>
      </c>
      <c r="AE57" s="375"/>
      <c r="AF57" s="242"/>
      <c r="AG57" s="374"/>
      <c r="AH57" s="893"/>
      <c r="AI57" s="893"/>
      <c r="AJ57" s="893"/>
      <c r="AK57" s="893"/>
      <c r="AL57" s="401"/>
      <c r="AM57" s="820"/>
      <c r="AN57" s="820"/>
      <c r="AO57" s="820"/>
      <c r="AP57" s="820"/>
      <c r="AQ57" s="401"/>
      <c r="AR57" s="894"/>
      <c r="AS57" s="781"/>
      <c r="AT57" s="763"/>
      <c r="AU57" s="962"/>
      <c r="AV57" s="781"/>
      <c r="AW57" s="781"/>
      <c r="AX57" s="781"/>
      <c r="AY57" s="781"/>
      <c r="AZ57" s="689"/>
    </row>
    <row r="58" spans="1:52" s="5" customFormat="1" x14ac:dyDescent="0.25">
      <c r="A58" s="496">
        <v>41275</v>
      </c>
      <c r="B58" s="497">
        <v>41352</v>
      </c>
      <c r="C58" s="373">
        <v>3.9</v>
      </c>
      <c r="D58" s="845">
        <v>0.65200000000000002</v>
      </c>
      <c r="E58" s="375">
        <v>17.53</v>
      </c>
      <c r="F58" s="374">
        <v>50.95</v>
      </c>
      <c r="G58" s="376">
        <v>0.85</v>
      </c>
      <c r="H58" s="375">
        <v>41026</v>
      </c>
      <c r="I58" s="374">
        <v>95530</v>
      </c>
      <c r="J58" s="403">
        <v>0.1</v>
      </c>
      <c r="K58" s="404">
        <v>0.15</v>
      </c>
      <c r="L58" s="630">
        <v>0.25</v>
      </c>
      <c r="M58" s="631">
        <v>0.35</v>
      </c>
      <c r="N58" s="396">
        <f t="shared" si="0"/>
        <v>50</v>
      </c>
      <c r="O58" s="397">
        <f t="shared" si="1"/>
        <v>24</v>
      </c>
      <c r="P58" s="406">
        <f t="shared" si="5"/>
        <v>15</v>
      </c>
      <c r="Q58" s="396">
        <v>5</v>
      </c>
      <c r="R58" s="339">
        <v>34</v>
      </c>
      <c r="S58" s="875">
        <v>35</v>
      </c>
      <c r="T58" s="875">
        <v>36</v>
      </c>
      <c r="U58" s="875">
        <v>37</v>
      </c>
      <c r="V58" s="663">
        <v>38</v>
      </c>
      <c r="W58" s="269">
        <v>1</v>
      </c>
      <c r="X58" s="875">
        <v>1.02</v>
      </c>
      <c r="Y58" s="875">
        <v>1.04</v>
      </c>
      <c r="Z58" s="875">
        <v>1.06</v>
      </c>
      <c r="AA58" s="875">
        <v>1.08</v>
      </c>
      <c r="AB58" s="876">
        <v>1.1000000000000001</v>
      </c>
      <c r="AC58" s="403">
        <f t="shared" si="6"/>
        <v>0.5</v>
      </c>
      <c r="AD58" s="374">
        <f t="shared" si="7"/>
        <v>7500</v>
      </c>
      <c r="AE58" s="375"/>
      <c r="AF58" s="242"/>
      <c r="AG58" s="374"/>
      <c r="AH58" s="893"/>
      <c r="AI58" s="893"/>
      <c r="AJ58" s="893"/>
      <c r="AK58" s="893"/>
      <c r="AL58" s="401"/>
      <c r="AM58" s="820"/>
      <c r="AN58" s="820"/>
      <c r="AO58" s="820"/>
      <c r="AP58" s="820"/>
      <c r="AQ58" s="401"/>
      <c r="AR58" s="894"/>
      <c r="AS58" s="781"/>
      <c r="AT58" s="763"/>
      <c r="AU58" s="962"/>
      <c r="AV58" s="781"/>
      <c r="AW58" s="781"/>
      <c r="AX58" s="781"/>
      <c r="AY58" s="781"/>
      <c r="AZ58" s="689"/>
    </row>
    <row r="59" spans="1:52" s="5" customFormat="1" ht="15.75" thickBot="1" x14ac:dyDescent="0.3">
      <c r="A59" s="538">
        <v>41353</v>
      </c>
      <c r="B59" s="539">
        <v>41455</v>
      </c>
      <c r="C59" s="542">
        <v>3.9</v>
      </c>
      <c r="D59" s="846">
        <v>0.65200000000000002</v>
      </c>
      <c r="E59" s="540">
        <v>17.53</v>
      </c>
      <c r="F59" s="541">
        <v>50.95</v>
      </c>
      <c r="G59" s="550">
        <v>0.85</v>
      </c>
      <c r="H59" s="540">
        <v>41026</v>
      </c>
      <c r="I59" s="541">
        <v>95530</v>
      </c>
      <c r="J59" s="544">
        <v>0.1</v>
      </c>
      <c r="K59" s="551">
        <v>0.15</v>
      </c>
      <c r="L59" s="632">
        <v>0.25</v>
      </c>
      <c r="M59" s="633">
        <v>0.35</v>
      </c>
      <c r="N59" s="548">
        <f t="shared" si="0"/>
        <v>50</v>
      </c>
      <c r="O59" s="549">
        <f t="shared" si="1"/>
        <v>24</v>
      </c>
      <c r="P59" s="552">
        <f t="shared" si="5"/>
        <v>15</v>
      </c>
      <c r="Q59" s="548">
        <v>5</v>
      </c>
      <c r="R59" s="877">
        <v>34</v>
      </c>
      <c r="S59" s="878">
        <v>35</v>
      </c>
      <c r="T59" s="878">
        <v>36</v>
      </c>
      <c r="U59" s="878">
        <v>37</v>
      </c>
      <c r="V59" s="664">
        <v>38</v>
      </c>
      <c r="W59" s="285">
        <v>1</v>
      </c>
      <c r="X59" s="878">
        <v>1.02</v>
      </c>
      <c r="Y59" s="878">
        <v>1.04</v>
      </c>
      <c r="Z59" s="878">
        <v>1.06</v>
      </c>
      <c r="AA59" s="878">
        <v>1.08</v>
      </c>
      <c r="AB59" s="879">
        <v>1.1000000000000001</v>
      </c>
      <c r="AC59" s="544">
        <f t="shared" si="6"/>
        <v>0.5</v>
      </c>
      <c r="AD59" s="541">
        <f t="shared" si="7"/>
        <v>7500</v>
      </c>
      <c r="AE59" s="540"/>
      <c r="AF59" s="543"/>
      <c r="AG59" s="541"/>
      <c r="AH59" s="895"/>
      <c r="AI59" s="895"/>
      <c r="AJ59" s="895"/>
      <c r="AK59" s="895"/>
      <c r="AL59" s="896"/>
      <c r="AM59" s="821"/>
      <c r="AN59" s="821"/>
      <c r="AO59" s="821"/>
      <c r="AP59" s="821"/>
      <c r="AQ59" s="896"/>
      <c r="AR59" s="897"/>
      <c r="AS59" s="951"/>
      <c r="AT59" s="963"/>
      <c r="AU59" s="964"/>
      <c r="AV59" s="951"/>
      <c r="AW59" s="951"/>
      <c r="AX59" s="951"/>
      <c r="AY59" s="951"/>
      <c r="AZ59" s="952"/>
    </row>
    <row r="60" spans="1:52" x14ac:dyDescent="0.25">
      <c r="A60" s="531">
        <v>41456</v>
      </c>
      <c r="B60" s="532">
        <v>41536</v>
      </c>
      <c r="C60" s="533">
        <v>3.99</v>
      </c>
      <c r="D60" s="847">
        <v>0.66600000000000004</v>
      </c>
      <c r="E60" s="534">
        <v>17.920000000000002</v>
      </c>
      <c r="F60" s="535">
        <v>52.07</v>
      </c>
      <c r="G60" s="553">
        <v>0.85</v>
      </c>
      <c r="H60" s="534">
        <v>41902</v>
      </c>
      <c r="I60" s="535">
        <v>97632</v>
      </c>
      <c r="J60" s="546">
        <v>0.1</v>
      </c>
      <c r="K60" s="554">
        <v>0.15</v>
      </c>
      <c r="L60" s="634">
        <v>0.25</v>
      </c>
      <c r="M60" s="635">
        <v>0.35</v>
      </c>
      <c r="N60" s="555">
        <v>50</v>
      </c>
      <c r="O60" s="537">
        <v>24</v>
      </c>
      <c r="P60" s="556">
        <v>15</v>
      </c>
      <c r="Q60" s="555">
        <v>5</v>
      </c>
      <c r="R60" s="338">
        <v>34</v>
      </c>
      <c r="S60" s="873">
        <v>35</v>
      </c>
      <c r="T60" s="873">
        <v>36</v>
      </c>
      <c r="U60" s="873">
        <v>37</v>
      </c>
      <c r="V60" s="662">
        <v>38</v>
      </c>
      <c r="W60" s="286">
        <v>1</v>
      </c>
      <c r="X60" s="873">
        <v>1.02</v>
      </c>
      <c r="Y60" s="873">
        <v>1.04</v>
      </c>
      <c r="Z60" s="873">
        <v>1.06</v>
      </c>
      <c r="AA60" s="873">
        <v>1.08</v>
      </c>
      <c r="AB60" s="874">
        <v>1.1000000000000001</v>
      </c>
      <c r="AC60" s="546">
        <v>0.5</v>
      </c>
      <c r="AD60" s="535">
        <v>7500</v>
      </c>
      <c r="AE60" s="534"/>
      <c r="AF60" s="536"/>
      <c r="AG60" s="535"/>
      <c r="AH60" s="898"/>
      <c r="AI60" s="898"/>
      <c r="AJ60" s="898"/>
      <c r="AK60" s="898"/>
      <c r="AL60" s="899"/>
      <c r="AM60" s="822"/>
      <c r="AN60" s="822"/>
      <c r="AO60" s="822"/>
      <c r="AP60" s="822"/>
      <c r="AQ60" s="899"/>
      <c r="AR60" s="900"/>
      <c r="AS60" s="953"/>
      <c r="AT60" s="965"/>
      <c r="AU60" s="966"/>
      <c r="AV60" s="953"/>
      <c r="AW60" s="953"/>
      <c r="AX60" s="953"/>
      <c r="AY60" s="953"/>
      <c r="AZ60" s="954"/>
    </row>
    <row r="61" spans="1:52" x14ac:dyDescent="0.25">
      <c r="A61" s="496">
        <v>41537</v>
      </c>
      <c r="B61" s="497">
        <v>41639</v>
      </c>
      <c r="C61" s="373">
        <v>3.99</v>
      </c>
      <c r="D61" s="845">
        <v>0.66600000000000004</v>
      </c>
      <c r="E61" s="375">
        <v>17.920000000000002</v>
      </c>
      <c r="F61" s="374">
        <v>52.07</v>
      </c>
      <c r="G61" s="376">
        <v>0.85</v>
      </c>
      <c r="H61" s="375">
        <v>41902</v>
      </c>
      <c r="I61" s="374">
        <v>97632</v>
      </c>
      <c r="J61" s="403">
        <v>0.1</v>
      </c>
      <c r="K61" s="404">
        <v>0.15</v>
      </c>
      <c r="L61" s="630">
        <v>0.25</v>
      </c>
      <c r="M61" s="631">
        <v>0.35</v>
      </c>
      <c r="N61" s="396">
        <v>50</v>
      </c>
      <c r="O61" s="397">
        <v>24</v>
      </c>
      <c r="P61" s="406">
        <v>15</v>
      </c>
      <c r="Q61" s="396">
        <v>5</v>
      </c>
      <c r="R61" s="339">
        <v>34</v>
      </c>
      <c r="S61" s="875">
        <v>35</v>
      </c>
      <c r="T61" s="875">
        <v>36</v>
      </c>
      <c r="U61" s="875">
        <v>37</v>
      </c>
      <c r="V61" s="663">
        <v>38</v>
      </c>
      <c r="W61" s="269">
        <v>1</v>
      </c>
      <c r="X61" s="875">
        <v>1.02</v>
      </c>
      <c r="Y61" s="875">
        <v>1.04</v>
      </c>
      <c r="Z61" s="875">
        <v>1.06</v>
      </c>
      <c r="AA61" s="875">
        <v>1.08</v>
      </c>
      <c r="AB61" s="876">
        <v>1.1000000000000001</v>
      </c>
      <c r="AC61" s="403">
        <v>0.5</v>
      </c>
      <c r="AD61" s="374">
        <v>7500</v>
      </c>
      <c r="AE61" s="375"/>
      <c r="AF61" s="242"/>
      <c r="AG61" s="374"/>
      <c r="AH61" s="893"/>
      <c r="AI61" s="893"/>
      <c r="AJ61" s="893"/>
      <c r="AK61" s="893"/>
      <c r="AL61" s="401"/>
      <c r="AM61" s="820"/>
      <c r="AN61" s="820"/>
      <c r="AO61" s="820"/>
      <c r="AP61" s="820"/>
      <c r="AQ61" s="401"/>
      <c r="AR61" s="894"/>
      <c r="AS61" s="781"/>
      <c r="AT61" s="763"/>
      <c r="AU61" s="962"/>
      <c r="AV61" s="781"/>
      <c r="AW61" s="781"/>
      <c r="AX61" s="781"/>
      <c r="AY61" s="781"/>
      <c r="AZ61" s="689"/>
    </row>
    <row r="62" spans="1:52" x14ac:dyDescent="0.25">
      <c r="A62" s="496">
        <v>41640</v>
      </c>
      <c r="B62" s="497">
        <v>41717</v>
      </c>
      <c r="C62" s="373">
        <v>3.99</v>
      </c>
      <c r="D62" s="845">
        <v>0.66600000000000004</v>
      </c>
      <c r="E62" s="375">
        <v>17.920000000000002</v>
      </c>
      <c r="F62" s="374">
        <v>52.07</v>
      </c>
      <c r="G62" s="376">
        <v>0.85</v>
      </c>
      <c r="H62" s="375">
        <v>41902</v>
      </c>
      <c r="I62" s="374">
        <v>97632</v>
      </c>
      <c r="J62" s="403">
        <v>0.1</v>
      </c>
      <c r="K62" s="404">
        <v>0.15</v>
      </c>
      <c r="L62" s="630">
        <v>0.25</v>
      </c>
      <c r="M62" s="631">
        <v>0.35</v>
      </c>
      <c r="N62" s="396">
        <v>50</v>
      </c>
      <c r="O62" s="397">
        <v>24</v>
      </c>
      <c r="P62" s="406">
        <v>15</v>
      </c>
      <c r="Q62" s="396">
        <v>5</v>
      </c>
      <c r="R62" s="339">
        <v>34</v>
      </c>
      <c r="S62" s="875">
        <v>35</v>
      </c>
      <c r="T62" s="875">
        <v>36</v>
      </c>
      <c r="U62" s="875">
        <v>37</v>
      </c>
      <c r="V62" s="663">
        <v>38</v>
      </c>
      <c r="W62" s="269">
        <v>1</v>
      </c>
      <c r="X62" s="875">
        <v>1.02</v>
      </c>
      <c r="Y62" s="875">
        <v>1.04</v>
      </c>
      <c r="Z62" s="875">
        <v>1.06</v>
      </c>
      <c r="AA62" s="875">
        <v>1.08</v>
      </c>
      <c r="AB62" s="876">
        <v>1.1000000000000001</v>
      </c>
      <c r="AC62" s="403">
        <v>0.5</v>
      </c>
      <c r="AD62" s="374">
        <v>7500</v>
      </c>
      <c r="AE62" s="375"/>
      <c r="AF62" s="242"/>
      <c r="AG62" s="374"/>
      <c r="AH62" s="893"/>
      <c r="AI62" s="893"/>
      <c r="AJ62" s="893"/>
      <c r="AK62" s="893"/>
      <c r="AL62" s="401"/>
      <c r="AM62" s="820"/>
      <c r="AN62" s="820"/>
      <c r="AO62" s="820"/>
      <c r="AP62" s="820"/>
      <c r="AQ62" s="401"/>
      <c r="AR62" s="894"/>
      <c r="AS62" s="781"/>
      <c r="AT62" s="763"/>
      <c r="AU62" s="962"/>
      <c r="AV62" s="781"/>
      <c r="AW62" s="781"/>
      <c r="AX62" s="781"/>
      <c r="AY62" s="781"/>
      <c r="AZ62" s="689"/>
    </row>
    <row r="63" spans="1:52" ht="15.75" thickBot="1" x14ac:dyDescent="0.3">
      <c r="A63" s="538">
        <v>41718</v>
      </c>
      <c r="B63" s="539">
        <v>41820</v>
      </c>
      <c r="C63" s="542">
        <v>3.99</v>
      </c>
      <c r="D63" s="846">
        <v>0.66600000000000004</v>
      </c>
      <c r="E63" s="540">
        <v>17.920000000000002</v>
      </c>
      <c r="F63" s="541">
        <v>52.07</v>
      </c>
      <c r="G63" s="550">
        <v>0.85</v>
      </c>
      <c r="H63" s="540">
        <v>41902</v>
      </c>
      <c r="I63" s="541">
        <v>97632</v>
      </c>
      <c r="J63" s="544">
        <v>0.1</v>
      </c>
      <c r="K63" s="551">
        <v>0.15</v>
      </c>
      <c r="L63" s="632">
        <v>0.25</v>
      </c>
      <c r="M63" s="633">
        <v>0.35</v>
      </c>
      <c r="N63" s="548">
        <v>50</v>
      </c>
      <c r="O63" s="549">
        <v>24</v>
      </c>
      <c r="P63" s="552">
        <v>15</v>
      </c>
      <c r="Q63" s="548">
        <v>5</v>
      </c>
      <c r="R63" s="877">
        <v>34</v>
      </c>
      <c r="S63" s="878">
        <v>35</v>
      </c>
      <c r="T63" s="878">
        <v>36</v>
      </c>
      <c r="U63" s="878">
        <v>37</v>
      </c>
      <c r="V63" s="664">
        <v>38</v>
      </c>
      <c r="W63" s="285">
        <v>1</v>
      </c>
      <c r="X63" s="878">
        <v>1.02</v>
      </c>
      <c r="Y63" s="878">
        <v>1.04</v>
      </c>
      <c r="Z63" s="878">
        <v>1.06</v>
      </c>
      <c r="AA63" s="878">
        <v>1.08</v>
      </c>
      <c r="AB63" s="879">
        <v>1.1000000000000001</v>
      </c>
      <c r="AC63" s="544">
        <v>0.5</v>
      </c>
      <c r="AD63" s="541">
        <v>7500</v>
      </c>
      <c r="AE63" s="540"/>
      <c r="AF63" s="543"/>
      <c r="AG63" s="541"/>
      <c r="AH63" s="895"/>
      <c r="AI63" s="895"/>
      <c r="AJ63" s="895"/>
      <c r="AK63" s="895"/>
      <c r="AL63" s="896"/>
      <c r="AM63" s="821"/>
      <c r="AN63" s="821"/>
      <c r="AO63" s="821"/>
      <c r="AP63" s="821"/>
      <c r="AQ63" s="896"/>
      <c r="AR63" s="897"/>
      <c r="AS63" s="951"/>
      <c r="AT63" s="963"/>
      <c r="AU63" s="964"/>
      <c r="AV63" s="951"/>
      <c r="AW63" s="951"/>
      <c r="AX63" s="951"/>
      <c r="AY63" s="951"/>
      <c r="AZ63" s="952"/>
    </row>
    <row r="64" spans="1:52" s="5" customFormat="1" x14ac:dyDescent="0.25">
      <c r="A64" s="531">
        <v>41821</v>
      </c>
      <c r="B64" s="532">
        <v>41901</v>
      </c>
      <c r="C64" s="533">
        <v>4.0999999999999996</v>
      </c>
      <c r="D64" s="847">
        <v>0.68400000000000005</v>
      </c>
      <c r="E64" s="534">
        <v>18.400000000000002</v>
      </c>
      <c r="F64" s="535">
        <v>53.480000000000004</v>
      </c>
      <c r="G64" s="553">
        <v>0.85</v>
      </c>
      <c r="H64" s="534">
        <v>42997</v>
      </c>
      <c r="I64" s="535">
        <v>100268</v>
      </c>
      <c r="J64" s="546">
        <v>0.1</v>
      </c>
      <c r="K64" s="554">
        <v>0.15</v>
      </c>
      <c r="L64" s="634">
        <v>0.25</v>
      </c>
      <c r="M64" s="635">
        <v>0.35</v>
      </c>
      <c r="N64" s="555">
        <v>50</v>
      </c>
      <c r="O64" s="537">
        <v>24</v>
      </c>
      <c r="P64" s="556">
        <v>15</v>
      </c>
      <c r="Q64" s="555">
        <v>5</v>
      </c>
      <c r="R64" s="338">
        <v>34</v>
      </c>
      <c r="S64" s="873">
        <v>35</v>
      </c>
      <c r="T64" s="873">
        <v>36</v>
      </c>
      <c r="U64" s="873">
        <v>37</v>
      </c>
      <c r="V64" s="662">
        <v>38</v>
      </c>
      <c r="W64" s="286">
        <v>1</v>
      </c>
      <c r="X64" s="873">
        <v>1.02</v>
      </c>
      <c r="Y64" s="873">
        <v>1.04</v>
      </c>
      <c r="Z64" s="873">
        <v>1.06</v>
      </c>
      <c r="AA64" s="873">
        <v>1.08</v>
      </c>
      <c r="AB64" s="874">
        <v>1.1000000000000001</v>
      </c>
      <c r="AC64" s="546">
        <v>0.5</v>
      </c>
      <c r="AD64" s="535">
        <v>7500</v>
      </c>
      <c r="AE64" s="534"/>
      <c r="AF64" s="536"/>
      <c r="AG64" s="535"/>
      <c r="AH64" s="898"/>
      <c r="AI64" s="898"/>
      <c r="AJ64" s="898"/>
      <c r="AK64" s="898"/>
      <c r="AL64" s="899"/>
      <c r="AM64" s="822"/>
      <c r="AN64" s="822"/>
      <c r="AO64" s="822"/>
      <c r="AP64" s="822"/>
      <c r="AQ64" s="899"/>
      <c r="AR64" s="900"/>
      <c r="AS64" s="953"/>
      <c r="AT64" s="965"/>
      <c r="AU64" s="966"/>
      <c r="AV64" s="953"/>
      <c r="AW64" s="953"/>
      <c r="AX64" s="953"/>
      <c r="AY64" s="953"/>
      <c r="AZ64" s="954"/>
    </row>
    <row r="65" spans="1:62" s="5" customFormat="1" x14ac:dyDescent="0.25">
      <c r="A65" s="496">
        <v>41902</v>
      </c>
      <c r="B65" s="497">
        <v>42004</v>
      </c>
      <c r="C65" s="373">
        <v>4.0999999999999996</v>
      </c>
      <c r="D65" s="845">
        <v>0.68400000000000005</v>
      </c>
      <c r="E65" s="375">
        <v>18.400000000000002</v>
      </c>
      <c r="F65" s="374">
        <v>53.480000000000004</v>
      </c>
      <c r="G65" s="376">
        <v>0.85</v>
      </c>
      <c r="H65" s="375">
        <v>42997</v>
      </c>
      <c r="I65" s="374">
        <v>100268</v>
      </c>
      <c r="J65" s="403">
        <v>0.1</v>
      </c>
      <c r="K65" s="404">
        <v>0.15</v>
      </c>
      <c r="L65" s="630">
        <v>0.25</v>
      </c>
      <c r="M65" s="631">
        <v>0.35</v>
      </c>
      <c r="N65" s="396">
        <v>50</v>
      </c>
      <c r="O65" s="397">
        <v>24</v>
      </c>
      <c r="P65" s="406">
        <v>15</v>
      </c>
      <c r="Q65" s="396">
        <v>5</v>
      </c>
      <c r="R65" s="339">
        <v>34</v>
      </c>
      <c r="S65" s="875">
        <v>35</v>
      </c>
      <c r="T65" s="875">
        <v>36</v>
      </c>
      <c r="U65" s="875">
        <v>37</v>
      </c>
      <c r="V65" s="663">
        <v>38</v>
      </c>
      <c r="W65" s="269">
        <v>1</v>
      </c>
      <c r="X65" s="875">
        <v>1.02</v>
      </c>
      <c r="Y65" s="875">
        <v>1.04</v>
      </c>
      <c r="Z65" s="875">
        <v>1.06</v>
      </c>
      <c r="AA65" s="875">
        <v>1.08</v>
      </c>
      <c r="AB65" s="876">
        <v>1.1000000000000001</v>
      </c>
      <c r="AC65" s="403">
        <v>0.5</v>
      </c>
      <c r="AD65" s="374">
        <v>7500</v>
      </c>
      <c r="AE65" s="375"/>
      <c r="AF65" s="242"/>
      <c r="AG65" s="374"/>
      <c r="AH65" s="893"/>
      <c r="AI65" s="893"/>
      <c r="AJ65" s="893"/>
      <c r="AK65" s="893"/>
      <c r="AL65" s="401"/>
      <c r="AM65" s="820"/>
      <c r="AN65" s="820"/>
      <c r="AO65" s="820"/>
      <c r="AP65" s="820"/>
      <c r="AQ65" s="401"/>
      <c r="AR65" s="894"/>
      <c r="AS65" s="781"/>
      <c r="AT65" s="763"/>
      <c r="AU65" s="962"/>
      <c r="AV65" s="781"/>
      <c r="AW65" s="781"/>
      <c r="AX65" s="781"/>
      <c r="AY65" s="781"/>
      <c r="AZ65" s="689"/>
    </row>
    <row r="66" spans="1:62" s="5" customFormat="1" x14ac:dyDescent="0.25">
      <c r="A66" s="841">
        <v>42005</v>
      </c>
      <c r="B66" s="497">
        <v>42082</v>
      </c>
      <c r="C66" s="373">
        <f>4.1</f>
        <v>4.0999999999999996</v>
      </c>
      <c r="D66" s="845">
        <v>0.68400000000000005</v>
      </c>
      <c r="E66" s="375">
        <v>18.400000000000002</v>
      </c>
      <c r="F66" s="374">
        <v>53.480000000000004</v>
      </c>
      <c r="G66" s="376">
        <v>0.85</v>
      </c>
      <c r="H66" s="375">
        <v>42997</v>
      </c>
      <c r="I66" s="374">
        <v>100268</v>
      </c>
      <c r="J66" s="403">
        <v>0.1</v>
      </c>
      <c r="K66" s="404">
        <v>0.15</v>
      </c>
      <c r="L66" s="630">
        <v>0.25</v>
      </c>
      <c r="M66" s="631">
        <v>0.35</v>
      </c>
      <c r="N66" s="396">
        <v>50</v>
      </c>
      <c r="O66" s="397">
        <v>24</v>
      </c>
      <c r="P66" s="406">
        <v>15</v>
      </c>
      <c r="Q66" s="396">
        <v>5</v>
      </c>
      <c r="R66" s="339">
        <v>34</v>
      </c>
      <c r="S66" s="875">
        <v>35</v>
      </c>
      <c r="T66" s="875">
        <v>36</v>
      </c>
      <c r="U66" s="875">
        <v>37</v>
      </c>
      <c r="V66" s="663">
        <v>38</v>
      </c>
      <c r="W66" s="269">
        <v>1</v>
      </c>
      <c r="X66" s="875">
        <v>1.02</v>
      </c>
      <c r="Y66" s="875">
        <v>1.04</v>
      </c>
      <c r="Z66" s="875">
        <v>1.06</v>
      </c>
      <c r="AA66" s="875">
        <v>1.08</v>
      </c>
      <c r="AB66" s="876">
        <v>1.1000000000000001</v>
      </c>
      <c r="AC66" s="403">
        <v>0.5</v>
      </c>
      <c r="AD66" s="374">
        <v>7500</v>
      </c>
      <c r="AE66" s="375"/>
      <c r="AF66" s="242"/>
      <c r="AG66" s="374"/>
      <c r="AH66" s="893"/>
      <c r="AI66" s="893"/>
      <c r="AJ66" s="893"/>
      <c r="AK66" s="893"/>
      <c r="AL66" s="401"/>
      <c r="AM66" s="820"/>
      <c r="AN66" s="820"/>
      <c r="AO66" s="820"/>
      <c r="AP66" s="820"/>
      <c r="AQ66" s="401"/>
      <c r="AR66" s="894"/>
      <c r="AS66" s="781"/>
      <c r="AT66" s="763"/>
      <c r="AU66" s="962"/>
      <c r="AV66" s="781"/>
      <c r="AW66" s="781"/>
      <c r="AX66" s="781"/>
      <c r="AY66" s="781"/>
      <c r="AZ66" s="689"/>
    </row>
    <row r="67" spans="1:62" s="5" customFormat="1" ht="15.75" thickBot="1" x14ac:dyDescent="0.3">
      <c r="A67" s="538">
        <v>42083</v>
      </c>
      <c r="B67" s="539">
        <v>42185</v>
      </c>
      <c r="C67" s="542">
        <v>4.0999999999999996</v>
      </c>
      <c r="D67" s="858">
        <v>0.68400000000000005</v>
      </c>
      <c r="E67" s="540">
        <v>18.400000000000002</v>
      </c>
      <c r="F67" s="541">
        <v>53.480000000000004</v>
      </c>
      <c r="G67" s="550">
        <v>0.85</v>
      </c>
      <c r="H67" s="540">
        <v>42997</v>
      </c>
      <c r="I67" s="541">
        <v>100268</v>
      </c>
      <c r="J67" s="544">
        <v>0.1</v>
      </c>
      <c r="K67" s="551">
        <v>0.15</v>
      </c>
      <c r="L67" s="632">
        <v>0.25</v>
      </c>
      <c r="M67" s="633">
        <v>0.35</v>
      </c>
      <c r="N67" s="548">
        <v>50</v>
      </c>
      <c r="O67" s="549">
        <v>24</v>
      </c>
      <c r="P67" s="552">
        <v>15</v>
      </c>
      <c r="Q67" s="548">
        <v>5</v>
      </c>
      <c r="R67" s="877">
        <v>34</v>
      </c>
      <c r="S67" s="878">
        <v>35</v>
      </c>
      <c r="T67" s="878">
        <v>36</v>
      </c>
      <c r="U67" s="878">
        <v>37</v>
      </c>
      <c r="V67" s="664">
        <v>38</v>
      </c>
      <c r="W67" s="285">
        <v>1</v>
      </c>
      <c r="X67" s="878">
        <v>1.02</v>
      </c>
      <c r="Y67" s="878">
        <v>1.04</v>
      </c>
      <c r="Z67" s="878">
        <v>1.06</v>
      </c>
      <c r="AA67" s="878">
        <v>1.08</v>
      </c>
      <c r="AB67" s="879">
        <v>1.1000000000000001</v>
      </c>
      <c r="AC67" s="544">
        <v>0.5</v>
      </c>
      <c r="AD67" s="541">
        <v>7500</v>
      </c>
      <c r="AE67" s="540"/>
      <c r="AF67" s="543"/>
      <c r="AG67" s="541"/>
      <c r="AH67" s="895"/>
      <c r="AI67" s="895"/>
      <c r="AJ67" s="895"/>
      <c r="AK67" s="895"/>
      <c r="AL67" s="896"/>
      <c r="AM67" s="821"/>
      <c r="AN67" s="821"/>
      <c r="AO67" s="821"/>
      <c r="AP67" s="821"/>
      <c r="AQ67" s="896"/>
      <c r="AR67" s="897"/>
      <c r="AS67" s="951"/>
      <c r="AT67" s="963"/>
      <c r="AU67" s="964"/>
      <c r="AV67" s="951"/>
      <c r="AW67" s="951"/>
      <c r="AX67" s="951"/>
      <c r="AY67" s="951"/>
      <c r="AZ67" s="952"/>
    </row>
    <row r="68" spans="1:62" x14ac:dyDescent="0.25">
      <c r="A68" s="531">
        <v>42186</v>
      </c>
      <c r="B68" s="532">
        <v>42266</v>
      </c>
      <c r="C68" s="533">
        <v>4.17</v>
      </c>
      <c r="D68" s="918">
        <v>0.69600000000000006</v>
      </c>
      <c r="E68" s="534">
        <v>18.71</v>
      </c>
      <c r="F68" s="535">
        <v>54.39</v>
      </c>
      <c r="G68" s="553">
        <v>0.85</v>
      </c>
      <c r="H68" s="534">
        <v>43727</v>
      </c>
      <c r="I68" s="535">
        <v>101973</v>
      </c>
      <c r="J68" s="546">
        <v>0.1</v>
      </c>
      <c r="K68" s="554">
        <v>0.15</v>
      </c>
      <c r="L68" s="634">
        <v>0.25</v>
      </c>
      <c r="M68" s="635">
        <v>0.35</v>
      </c>
      <c r="N68" s="555">
        <v>50</v>
      </c>
      <c r="O68" s="537">
        <v>24</v>
      </c>
      <c r="P68" s="556">
        <v>15</v>
      </c>
      <c r="Q68" s="555">
        <v>5</v>
      </c>
      <c r="R68" s="920">
        <v>34</v>
      </c>
      <c r="S68" s="901">
        <v>35</v>
      </c>
      <c r="T68" s="901">
        <v>36</v>
      </c>
      <c r="U68" s="901">
        <v>37</v>
      </c>
      <c r="V68" s="666">
        <v>38</v>
      </c>
      <c r="W68" s="828">
        <v>1</v>
      </c>
      <c r="X68" s="901">
        <v>1.02</v>
      </c>
      <c r="Y68" s="901">
        <v>1.04</v>
      </c>
      <c r="Z68" s="901">
        <v>1.06</v>
      </c>
      <c r="AA68" s="901">
        <v>1.08</v>
      </c>
      <c r="AB68" s="921">
        <v>1.1000000000000001</v>
      </c>
      <c r="AC68" s="546">
        <v>0.5</v>
      </c>
      <c r="AD68" s="535">
        <v>7500</v>
      </c>
      <c r="AE68" s="534"/>
      <c r="AF68" s="536"/>
      <c r="AG68" s="535"/>
      <c r="AH68" s="898"/>
      <c r="AI68" s="898"/>
      <c r="AJ68" s="898"/>
      <c r="AK68" s="898"/>
      <c r="AL68" s="899"/>
      <c r="AM68" s="822"/>
      <c r="AN68" s="822"/>
      <c r="AO68" s="822"/>
      <c r="AP68" s="822"/>
      <c r="AQ68" s="899"/>
      <c r="AR68" s="900"/>
      <c r="AS68" s="953"/>
      <c r="AT68" s="965"/>
      <c r="AU68" s="966"/>
      <c r="AV68" s="953"/>
      <c r="AW68" s="953"/>
      <c r="AX68" s="953"/>
      <c r="AY68" s="953"/>
      <c r="AZ68" s="954"/>
    </row>
    <row r="69" spans="1:62" x14ac:dyDescent="0.25">
      <c r="A69" s="496">
        <v>42267</v>
      </c>
      <c r="B69" s="497">
        <v>42369</v>
      </c>
      <c r="C69" s="373">
        <v>4.17</v>
      </c>
      <c r="D69" s="853">
        <v>0.69600000000000006</v>
      </c>
      <c r="E69" s="375">
        <v>18.71</v>
      </c>
      <c r="F69" s="374">
        <v>54.39</v>
      </c>
      <c r="G69" s="376">
        <v>0.85</v>
      </c>
      <c r="H69" s="375">
        <v>43727</v>
      </c>
      <c r="I69" s="374">
        <v>101973</v>
      </c>
      <c r="J69" s="403">
        <v>0.1</v>
      </c>
      <c r="K69" s="404">
        <v>0.15</v>
      </c>
      <c r="L69" s="630">
        <v>0.25</v>
      </c>
      <c r="M69" s="631">
        <v>0.35</v>
      </c>
      <c r="N69" s="944">
        <v>50</v>
      </c>
      <c r="O69" s="397">
        <v>24</v>
      </c>
      <c r="P69" s="406">
        <v>15</v>
      </c>
      <c r="Q69" s="944">
        <v>5</v>
      </c>
      <c r="R69" s="494">
        <v>34</v>
      </c>
      <c r="S69" s="598">
        <v>35</v>
      </c>
      <c r="T69" s="598">
        <v>36</v>
      </c>
      <c r="U69" s="598">
        <v>37</v>
      </c>
      <c r="V69" s="599">
        <v>38</v>
      </c>
      <c r="W69" s="942">
        <v>1</v>
      </c>
      <c r="X69" s="598">
        <v>1.02</v>
      </c>
      <c r="Y69" s="598">
        <v>1.04</v>
      </c>
      <c r="Z69" s="598">
        <v>1.06</v>
      </c>
      <c r="AA69" s="598">
        <v>1.08</v>
      </c>
      <c r="AB69" s="948">
        <v>1.1000000000000001</v>
      </c>
      <c r="AC69" s="403">
        <v>0.5</v>
      </c>
      <c r="AD69" s="374">
        <v>7500</v>
      </c>
      <c r="AE69" s="375"/>
      <c r="AF69" s="242"/>
      <c r="AG69" s="374"/>
      <c r="AH69" s="893"/>
      <c r="AI69" s="893"/>
      <c r="AJ69" s="893"/>
      <c r="AK69" s="893"/>
      <c r="AL69" s="401"/>
      <c r="AM69" s="820"/>
      <c r="AN69" s="820"/>
      <c r="AO69" s="820"/>
      <c r="AP69" s="820"/>
      <c r="AQ69" s="401"/>
      <c r="AR69" s="894"/>
      <c r="AS69" s="781"/>
      <c r="AT69" s="763"/>
      <c r="AU69" s="962"/>
      <c r="AV69" s="781"/>
      <c r="AW69" s="781"/>
      <c r="AX69" s="781"/>
      <c r="AY69" s="781"/>
      <c r="AZ69" s="689"/>
    </row>
    <row r="70" spans="1:62" x14ac:dyDescent="0.25">
      <c r="A70" s="496">
        <v>42370</v>
      </c>
      <c r="B70" s="497">
        <v>42448</v>
      </c>
      <c r="C70" s="373">
        <v>4.17</v>
      </c>
      <c r="D70" s="853">
        <v>0.69600000000000006</v>
      </c>
      <c r="E70" s="375">
        <v>18.71</v>
      </c>
      <c r="F70" s="374">
        <v>54.39</v>
      </c>
      <c r="G70" s="376">
        <v>0.85</v>
      </c>
      <c r="H70" s="375">
        <v>43727</v>
      </c>
      <c r="I70" s="374">
        <v>101973</v>
      </c>
      <c r="J70" s="403">
        <v>0.1</v>
      </c>
      <c r="K70" s="404">
        <v>0.15</v>
      </c>
      <c r="L70" s="630">
        <v>0.25</v>
      </c>
      <c r="M70" s="631">
        <v>0.35</v>
      </c>
      <c r="N70" s="944">
        <v>50</v>
      </c>
      <c r="O70" s="397">
        <v>24</v>
      </c>
      <c r="P70" s="406">
        <v>15</v>
      </c>
      <c r="Q70" s="944">
        <v>5</v>
      </c>
      <c r="R70" s="494">
        <v>34</v>
      </c>
      <c r="S70" s="598">
        <v>35</v>
      </c>
      <c r="T70" s="598">
        <v>36</v>
      </c>
      <c r="U70" s="598">
        <v>37</v>
      </c>
      <c r="V70" s="599">
        <v>38</v>
      </c>
      <c r="W70" s="942">
        <v>1</v>
      </c>
      <c r="X70" s="598">
        <v>1.02</v>
      </c>
      <c r="Y70" s="598">
        <v>1.04</v>
      </c>
      <c r="Z70" s="598">
        <v>1.06</v>
      </c>
      <c r="AA70" s="598">
        <v>1.08</v>
      </c>
      <c r="AB70" s="948">
        <v>1.1000000000000001</v>
      </c>
      <c r="AC70" s="403">
        <v>0.5</v>
      </c>
      <c r="AD70" s="374">
        <v>7500</v>
      </c>
      <c r="AE70" s="375"/>
      <c r="AF70" s="242"/>
      <c r="AG70" s="374"/>
      <c r="AH70" s="893"/>
      <c r="AI70" s="893"/>
      <c r="AJ70" s="893"/>
      <c r="AK70" s="893"/>
      <c r="AL70" s="401"/>
      <c r="AM70" s="820"/>
      <c r="AN70" s="820"/>
      <c r="AO70" s="820"/>
      <c r="AP70" s="820"/>
      <c r="AQ70" s="401"/>
      <c r="AR70" s="894"/>
      <c r="AS70" s="781"/>
      <c r="AT70" s="763"/>
      <c r="AU70" s="962"/>
      <c r="AV70" s="781"/>
      <c r="AW70" s="781"/>
      <c r="AX70" s="781"/>
      <c r="AY70" s="781"/>
      <c r="AZ70" s="689"/>
    </row>
    <row r="71" spans="1:62" ht="15.75" thickBot="1" x14ac:dyDescent="0.3">
      <c r="A71" s="538">
        <v>42449</v>
      </c>
      <c r="B71" s="539">
        <v>42551</v>
      </c>
      <c r="C71" s="542">
        <v>4.17</v>
      </c>
      <c r="D71" s="858">
        <v>0.69600000000000006</v>
      </c>
      <c r="E71" s="540">
        <v>18.71</v>
      </c>
      <c r="F71" s="541">
        <v>54.39</v>
      </c>
      <c r="G71" s="550">
        <v>0.85</v>
      </c>
      <c r="H71" s="540">
        <v>43727</v>
      </c>
      <c r="I71" s="541">
        <v>101973</v>
      </c>
      <c r="J71" s="403">
        <v>0.1</v>
      </c>
      <c r="K71" s="551">
        <v>0.15</v>
      </c>
      <c r="L71" s="632">
        <v>0.25</v>
      </c>
      <c r="M71" s="633">
        <v>0.35</v>
      </c>
      <c r="N71" s="548">
        <v>50</v>
      </c>
      <c r="O71" s="549">
        <v>24</v>
      </c>
      <c r="P71" s="552">
        <v>15</v>
      </c>
      <c r="Q71" s="548">
        <v>5</v>
      </c>
      <c r="R71" s="1015">
        <v>34</v>
      </c>
      <c r="S71" s="1016">
        <v>35</v>
      </c>
      <c r="T71" s="1016">
        <v>36</v>
      </c>
      <c r="U71" s="1016">
        <v>37</v>
      </c>
      <c r="V71" s="665">
        <v>38</v>
      </c>
      <c r="W71" s="945">
        <v>1</v>
      </c>
      <c r="X71" s="1016">
        <v>1.02</v>
      </c>
      <c r="Y71" s="1016">
        <v>1.04</v>
      </c>
      <c r="Z71" s="1016">
        <v>1.06</v>
      </c>
      <c r="AA71" s="1016">
        <v>1.08</v>
      </c>
      <c r="AB71" s="1017">
        <v>1.1000000000000001</v>
      </c>
      <c r="AC71" s="544">
        <v>0.5</v>
      </c>
      <c r="AD71" s="541">
        <v>7500</v>
      </c>
      <c r="AE71" s="540"/>
      <c r="AF71" s="543"/>
      <c r="AG71" s="541"/>
      <c r="AH71" s="895"/>
      <c r="AI71" s="895"/>
      <c r="AJ71" s="895"/>
      <c r="AK71" s="895"/>
      <c r="AL71" s="896"/>
      <c r="AM71" s="821"/>
      <c r="AN71" s="821"/>
      <c r="AO71" s="821"/>
      <c r="AP71" s="821"/>
      <c r="AQ71" s="896"/>
      <c r="AR71" s="897"/>
      <c r="AS71" s="951"/>
      <c r="AT71" s="963"/>
      <c r="AU71" s="964"/>
      <c r="AV71" s="951"/>
      <c r="AW71" s="951"/>
      <c r="AX71" s="951"/>
      <c r="AY71" s="951"/>
      <c r="AZ71" s="952"/>
    </row>
    <row r="72" spans="1:62" x14ac:dyDescent="0.25">
      <c r="A72" s="531">
        <v>42552</v>
      </c>
      <c r="B72" s="532">
        <v>42632</v>
      </c>
      <c r="C72" s="533">
        <v>4.24</v>
      </c>
      <c r="D72" s="918">
        <v>0.70799999999999996</v>
      </c>
      <c r="E72" s="534">
        <v>19.03</v>
      </c>
      <c r="F72" s="535">
        <v>55.31</v>
      </c>
      <c r="G72" s="553">
        <v>0.85</v>
      </c>
      <c r="H72" s="534">
        <v>44457</v>
      </c>
      <c r="I72" s="535">
        <v>103707</v>
      </c>
      <c r="J72" s="546">
        <v>0.1</v>
      </c>
      <c r="K72" s="554">
        <v>0.15</v>
      </c>
      <c r="L72" s="634">
        <v>0.25</v>
      </c>
      <c r="M72" s="635">
        <v>0.35</v>
      </c>
      <c r="N72" s="555">
        <v>50</v>
      </c>
      <c r="O72" s="537">
        <v>24</v>
      </c>
      <c r="P72" s="556">
        <v>15</v>
      </c>
      <c r="Q72" s="555">
        <v>5</v>
      </c>
      <c r="R72" s="920">
        <v>34</v>
      </c>
      <c r="S72" s="901">
        <v>35</v>
      </c>
      <c r="T72" s="901">
        <v>36</v>
      </c>
      <c r="U72" s="901">
        <v>37</v>
      </c>
      <c r="V72" s="666">
        <v>38</v>
      </c>
      <c r="W72" s="828">
        <v>1</v>
      </c>
      <c r="X72" s="901">
        <v>1.02</v>
      </c>
      <c r="Y72" s="901">
        <v>1.04</v>
      </c>
      <c r="Z72" s="901">
        <v>1.06</v>
      </c>
      <c r="AA72" s="901">
        <v>1.08</v>
      </c>
      <c r="AB72" s="921">
        <v>1.1000000000000001</v>
      </c>
      <c r="AC72" s="546">
        <v>0.5</v>
      </c>
      <c r="AD72" s="535">
        <v>7500</v>
      </c>
      <c r="AE72" s="1046"/>
      <c r="AF72" s="1047"/>
      <c r="AG72" s="1047"/>
      <c r="AH72" s="1054"/>
      <c r="AI72" s="1055"/>
      <c r="AJ72" s="1053"/>
      <c r="AK72" s="1053"/>
      <c r="AL72" s="1048"/>
      <c r="AM72" s="1049"/>
      <c r="AN72" s="1049"/>
      <c r="AO72" s="1049"/>
      <c r="AP72" s="1049"/>
      <c r="AQ72" s="1048"/>
      <c r="AR72" s="1050"/>
      <c r="AS72" s="1051"/>
      <c r="AT72" s="953"/>
      <c r="AU72" s="954"/>
      <c r="AV72" s="1051"/>
      <c r="AW72" s="953"/>
      <c r="AX72" s="953"/>
      <c r="AY72" s="953"/>
      <c r="AZ72" s="954"/>
    </row>
    <row r="73" spans="1:62" x14ac:dyDescent="0.25">
      <c r="A73" s="496">
        <v>42633</v>
      </c>
      <c r="B73" s="497">
        <v>42735</v>
      </c>
      <c r="C73" s="373">
        <v>4.24</v>
      </c>
      <c r="D73" s="853">
        <v>0.70799999999999996</v>
      </c>
      <c r="E73" s="375">
        <v>19.03</v>
      </c>
      <c r="F73" s="374">
        <v>55.31</v>
      </c>
      <c r="G73" s="376">
        <v>0.85</v>
      </c>
      <c r="H73" s="375">
        <v>44457</v>
      </c>
      <c r="I73" s="374">
        <v>103707</v>
      </c>
      <c r="J73" s="403">
        <v>0.1</v>
      </c>
      <c r="K73" s="404">
        <v>0.15</v>
      </c>
      <c r="L73" s="630">
        <v>0.25</v>
      </c>
      <c r="M73" s="631">
        <v>0.35</v>
      </c>
      <c r="N73" s="944">
        <v>50</v>
      </c>
      <c r="O73" s="397">
        <v>24</v>
      </c>
      <c r="P73" s="406">
        <v>15</v>
      </c>
      <c r="Q73" s="944">
        <v>5</v>
      </c>
      <c r="R73" s="494">
        <v>34</v>
      </c>
      <c r="S73" s="598">
        <v>35</v>
      </c>
      <c r="T73" s="598">
        <v>36</v>
      </c>
      <c r="U73" s="598">
        <v>37</v>
      </c>
      <c r="V73" s="599">
        <v>38</v>
      </c>
      <c r="W73" s="942">
        <v>1</v>
      </c>
      <c r="X73" s="598">
        <v>1.02</v>
      </c>
      <c r="Y73" s="598">
        <v>1.04</v>
      </c>
      <c r="Z73" s="598">
        <v>1.06</v>
      </c>
      <c r="AA73" s="598">
        <v>1.08</v>
      </c>
      <c r="AB73" s="948">
        <v>1.1000000000000001</v>
      </c>
      <c r="AC73" s="403">
        <v>0.5</v>
      </c>
      <c r="AD73" s="374">
        <v>7500</v>
      </c>
      <c r="AE73" s="1025"/>
      <c r="AF73" s="1026"/>
      <c r="AG73" s="1026"/>
      <c r="AH73" s="1052"/>
      <c r="AI73" s="1053"/>
      <c r="AJ73" s="1053"/>
      <c r="AK73" s="1053"/>
      <c r="AL73" s="1031"/>
      <c r="AM73" s="1032"/>
      <c r="AN73" s="1032"/>
      <c r="AO73" s="1032"/>
      <c r="AP73" s="1032"/>
      <c r="AQ73" s="1031"/>
      <c r="AR73" s="1033"/>
      <c r="AS73" s="776"/>
      <c r="AT73" s="781"/>
      <c r="AU73" s="689"/>
      <c r="AV73" s="776"/>
      <c r="AW73" s="781"/>
      <c r="AX73" s="781"/>
      <c r="AY73" s="781"/>
      <c r="AZ73" s="689"/>
    </row>
    <row r="74" spans="1:62" x14ac:dyDescent="0.25">
      <c r="A74" s="496">
        <v>42736</v>
      </c>
      <c r="B74" s="497">
        <v>42813</v>
      </c>
      <c r="C74" s="373">
        <f t="shared" ref="C74:F75" si="8">C73</f>
        <v>4.24</v>
      </c>
      <c r="D74" s="853">
        <f>D73</f>
        <v>0.70799999999999996</v>
      </c>
      <c r="E74" s="375">
        <f t="shared" si="8"/>
        <v>19.03</v>
      </c>
      <c r="F74" s="374">
        <f t="shared" si="8"/>
        <v>55.31</v>
      </c>
      <c r="G74" s="376">
        <v>0.85</v>
      </c>
      <c r="H74" s="375">
        <f>H73</f>
        <v>44457</v>
      </c>
      <c r="I74" s="374">
        <f>I73</f>
        <v>103707</v>
      </c>
      <c r="J74" s="403">
        <f t="shared" ref="J74:J91" si="9">J73</f>
        <v>0.1</v>
      </c>
      <c r="K74" s="404">
        <f t="shared" ref="K74:K91" si="10">K73</f>
        <v>0.15</v>
      </c>
      <c r="L74" s="630">
        <f t="shared" ref="L74:L91" si="11">L73</f>
        <v>0.25</v>
      </c>
      <c r="M74" s="631">
        <f t="shared" ref="M74:M91" si="12">M73</f>
        <v>0.35</v>
      </c>
      <c r="N74" s="944">
        <f t="shared" ref="N74:N91" si="13">N73</f>
        <v>50</v>
      </c>
      <c r="O74" s="397">
        <f t="shared" ref="O74:O91" si="14">O73</f>
        <v>24</v>
      </c>
      <c r="P74" s="406">
        <f t="shared" ref="P74:P91" si="15">P73</f>
        <v>15</v>
      </c>
      <c r="Q74" s="944">
        <v>5</v>
      </c>
      <c r="R74" s="494">
        <v>34</v>
      </c>
      <c r="S74" s="598">
        <v>35</v>
      </c>
      <c r="T74" s="598">
        <v>36</v>
      </c>
      <c r="U74" s="598">
        <v>37</v>
      </c>
      <c r="V74" s="599">
        <v>38</v>
      </c>
      <c r="W74" s="942">
        <v>1</v>
      </c>
      <c r="X74" s="598">
        <v>1.02</v>
      </c>
      <c r="Y74" s="598">
        <v>1.04</v>
      </c>
      <c r="Z74" s="598">
        <v>1.06</v>
      </c>
      <c r="AA74" s="598">
        <v>1.08</v>
      </c>
      <c r="AB74" s="948">
        <v>1.1000000000000001</v>
      </c>
      <c r="AC74" s="403">
        <f t="shared" si="6"/>
        <v>0.5</v>
      </c>
      <c r="AD74" s="374">
        <f>AD73</f>
        <v>7500</v>
      </c>
      <c r="AE74" s="1025"/>
      <c r="AF74" s="1026"/>
      <c r="AG74" s="1026"/>
      <c r="AH74" s="1052"/>
      <c r="AI74" s="1053"/>
      <c r="AJ74" s="1053"/>
      <c r="AK74" s="1053"/>
      <c r="AL74" s="1031"/>
      <c r="AM74" s="1032"/>
      <c r="AN74" s="1032"/>
      <c r="AO74" s="1032"/>
      <c r="AP74" s="1032"/>
      <c r="AQ74" s="1031"/>
      <c r="AR74" s="1033"/>
      <c r="AS74" s="776"/>
      <c r="AT74" s="781"/>
      <c r="AU74" s="689"/>
      <c r="AV74" s="776"/>
      <c r="AW74" s="781"/>
      <c r="AX74" s="781"/>
      <c r="AY74" s="781"/>
      <c r="AZ74" s="689"/>
    </row>
    <row r="75" spans="1:62" s="5" customFormat="1" ht="15.75" thickBot="1" x14ac:dyDescent="0.3">
      <c r="A75" s="538">
        <v>42814</v>
      </c>
      <c r="B75" s="539">
        <v>42916</v>
      </c>
      <c r="C75" s="542">
        <f t="shared" si="8"/>
        <v>4.24</v>
      </c>
      <c r="D75" s="858">
        <f>D74</f>
        <v>0.70799999999999996</v>
      </c>
      <c r="E75" s="540">
        <f t="shared" si="8"/>
        <v>19.03</v>
      </c>
      <c r="F75" s="541">
        <f t="shared" si="8"/>
        <v>55.31</v>
      </c>
      <c r="G75" s="550">
        <v>0.85</v>
      </c>
      <c r="H75" s="540">
        <f>H74</f>
        <v>44457</v>
      </c>
      <c r="I75" s="541">
        <f>I74</f>
        <v>103707</v>
      </c>
      <c r="J75" s="544">
        <f t="shared" si="9"/>
        <v>0.1</v>
      </c>
      <c r="K75" s="551">
        <f t="shared" si="10"/>
        <v>0.15</v>
      </c>
      <c r="L75" s="632">
        <f t="shared" si="11"/>
        <v>0.25</v>
      </c>
      <c r="M75" s="633">
        <f t="shared" si="12"/>
        <v>0.35</v>
      </c>
      <c r="N75" s="548">
        <f t="shared" si="13"/>
        <v>50</v>
      </c>
      <c r="O75" s="549">
        <f t="shared" si="14"/>
        <v>24</v>
      </c>
      <c r="P75" s="552">
        <f t="shared" si="15"/>
        <v>15</v>
      </c>
      <c r="Q75" s="548">
        <v>5</v>
      </c>
      <c r="R75" s="1015">
        <v>34</v>
      </c>
      <c r="S75" s="1016">
        <v>35</v>
      </c>
      <c r="T75" s="1016">
        <v>36</v>
      </c>
      <c r="U75" s="1016">
        <v>37</v>
      </c>
      <c r="V75" s="665">
        <v>38</v>
      </c>
      <c r="W75" s="945">
        <v>1</v>
      </c>
      <c r="X75" s="1016">
        <v>1.02</v>
      </c>
      <c r="Y75" s="1016">
        <v>1.04</v>
      </c>
      <c r="Z75" s="1016">
        <v>1.06</v>
      </c>
      <c r="AA75" s="1016">
        <v>1.08</v>
      </c>
      <c r="AB75" s="1017">
        <v>1.1000000000000001</v>
      </c>
      <c r="AC75" s="544">
        <f t="shared" si="6"/>
        <v>0.5</v>
      </c>
      <c r="AD75" s="541">
        <f>AD74</f>
        <v>7500</v>
      </c>
      <c r="AE75" s="1025"/>
      <c r="AF75" s="1026"/>
      <c r="AG75" s="1026"/>
      <c r="AH75" s="1052"/>
      <c r="AI75" s="1053"/>
      <c r="AJ75" s="1053"/>
      <c r="AK75" s="1088"/>
      <c r="AL75" s="1089"/>
      <c r="AM75" s="1090"/>
      <c r="AN75" s="1032"/>
      <c r="AO75" s="1032"/>
      <c r="AP75" s="1032"/>
      <c r="AQ75" s="1089"/>
      <c r="AR75" s="1091"/>
      <c r="AS75" s="776"/>
      <c r="AT75" s="781"/>
      <c r="AU75" s="689"/>
      <c r="AV75" s="776"/>
      <c r="AW75" s="781"/>
      <c r="AX75" s="781"/>
      <c r="AY75" s="781"/>
      <c r="AZ75" s="689"/>
    </row>
    <row r="76" spans="1:62" x14ac:dyDescent="0.25">
      <c r="A76" s="531">
        <v>42917</v>
      </c>
      <c r="B76" s="532">
        <v>42997</v>
      </c>
      <c r="C76" s="533">
        <f>IndexAmt(C75,"peCpiFp",$B73,0.01,12)</f>
        <v>4.3</v>
      </c>
      <c r="D76" s="918">
        <f>IndexAmt(D75,"peCpiFp",$B73,0.001,12)</f>
        <v>0.71899999999999997</v>
      </c>
      <c r="E76" s="534">
        <f>IndexAmt(E75,"peCpiFp",$B73,0.01,12)</f>
        <v>19.32</v>
      </c>
      <c r="F76" s="535">
        <f>IndexAmt(F75,"peCpiFp",$B73,0.01,12)</f>
        <v>56.14</v>
      </c>
      <c r="G76" s="553">
        <v>0.85</v>
      </c>
      <c r="H76" s="534">
        <f>IndexAmt(H75,"peCpiFp",$B73,73,12)</f>
        <v>45114</v>
      </c>
      <c r="I76" s="535">
        <f>IndexAmt(I75,"peCpiFp",$B73,1,12)</f>
        <v>105263</v>
      </c>
      <c r="J76" s="546">
        <f t="shared" si="9"/>
        <v>0.1</v>
      </c>
      <c r="K76" s="554">
        <f t="shared" si="10"/>
        <v>0.15</v>
      </c>
      <c r="L76" s="634">
        <f t="shared" si="11"/>
        <v>0.25</v>
      </c>
      <c r="M76" s="635">
        <f t="shared" si="12"/>
        <v>0.35</v>
      </c>
      <c r="N76" s="555">
        <f t="shared" si="13"/>
        <v>50</v>
      </c>
      <c r="O76" s="537">
        <f t="shared" si="14"/>
        <v>24</v>
      </c>
      <c r="P76" s="556">
        <f t="shared" si="15"/>
        <v>15</v>
      </c>
      <c r="Q76" s="555">
        <v>5</v>
      </c>
      <c r="R76" s="920">
        <v>34</v>
      </c>
      <c r="S76" s="901">
        <v>35</v>
      </c>
      <c r="T76" s="901">
        <v>36</v>
      </c>
      <c r="U76" s="901">
        <v>37</v>
      </c>
      <c r="V76" s="666">
        <v>38</v>
      </c>
      <c r="W76" s="828">
        <v>1</v>
      </c>
      <c r="X76" s="901">
        <v>1.02</v>
      </c>
      <c r="Y76" s="901">
        <v>1.04</v>
      </c>
      <c r="Z76" s="901">
        <v>1.06</v>
      </c>
      <c r="AA76" s="901">
        <v>1.08</v>
      </c>
      <c r="AB76" s="921">
        <v>1.1000000000000001</v>
      </c>
      <c r="AC76" s="546">
        <f t="shared" si="6"/>
        <v>0.5</v>
      </c>
      <c r="AD76" s="535">
        <f>IndexAmt(AD75,"peCpiFp",$B73,1,12)</f>
        <v>7613</v>
      </c>
      <c r="AE76" s="1046"/>
      <c r="AF76" s="1047"/>
      <c r="AG76" s="1047"/>
      <c r="AH76" s="1054"/>
      <c r="AI76" s="1055"/>
      <c r="AJ76" s="1055"/>
      <c r="AK76" s="1053"/>
      <c r="AL76" s="1048"/>
      <c r="AM76" s="1049"/>
      <c r="AN76" s="1049"/>
      <c r="AO76" s="1049"/>
      <c r="AP76" s="1049"/>
      <c r="AQ76" s="1048"/>
      <c r="AR76" s="1050"/>
      <c r="AS76" s="1051"/>
      <c r="AT76" s="953"/>
      <c r="AU76" s="954"/>
      <c r="AV76" s="1051"/>
      <c r="AW76" s="953"/>
      <c r="AX76" s="953"/>
      <c r="AY76" s="953"/>
      <c r="AZ76" s="954"/>
      <c r="BC76" s="12"/>
      <c r="BF76" s="12"/>
      <c r="BG76" s="12"/>
      <c r="BH76" s="12"/>
      <c r="BI76" s="12"/>
      <c r="BJ76" s="12"/>
    </row>
    <row r="77" spans="1:62" x14ac:dyDescent="0.25">
      <c r="A77" s="165">
        <v>42998</v>
      </c>
      <c r="B77" s="166">
        <v>43100</v>
      </c>
      <c r="C77" s="107">
        <f t="shared" ref="C77:F79" si="16">C76</f>
        <v>4.3</v>
      </c>
      <c r="D77" s="850">
        <f t="shared" si="16"/>
        <v>0.71899999999999997</v>
      </c>
      <c r="E77" s="33">
        <f t="shared" si="16"/>
        <v>19.32</v>
      </c>
      <c r="F77" s="75">
        <f t="shared" si="16"/>
        <v>56.14</v>
      </c>
      <c r="G77" s="105">
        <v>0.85</v>
      </c>
      <c r="H77" s="33">
        <f t="shared" ref="H77:I79" si="17">H76</f>
        <v>45114</v>
      </c>
      <c r="I77" s="75">
        <f t="shared" si="17"/>
        <v>105263</v>
      </c>
      <c r="J77" s="106">
        <f t="shared" si="9"/>
        <v>0.1</v>
      </c>
      <c r="K77" s="76">
        <f t="shared" si="10"/>
        <v>0.15</v>
      </c>
      <c r="L77" s="638">
        <f t="shared" si="11"/>
        <v>0.25</v>
      </c>
      <c r="M77" s="639">
        <f t="shared" si="12"/>
        <v>0.35</v>
      </c>
      <c r="N77" s="30">
        <f t="shared" si="13"/>
        <v>50</v>
      </c>
      <c r="O77" s="15">
        <f t="shared" si="14"/>
        <v>24</v>
      </c>
      <c r="P77" s="31">
        <f t="shared" si="15"/>
        <v>15</v>
      </c>
      <c r="Q77" s="30">
        <v>5</v>
      </c>
      <c r="R77" s="683">
        <v>34</v>
      </c>
      <c r="S77" s="865">
        <v>35</v>
      </c>
      <c r="T77" s="865">
        <v>36</v>
      </c>
      <c r="U77" s="865">
        <v>37</v>
      </c>
      <c r="V77" s="667">
        <v>38</v>
      </c>
      <c r="W77" s="882">
        <v>1</v>
      </c>
      <c r="X77" s="865">
        <v>1.02</v>
      </c>
      <c r="Y77" s="865">
        <v>1.04</v>
      </c>
      <c r="Z77" s="865">
        <v>1.06</v>
      </c>
      <c r="AA77" s="865">
        <v>1.08</v>
      </c>
      <c r="AB77" s="883">
        <v>1.1000000000000001</v>
      </c>
      <c r="AC77" s="106">
        <f t="shared" si="6"/>
        <v>0.5</v>
      </c>
      <c r="AD77" s="75">
        <f>AD76</f>
        <v>7613</v>
      </c>
      <c r="AE77" s="902"/>
      <c r="AF77" s="903"/>
      <c r="AG77" s="903"/>
      <c r="AH77" s="870"/>
      <c r="AI77" s="868"/>
      <c r="AJ77" s="868"/>
      <c r="AK77" s="868"/>
      <c r="AL77" s="904"/>
      <c r="AM77" s="905"/>
      <c r="AN77" s="905"/>
      <c r="AO77" s="905"/>
      <c r="AP77" s="905"/>
      <c r="AQ77" s="904"/>
      <c r="AR77" s="906"/>
      <c r="AS77" s="777"/>
      <c r="AT77" s="782"/>
      <c r="AU77" s="690"/>
      <c r="AV77" s="777"/>
      <c r="AW77" s="782"/>
      <c r="AX77" s="782"/>
      <c r="AY77" s="782"/>
      <c r="AZ77" s="690"/>
      <c r="BC77" s="12"/>
      <c r="BF77" s="12"/>
      <c r="BG77" s="12"/>
      <c r="BH77" s="12"/>
      <c r="BI77" s="12"/>
      <c r="BJ77" s="12"/>
    </row>
    <row r="78" spans="1:62" x14ac:dyDescent="0.25">
      <c r="A78" s="165">
        <v>43101</v>
      </c>
      <c r="B78" s="166">
        <v>43178</v>
      </c>
      <c r="C78" s="107">
        <f t="shared" si="16"/>
        <v>4.3</v>
      </c>
      <c r="D78" s="850">
        <f t="shared" si="16"/>
        <v>0.71899999999999997</v>
      </c>
      <c r="E78" s="33">
        <f t="shared" si="16"/>
        <v>19.32</v>
      </c>
      <c r="F78" s="75">
        <f t="shared" si="16"/>
        <v>56.14</v>
      </c>
      <c r="G78" s="105">
        <f t="shared" ref="G78:P78" si="18">G77</f>
        <v>0.85</v>
      </c>
      <c r="H78" s="33">
        <f t="shared" si="18"/>
        <v>45114</v>
      </c>
      <c r="I78" s="75">
        <f t="shared" si="18"/>
        <v>105263</v>
      </c>
      <c r="J78" s="106">
        <f t="shared" si="18"/>
        <v>0.1</v>
      </c>
      <c r="K78" s="76">
        <f t="shared" si="18"/>
        <v>0.15</v>
      </c>
      <c r="L78" s="638">
        <f t="shared" si="18"/>
        <v>0.25</v>
      </c>
      <c r="M78" s="639">
        <f t="shared" si="18"/>
        <v>0.35</v>
      </c>
      <c r="N78" s="30">
        <f t="shared" si="18"/>
        <v>50</v>
      </c>
      <c r="O78" s="15">
        <f t="shared" si="18"/>
        <v>24</v>
      </c>
      <c r="P78" s="31">
        <f t="shared" si="18"/>
        <v>15</v>
      </c>
      <c r="Q78" s="30">
        <v>5</v>
      </c>
      <c r="R78" s="683">
        <f t="shared" ref="R78:AC78" si="19">R77</f>
        <v>34</v>
      </c>
      <c r="S78" s="865">
        <f t="shared" si="19"/>
        <v>35</v>
      </c>
      <c r="T78" s="865">
        <f t="shared" si="19"/>
        <v>36</v>
      </c>
      <c r="U78" s="865">
        <f t="shared" si="19"/>
        <v>37</v>
      </c>
      <c r="V78" s="667">
        <f t="shared" si="19"/>
        <v>38</v>
      </c>
      <c r="W78" s="882">
        <f t="shared" si="19"/>
        <v>1</v>
      </c>
      <c r="X78" s="865">
        <f t="shared" si="19"/>
        <v>1.02</v>
      </c>
      <c r="Y78" s="865">
        <f t="shared" si="19"/>
        <v>1.04</v>
      </c>
      <c r="Z78" s="865">
        <f t="shared" si="19"/>
        <v>1.06</v>
      </c>
      <c r="AA78" s="865">
        <f t="shared" si="19"/>
        <v>1.08</v>
      </c>
      <c r="AB78" s="883">
        <f t="shared" si="19"/>
        <v>1.1000000000000001</v>
      </c>
      <c r="AC78" s="106">
        <f t="shared" si="19"/>
        <v>0.5</v>
      </c>
      <c r="AD78" s="75">
        <f>AD77</f>
        <v>7613</v>
      </c>
      <c r="AE78" s="902"/>
      <c r="AF78" s="903"/>
      <c r="AG78" s="903"/>
      <c r="AH78" s="870"/>
      <c r="AI78" s="868"/>
      <c r="AJ78" s="868"/>
      <c r="AK78" s="868"/>
      <c r="AL78" s="904"/>
      <c r="AM78" s="905"/>
      <c r="AN78" s="905"/>
      <c r="AO78" s="905"/>
      <c r="AP78" s="905"/>
      <c r="AQ78" s="904"/>
      <c r="AR78" s="906"/>
      <c r="AS78" s="777"/>
      <c r="AT78" s="782"/>
      <c r="AU78" s="690"/>
      <c r="AV78" s="777"/>
      <c r="AW78" s="782"/>
      <c r="AX78" s="782"/>
      <c r="AY78" s="782"/>
      <c r="AZ78" s="690"/>
      <c r="BC78" s="12"/>
      <c r="BF78" s="12"/>
      <c r="BG78" s="12"/>
      <c r="BH78" s="12"/>
      <c r="BI78" s="12"/>
      <c r="BJ78" s="12"/>
    </row>
    <row r="79" spans="1:62" ht="15.75" thickBot="1" x14ac:dyDescent="0.3">
      <c r="A79" s="167">
        <v>43179</v>
      </c>
      <c r="B79" s="168">
        <v>43281</v>
      </c>
      <c r="C79" s="111">
        <f t="shared" si="16"/>
        <v>4.3</v>
      </c>
      <c r="D79" s="848">
        <f t="shared" si="16"/>
        <v>0.71899999999999997</v>
      </c>
      <c r="E79" s="77">
        <f t="shared" si="16"/>
        <v>19.32</v>
      </c>
      <c r="F79" s="79">
        <f t="shared" si="16"/>
        <v>56.14</v>
      </c>
      <c r="G79" s="109">
        <f>G78</f>
        <v>0.85</v>
      </c>
      <c r="H79" s="33">
        <f t="shared" si="17"/>
        <v>45114</v>
      </c>
      <c r="I79" s="75">
        <f t="shared" si="17"/>
        <v>105263</v>
      </c>
      <c r="J79" s="110">
        <f t="shared" si="9"/>
        <v>0.1</v>
      </c>
      <c r="K79" s="80">
        <f t="shared" si="10"/>
        <v>0.15</v>
      </c>
      <c r="L79" s="640">
        <f t="shared" si="11"/>
        <v>0.25</v>
      </c>
      <c r="M79" s="641">
        <f t="shared" si="12"/>
        <v>0.35</v>
      </c>
      <c r="N79" s="91">
        <f t="shared" si="13"/>
        <v>50</v>
      </c>
      <c r="O79" s="81">
        <f t="shared" si="14"/>
        <v>24</v>
      </c>
      <c r="P79" s="95">
        <f t="shared" si="15"/>
        <v>15</v>
      </c>
      <c r="Q79" s="91">
        <v>5</v>
      </c>
      <c r="R79" s="866">
        <f t="shared" ref="R79:AB79" si="20">R78</f>
        <v>34</v>
      </c>
      <c r="S79" s="867">
        <f t="shared" si="20"/>
        <v>35</v>
      </c>
      <c r="T79" s="867">
        <f t="shared" si="20"/>
        <v>36</v>
      </c>
      <c r="U79" s="867">
        <f t="shared" si="20"/>
        <v>37</v>
      </c>
      <c r="V79" s="668">
        <f t="shared" si="20"/>
        <v>38</v>
      </c>
      <c r="W79" s="884">
        <f t="shared" si="20"/>
        <v>1</v>
      </c>
      <c r="X79" s="867">
        <f t="shared" si="20"/>
        <v>1.02</v>
      </c>
      <c r="Y79" s="867">
        <f t="shared" si="20"/>
        <v>1.04</v>
      </c>
      <c r="Z79" s="867">
        <f t="shared" si="20"/>
        <v>1.06</v>
      </c>
      <c r="AA79" s="867">
        <f t="shared" si="20"/>
        <v>1.08</v>
      </c>
      <c r="AB79" s="885">
        <f t="shared" si="20"/>
        <v>1.1000000000000001</v>
      </c>
      <c r="AC79" s="110">
        <f t="shared" si="6"/>
        <v>0.5</v>
      </c>
      <c r="AD79" s="79">
        <f>AD78</f>
        <v>7613</v>
      </c>
      <c r="AE79" s="902"/>
      <c r="AF79" s="903"/>
      <c r="AG79" s="903"/>
      <c r="AH79" s="870"/>
      <c r="AI79" s="868"/>
      <c r="AJ79" s="868"/>
      <c r="AK79" s="872"/>
      <c r="AL79" s="913"/>
      <c r="AM79" s="914"/>
      <c r="AN79" s="905"/>
      <c r="AO79" s="905"/>
      <c r="AP79" s="905"/>
      <c r="AQ79" s="913"/>
      <c r="AR79" s="907"/>
      <c r="AS79" s="777"/>
      <c r="AT79" s="782"/>
      <c r="AU79" s="690"/>
      <c r="AV79" s="777"/>
      <c r="AW79" s="782"/>
      <c r="AX79" s="782"/>
      <c r="AY79" s="782"/>
      <c r="AZ79" s="690"/>
      <c r="BC79" s="12"/>
      <c r="BF79" s="12"/>
      <c r="BG79" s="12"/>
      <c r="BH79" s="12"/>
      <c r="BI79" s="12"/>
      <c r="BJ79" s="12"/>
    </row>
    <row r="80" spans="1:62" x14ac:dyDescent="0.25">
      <c r="A80" s="169">
        <v>43282</v>
      </c>
      <c r="B80" s="170">
        <v>43362</v>
      </c>
      <c r="C80" s="189">
        <v>0</v>
      </c>
      <c r="D80" s="849">
        <v>0</v>
      </c>
      <c r="E80" s="188">
        <v>0</v>
      </c>
      <c r="F80" s="172">
        <v>0</v>
      </c>
      <c r="G80" s="191">
        <v>0</v>
      </c>
      <c r="H80" s="188">
        <v>0</v>
      </c>
      <c r="I80" s="172">
        <v>0</v>
      </c>
      <c r="J80" s="198">
        <v>0</v>
      </c>
      <c r="K80" s="359">
        <v>0</v>
      </c>
      <c r="L80" s="636">
        <v>0</v>
      </c>
      <c r="M80" s="637">
        <v>0</v>
      </c>
      <c r="N80" s="196">
        <v>0</v>
      </c>
      <c r="O80" s="197">
        <v>0</v>
      </c>
      <c r="P80" s="192">
        <v>0</v>
      </c>
      <c r="Q80" s="196">
        <v>5</v>
      </c>
      <c r="R80" s="863">
        <v>0</v>
      </c>
      <c r="S80" s="864">
        <f>0</f>
        <v>0</v>
      </c>
      <c r="T80" s="864">
        <f>0</f>
        <v>0</v>
      </c>
      <c r="U80" s="864">
        <f>0</f>
        <v>0</v>
      </c>
      <c r="V80" s="669">
        <v>0</v>
      </c>
      <c r="W80" s="880">
        <v>0</v>
      </c>
      <c r="X80" s="864">
        <v>0</v>
      </c>
      <c r="Y80" s="864">
        <v>0</v>
      </c>
      <c r="Z80" s="864">
        <v>0</v>
      </c>
      <c r="AA80" s="864">
        <v>0</v>
      </c>
      <c r="AB80" s="881">
        <v>0</v>
      </c>
      <c r="AC80" s="198">
        <v>0</v>
      </c>
      <c r="AD80" s="172">
        <v>0</v>
      </c>
      <c r="AE80" s="908">
        <f>IndexAmt(11.55,"peCpiFp",$B77,0.01,12)</f>
        <v>11.73</v>
      </c>
      <c r="AF80" s="909">
        <f>IndexAmt(10.7,"peCpiFp",$B77,0.01,12)</f>
        <v>10.870000000000001</v>
      </c>
      <c r="AG80" s="909">
        <f>IndexAmt(10.1,"peCpiFp",$B77,0.01,12)</f>
        <v>10.26</v>
      </c>
      <c r="AH80" s="871">
        <v>0.85</v>
      </c>
      <c r="AI80" s="869">
        <v>0.5</v>
      </c>
      <c r="AJ80" s="869">
        <v>0.2</v>
      </c>
      <c r="AK80" s="1081">
        <v>3000</v>
      </c>
      <c r="AL80" s="910">
        <f>IndexAmt(65710,"peCpiFp",$B77,1,12)</f>
        <v>66761</v>
      </c>
      <c r="AM80" s="911">
        <f>AL80+105000</f>
        <v>171761</v>
      </c>
      <c r="AN80" s="911">
        <f>AL80+184290</f>
        <v>251051</v>
      </c>
      <c r="AO80" s="911">
        <f>AL80+274290</f>
        <v>341051</v>
      </c>
      <c r="AP80" s="911">
        <f>AL80+284290</f>
        <v>351051</v>
      </c>
      <c r="AQ80" s="910">
        <f>AL80+120000</f>
        <v>186761</v>
      </c>
      <c r="AR80" s="912">
        <f>IndexAmt(10000,"peCpiFp",$B77,1,12)</f>
        <v>10160</v>
      </c>
      <c r="AS80" s="955">
        <v>4</v>
      </c>
      <c r="AT80" s="956">
        <v>8</v>
      </c>
      <c r="AU80" s="957">
        <v>24</v>
      </c>
      <c r="AV80" s="955">
        <v>0</v>
      </c>
      <c r="AW80" s="956">
        <v>18</v>
      </c>
      <c r="AX80" s="956">
        <v>36</v>
      </c>
      <c r="AY80" s="956">
        <v>50</v>
      </c>
      <c r="AZ80" s="957">
        <v>12</v>
      </c>
      <c r="BC80" s="12"/>
      <c r="BF80" s="12"/>
      <c r="BG80" s="12"/>
      <c r="BH80" s="12"/>
      <c r="BI80" s="12"/>
      <c r="BJ80" s="12"/>
    </row>
    <row r="81" spans="1:62" x14ac:dyDescent="0.25">
      <c r="A81" s="165">
        <v>43363</v>
      </c>
      <c r="B81" s="166">
        <v>43465</v>
      </c>
      <c r="C81" s="107">
        <f t="shared" ref="C81:F83" si="21">C80</f>
        <v>0</v>
      </c>
      <c r="D81" s="850">
        <f>D80</f>
        <v>0</v>
      </c>
      <c r="E81" s="33">
        <f t="shared" si="21"/>
        <v>0</v>
      </c>
      <c r="F81" s="75">
        <f t="shared" si="21"/>
        <v>0</v>
      </c>
      <c r="G81" s="105">
        <f>G80</f>
        <v>0</v>
      </c>
      <c r="H81" s="33">
        <f t="shared" ref="H81:I83" si="22">H80</f>
        <v>0</v>
      </c>
      <c r="I81" s="75">
        <f t="shared" si="22"/>
        <v>0</v>
      </c>
      <c r="J81" s="106">
        <f t="shared" si="9"/>
        <v>0</v>
      </c>
      <c r="K81" s="76">
        <f t="shared" si="10"/>
        <v>0</v>
      </c>
      <c r="L81" s="638">
        <f t="shared" si="11"/>
        <v>0</v>
      </c>
      <c r="M81" s="639">
        <f t="shared" si="12"/>
        <v>0</v>
      </c>
      <c r="N81" s="30">
        <f t="shared" si="13"/>
        <v>0</v>
      </c>
      <c r="O81" s="15">
        <f t="shared" si="14"/>
        <v>0</v>
      </c>
      <c r="P81" s="31">
        <f t="shared" si="15"/>
        <v>0</v>
      </c>
      <c r="Q81" s="30">
        <v>5</v>
      </c>
      <c r="R81" s="683">
        <f t="shared" ref="R81:S84" si="23">R80</f>
        <v>0</v>
      </c>
      <c r="S81" s="865">
        <f t="shared" si="23"/>
        <v>0</v>
      </c>
      <c r="T81" s="865">
        <f t="shared" ref="T81:U83" si="24">T80</f>
        <v>0</v>
      </c>
      <c r="U81" s="865">
        <f t="shared" si="24"/>
        <v>0</v>
      </c>
      <c r="V81" s="667">
        <f t="shared" ref="V81:AB82" si="25">V80</f>
        <v>0</v>
      </c>
      <c r="W81" s="882">
        <f t="shared" si="25"/>
        <v>0</v>
      </c>
      <c r="X81" s="865">
        <f t="shared" si="25"/>
        <v>0</v>
      </c>
      <c r="Y81" s="865">
        <f>Y80</f>
        <v>0</v>
      </c>
      <c r="Z81" s="865">
        <f t="shared" si="25"/>
        <v>0</v>
      </c>
      <c r="AA81" s="865">
        <f t="shared" si="25"/>
        <v>0</v>
      </c>
      <c r="AB81" s="883">
        <f t="shared" si="25"/>
        <v>0</v>
      </c>
      <c r="AC81" s="106">
        <f t="shared" si="6"/>
        <v>0</v>
      </c>
      <c r="AD81" s="75">
        <f>AD80</f>
        <v>0</v>
      </c>
      <c r="AE81" s="902">
        <f t="shared" ref="AE81:AR83" si="26">AE80</f>
        <v>11.73</v>
      </c>
      <c r="AF81" s="903">
        <f t="shared" si="26"/>
        <v>10.870000000000001</v>
      </c>
      <c r="AG81" s="903">
        <f t="shared" si="26"/>
        <v>10.26</v>
      </c>
      <c r="AH81" s="870">
        <f t="shared" ref="AH81:AH91" si="27">AH80</f>
        <v>0.85</v>
      </c>
      <c r="AI81" s="868">
        <f t="shared" ref="AI81:AI91" si="28">AI80</f>
        <v>0.5</v>
      </c>
      <c r="AJ81" s="868">
        <f t="shared" ref="AJ81:AJ91" si="29">AJ80</f>
        <v>0.2</v>
      </c>
      <c r="AK81" s="1081">
        <f t="shared" ref="AK81:AK91" si="30">AK80</f>
        <v>3000</v>
      </c>
      <c r="AL81" s="904">
        <f t="shared" si="26"/>
        <v>66761</v>
      </c>
      <c r="AM81" s="905">
        <f t="shared" si="26"/>
        <v>171761</v>
      </c>
      <c r="AN81" s="905">
        <f t="shared" si="26"/>
        <v>251051</v>
      </c>
      <c r="AO81" s="905">
        <f>AO80</f>
        <v>341051</v>
      </c>
      <c r="AP81" s="905">
        <f t="shared" ref="AP81:AP91" si="31">AL81+284290</f>
        <v>351051</v>
      </c>
      <c r="AQ81" s="904">
        <f t="shared" si="26"/>
        <v>186761</v>
      </c>
      <c r="AR81" s="906">
        <f t="shared" si="26"/>
        <v>10160</v>
      </c>
      <c r="AS81" s="777">
        <f t="shared" ref="AS81:AS91" si="32">AS80</f>
        <v>4</v>
      </c>
      <c r="AT81" s="782">
        <f t="shared" ref="AT81:AT91" si="33">AT80</f>
        <v>8</v>
      </c>
      <c r="AU81" s="690">
        <f t="shared" ref="AU81:AU91" si="34">AU80</f>
        <v>24</v>
      </c>
      <c r="AV81" s="777">
        <f t="shared" ref="AV81:AV91" si="35">AV80</f>
        <v>0</v>
      </c>
      <c r="AW81" s="782">
        <f t="shared" ref="AW81:AW91" si="36">AW80</f>
        <v>18</v>
      </c>
      <c r="AX81" s="782">
        <f t="shared" ref="AX81:AX91" si="37">AX80</f>
        <v>36</v>
      </c>
      <c r="AY81" s="782">
        <f t="shared" ref="AY81:AY91" si="38">AY80</f>
        <v>50</v>
      </c>
      <c r="AZ81" s="690">
        <f t="shared" ref="AZ81:AZ91" si="39">AZ80</f>
        <v>12</v>
      </c>
      <c r="BC81" s="12"/>
      <c r="BF81" s="12"/>
      <c r="BG81" s="12"/>
      <c r="BH81" s="12"/>
      <c r="BI81" s="12"/>
      <c r="BJ81" s="12"/>
    </row>
    <row r="82" spans="1:62" x14ac:dyDescent="0.25">
      <c r="A82" s="165">
        <v>43466</v>
      </c>
      <c r="B82" s="166">
        <v>43543</v>
      </c>
      <c r="C82" s="107">
        <f t="shared" si="21"/>
        <v>0</v>
      </c>
      <c r="D82" s="850">
        <f>D81</f>
        <v>0</v>
      </c>
      <c r="E82" s="33">
        <f t="shared" si="21"/>
        <v>0</v>
      </c>
      <c r="F82" s="75">
        <f t="shared" si="21"/>
        <v>0</v>
      </c>
      <c r="G82" s="105">
        <f>G81</f>
        <v>0</v>
      </c>
      <c r="H82" s="33">
        <f t="shared" si="22"/>
        <v>0</v>
      </c>
      <c r="I82" s="75">
        <f t="shared" si="22"/>
        <v>0</v>
      </c>
      <c r="J82" s="106">
        <f t="shared" si="9"/>
        <v>0</v>
      </c>
      <c r="K82" s="76">
        <f t="shared" si="10"/>
        <v>0</v>
      </c>
      <c r="L82" s="638">
        <f t="shared" si="11"/>
        <v>0</v>
      </c>
      <c r="M82" s="639">
        <f t="shared" si="12"/>
        <v>0</v>
      </c>
      <c r="N82" s="30">
        <f t="shared" si="13"/>
        <v>0</v>
      </c>
      <c r="O82" s="15">
        <f t="shared" si="14"/>
        <v>0</v>
      </c>
      <c r="P82" s="31">
        <f t="shared" si="15"/>
        <v>0</v>
      </c>
      <c r="Q82" s="30">
        <v>5</v>
      </c>
      <c r="R82" s="683">
        <f t="shared" si="23"/>
        <v>0</v>
      </c>
      <c r="S82" s="865">
        <f t="shared" si="23"/>
        <v>0</v>
      </c>
      <c r="T82" s="865">
        <f t="shared" si="24"/>
        <v>0</v>
      </c>
      <c r="U82" s="865">
        <f t="shared" si="24"/>
        <v>0</v>
      </c>
      <c r="V82" s="667">
        <f t="shared" si="25"/>
        <v>0</v>
      </c>
      <c r="W82" s="882">
        <f t="shared" si="25"/>
        <v>0</v>
      </c>
      <c r="X82" s="865">
        <f t="shared" si="25"/>
        <v>0</v>
      </c>
      <c r="Y82" s="865">
        <f>Y81</f>
        <v>0</v>
      </c>
      <c r="Z82" s="865">
        <f t="shared" si="25"/>
        <v>0</v>
      </c>
      <c r="AA82" s="865">
        <f t="shared" si="25"/>
        <v>0</v>
      </c>
      <c r="AB82" s="883">
        <f t="shared" si="25"/>
        <v>0</v>
      </c>
      <c r="AC82" s="106">
        <f t="shared" si="6"/>
        <v>0</v>
      </c>
      <c r="AD82" s="75">
        <f>AD81</f>
        <v>0</v>
      </c>
      <c r="AE82" s="902">
        <f t="shared" si="26"/>
        <v>11.73</v>
      </c>
      <c r="AF82" s="903">
        <f t="shared" si="26"/>
        <v>10.870000000000001</v>
      </c>
      <c r="AG82" s="903">
        <f t="shared" si="26"/>
        <v>10.26</v>
      </c>
      <c r="AH82" s="870">
        <f t="shared" si="27"/>
        <v>0.85</v>
      </c>
      <c r="AI82" s="868">
        <f t="shared" si="28"/>
        <v>0.5</v>
      </c>
      <c r="AJ82" s="868">
        <f t="shared" si="29"/>
        <v>0.2</v>
      </c>
      <c r="AK82" s="1081">
        <f t="shared" si="30"/>
        <v>3000</v>
      </c>
      <c r="AL82" s="904">
        <f t="shared" si="26"/>
        <v>66761</v>
      </c>
      <c r="AM82" s="905">
        <f t="shared" si="26"/>
        <v>171761</v>
      </c>
      <c r="AN82" s="905">
        <f t="shared" si="26"/>
        <v>251051</v>
      </c>
      <c r="AO82" s="905">
        <f>AO81</f>
        <v>341051</v>
      </c>
      <c r="AP82" s="905">
        <f t="shared" si="31"/>
        <v>351051</v>
      </c>
      <c r="AQ82" s="904">
        <f t="shared" si="26"/>
        <v>186761</v>
      </c>
      <c r="AR82" s="906">
        <f t="shared" si="26"/>
        <v>10160</v>
      </c>
      <c r="AS82" s="777">
        <f t="shared" si="32"/>
        <v>4</v>
      </c>
      <c r="AT82" s="782">
        <f t="shared" si="33"/>
        <v>8</v>
      </c>
      <c r="AU82" s="690">
        <f t="shared" si="34"/>
        <v>24</v>
      </c>
      <c r="AV82" s="777">
        <f t="shared" si="35"/>
        <v>0</v>
      </c>
      <c r="AW82" s="782">
        <f t="shared" si="36"/>
        <v>18</v>
      </c>
      <c r="AX82" s="782">
        <f t="shared" si="37"/>
        <v>36</v>
      </c>
      <c r="AY82" s="782">
        <f t="shared" si="38"/>
        <v>50</v>
      </c>
      <c r="AZ82" s="690">
        <f t="shared" si="39"/>
        <v>12</v>
      </c>
      <c r="BC82" s="12"/>
      <c r="BF82" s="12"/>
      <c r="BG82" s="12"/>
      <c r="BH82" s="12"/>
      <c r="BI82" s="12"/>
      <c r="BJ82" s="12"/>
    </row>
    <row r="83" spans="1:62" ht="15.75" thickBot="1" x14ac:dyDescent="0.3">
      <c r="A83" s="167">
        <v>43544</v>
      </c>
      <c r="B83" s="168">
        <v>43646</v>
      </c>
      <c r="C83" s="111">
        <f t="shared" si="21"/>
        <v>0</v>
      </c>
      <c r="D83" s="848">
        <f>D82</f>
        <v>0</v>
      </c>
      <c r="E83" s="77">
        <f t="shared" si="21"/>
        <v>0</v>
      </c>
      <c r="F83" s="79">
        <f t="shared" si="21"/>
        <v>0</v>
      </c>
      <c r="G83" s="109">
        <f>G82</f>
        <v>0</v>
      </c>
      <c r="H83" s="77">
        <f t="shared" si="22"/>
        <v>0</v>
      </c>
      <c r="I83" s="79">
        <f t="shared" si="22"/>
        <v>0</v>
      </c>
      <c r="J83" s="110">
        <f t="shared" si="9"/>
        <v>0</v>
      </c>
      <c r="K83" s="80">
        <f t="shared" si="10"/>
        <v>0</v>
      </c>
      <c r="L83" s="640">
        <f t="shared" si="11"/>
        <v>0</v>
      </c>
      <c r="M83" s="641">
        <f t="shared" si="12"/>
        <v>0</v>
      </c>
      <c r="N83" s="91">
        <f t="shared" si="13"/>
        <v>0</v>
      </c>
      <c r="O83" s="81">
        <f t="shared" si="14"/>
        <v>0</v>
      </c>
      <c r="P83" s="95">
        <f t="shared" si="15"/>
        <v>0</v>
      </c>
      <c r="Q83" s="91">
        <v>5</v>
      </c>
      <c r="R83" s="866">
        <f t="shared" si="23"/>
        <v>0</v>
      </c>
      <c r="S83" s="867">
        <f t="shared" si="23"/>
        <v>0</v>
      </c>
      <c r="T83" s="867">
        <f t="shared" si="24"/>
        <v>0</v>
      </c>
      <c r="U83" s="867">
        <f t="shared" si="24"/>
        <v>0</v>
      </c>
      <c r="V83" s="668">
        <f>V82</f>
        <v>0</v>
      </c>
      <c r="W83" s="884">
        <f>W82</f>
        <v>0</v>
      </c>
      <c r="X83" s="867">
        <f>X82</f>
        <v>0</v>
      </c>
      <c r="Y83" s="867">
        <f>Y82</f>
        <v>0</v>
      </c>
      <c r="Z83" s="867">
        <f>Z82</f>
        <v>0</v>
      </c>
      <c r="AA83" s="867">
        <f>AA82</f>
        <v>0</v>
      </c>
      <c r="AB83" s="885">
        <f>AB82</f>
        <v>0</v>
      </c>
      <c r="AC83" s="110">
        <f t="shared" si="6"/>
        <v>0</v>
      </c>
      <c r="AD83" s="79">
        <f>AD82</f>
        <v>0</v>
      </c>
      <c r="AE83" s="902">
        <f t="shared" si="26"/>
        <v>11.73</v>
      </c>
      <c r="AF83" s="903">
        <f t="shared" si="26"/>
        <v>10.870000000000001</v>
      </c>
      <c r="AG83" s="903">
        <f t="shared" si="26"/>
        <v>10.26</v>
      </c>
      <c r="AH83" s="870">
        <f t="shared" si="27"/>
        <v>0.85</v>
      </c>
      <c r="AI83" s="868">
        <f t="shared" si="28"/>
        <v>0.5</v>
      </c>
      <c r="AJ83" s="868">
        <f t="shared" si="29"/>
        <v>0.2</v>
      </c>
      <c r="AK83" s="1082">
        <f t="shared" si="30"/>
        <v>3000</v>
      </c>
      <c r="AL83" s="913">
        <f t="shared" si="26"/>
        <v>66761</v>
      </c>
      <c r="AM83" s="914">
        <f t="shared" si="26"/>
        <v>171761</v>
      </c>
      <c r="AN83" s="905">
        <f t="shared" si="26"/>
        <v>251051</v>
      </c>
      <c r="AO83" s="905">
        <f>AO82</f>
        <v>341051</v>
      </c>
      <c r="AP83" s="905">
        <f t="shared" si="31"/>
        <v>351051</v>
      </c>
      <c r="AQ83" s="913">
        <f t="shared" si="26"/>
        <v>186761</v>
      </c>
      <c r="AR83" s="907">
        <f t="shared" si="26"/>
        <v>10160</v>
      </c>
      <c r="AS83" s="777">
        <f t="shared" si="32"/>
        <v>4</v>
      </c>
      <c r="AT83" s="782">
        <f t="shared" si="33"/>
        <v>8</v>
      </c>
      <c r="AU83" s="690">
        <f t="shared" si="34"/>
        <v>24</v>
      </c>
      <c r="AV83" s="777">
        <f t="shared" si="35"/>
        <v>0</v>
      </c>
      <c r="AW83" s="782">
        <f t="shared" si="36"/>
        <v>18</v>
      </c>
      <c r="AX83" s="782">
        <f t="shared" si="37"/>
        <v>36</v>
      </c>
      <c r="AY83" s="782">
        <f t="shared" si="38"/>
        <v>50</v>
      </c>
      <c r="AZ83" s="690">
        <f t="shared" si="39"/>
        <v>12</v>
      </c>
      <c r="BC83" s="12"/>
      <c r="BF83" s="12"/>
      <c r="BG83" s="12"/>
      <c r="BH83" s="12"/>
      <c r="BI83" s="12"/>
      <c r="BJ83" s="12"/>
    </row>
    <row r="84" spans="1:62" x14ac:dyDescent="0.25">
      <c r="A84" s="169">
        <v>43647</v>
      </c>
      <c r="B84" s="170">
        <v>43727</v>
      </c>
      <c r="C84" s="189">
        <f>IndexAmt(C83,"peCpiFp",$B81,0.01,12)</f>
        <v>0</v>
      </c>
      <c r="D84" s="849">
        <f>IndexAmt(D83,"peCpiFp",$B81,0.001,12)</f>
        <v>0</v>
      </c>
      <c r="E84" s="188">
        <f>IndexAmt(E83,"peCpiFp",$B81,0.01,12)</f>
        <v>0</v>
      </c>
      <c r="F84" s="172">
        <f>IndexAmt(F83,"peCpiFp",$B81,0.01,12)</f>
        <v>0</v>
      </c>
      <c r="G84" s="191">
        <f t="shared" ref="G84:G91" si="40">G83</f>
        <v>0</v>
      </c>
      <c r="H84" s="188">
        <f>IndexAmt(H83,"peCpiFp",$B81,73,12)</f>
        <v>0</v>
      </c>
      <c r="I84" s="172">
        <f>IndexAmt(I83,"peCpiFp",$B81,1,12)</f>
        <v>0</v>
      </c>
      <c r="J84" s="198">
        <f t="shared" si="9"/>
        <v>0</v>
      </c>
      <c r="K84" s="359">
        <f t="shared" si="10"/>
        <v>0</v>
      </c>
      <c r="L84" s="636">
        <f t="shared" si="11"/>
        <v>0</v>
      </c>
      <c r="M84" s="637">
        <f t="shared" si="12"/>
        <v>0</v>
      </c>
      <c r="N84" s="196">
        <f t="shared" si="13"/>
        <v>0</v>
      </c>
      <c r="O84" s="197">
        <f t="shared" si="14"/>
        <v>0</v>
      </c>
      <c r="P84" s="192">
        <f t="shared" si="15"/>
        <v>0</v>
      </c>
      <c r="Q84" s="196">
        <v>5</v>
      </c>
      <c r="R84" s="863">
        <f t="shared" si="23"/>
        <v>0</v>
      </c>
      <c r="S84" s="864">
        <f t="shared" si="23"/>
        <v>0</v>
      </c>
      <c r="T84" s="864">
        <f t="shared" ref="T84:U91" si="41">T83</f>
        <v>0</v>
      </c>
      <c r="U84" s="864">
        <f t="shared" si="41"/>
        <v>0</v>
      </c>
      <c r="V84" s="669">
        <f t="shared" ref="V84:V91" si="42">V83</f>
        <v>0</v>
      </c>
      <c r="W84" s="880">
        <f t="shared" ref="W84:W91" si="43">W83</f>
        <v>0</v>
      </c>
      <c r="X84" s="864">
        <f t="shared" ref="X84:Y91" si="44">X83</f>
        <v>0</v>
      </c>
      <c r="Y84" s="864">
        <f t="shared" si="44"/>
        <v>0</v>
      </c>
      <c r="Z84" s="864">
        <f t="shared" ref="Z84:Z91" si="45">Z83</f>
        <v>0</v>
      </c>
      <c r="AA84" s="864">
        <f t="shared" ref="AA84:AA91" si="46">AA83</f>
        <v>0</v>
      </c>
      <c r="AB84" s="881">
        <f t="shared" ref="AB84:AB91" si="47">AB83</f>
        <v>0</v>
      </c>
      <c r="AC84" s="198">
        <f t="shared" si="6"/>
        <v>0</v>
      </c>
      <c r="AD84" s="172">
        <f>IndexAmt(AD83,"peCpiFp",$B81,1,12)</f>
        <v>0</v>
      </c>
      <c r="AE84" s="908">
        <f>IndexAmt(AE83,"peCpiFp",$B81,0.01,12)</f>
        <v>11.98</v>
      </c>
      <c r="AF84" s="909">
        <f>IndexAmt(AF83,"peCpiFp",$B81,0.01,12)</f>
        <v>11.1</v>
      </c>
      <c r="AG84" s="909">
        <f>IndexAmt(AG83,"peCpiFp",$B81,0.01,12)</f>
        <v>10.48</v>
      </c>
      <c r="AH84" s="871">
        <f t="shared" si="27"/>
        <v>0.85</v>
      </c>
      <c r="AI84" s="869">
        <f t="shared" si="28"/>
        <v>0.5</v>
      </c>
      <c r="AJ84" s="869">
        <f t="shared" si="29"/>
        <v>0.2</v>
      </c>
      <c r="AK84" s="1081">
        <f t="shared" si="30"/>
        <v>3000</v>
      </c>
      <c r="AL84" s="910">
        <f>IndexAmt(AL83,"peCpiFp",$B81,1,12)</f>
        <v>68163</v>
      </c>
      <c r="AM84" s="911">
        <f>AL84+105000</f>
        <v>173163</v>
      </c>
      <c r="AN84" s="911">
        <f>AL84+184290</f>
        <v>252453</v>
      </c>
      <c r="AO84" s="911">
        <f>AL84+274290</f>
        <v>342453</v>
      </c>
      <c r="AP84" s="911">
        <f t="shared" si="31"/>
        <v>352453</v>
      </c>
      <c r="AQ84" s="910">
        <f>AL84+120000</f>
        <v>188163</v>
      </c>
      <c r="AR84" s="912">
        <f>IndexAmt(AR83,"peCpiFp",$B81,1,12)</f>
        <v>10373</v>
      </c>
      <c r="AS84" s="955">
        <f t="shared" si="32"/>
        <v>4</v>
      </c>
      <c r="AT84" s="956">
        <f t="shared" si="33"/>
        <v>8</v>
      </c>
      <c r="AU84" s="957">
        <f t="shared" si="34"/>
        <v>24</v>
      </c>
      <c r="AV84" s="955">
        <f t="shared" si="35"/>
        <v>0</v>
      </c>
      <c r="AW84" s="956">
        <f t="shared" si="36"/>
        <v>18</v>
      </c>
      <c r="AX84" s="956">
        <f t="shared" si="37"/>
        <v>36</v>
      </c>
      <c r="AY84" s="956">
        <f t="shared" si="38"/>
        <v>50</v>
      </c>
      <c r="AZ84" s="957">
        <f t="shared" si="39"/>
        <v>12</v>
      </c>
      <c r="BC84" s="12"/>
      <c r="BF84" s="12"/>
      <c r="BG84" s="12"/>
      <c r="BH84" s="12"/>
      <c r="BI84" s="12"/>
      <c r="BJ84" s="12"/>
    </row>
    <row r="85" spans="1:62" x14ac:dyDescent="0.25">
      <c r="A85" s="165">
        <v>43728</v>
      </c>
      <c r="B85" s="166">
        <v>43830</v>
      </c>
      <c r="C85" s="107">
        <f t="shared" ref="C85:F87" si="48">C84</f>
        <v>0</v>
      </c>
      <c r="D85" s="850">
        <f>D84</f>
        <v>0</v>
      </c>
      <c r="E85" s="33">
        <f t="shared" si="48"/>
        <v>0</v>
      </c>
      <c r="F85" s="75">
        <f t="shared" si="48"/>
        <v>0</v>
      </c>
      <c r="G85" s="105">
        <f t="shared" si="40"/>
        <v>0</v>
      </c>
      <c r="H85" s="33">
        <f t="shared" ref="H85:I87" si="49">H84</f>
        <v>0</v>
      </c>
      <c r="I85" s="75">
        <f t="shared" si="49"/>
        <v>0</v>
      </c>
      <c r="J85" s="106">
        <f t="shared" si="9"/>
        <v>0</v>
      </c>
      <c r="K85" s="76">
        <f t="shared" si="10"/>
        <v>0</v>
      </c>
      <c r="L85" s="638">
        <f t="shared" si="11"/>
        <v>0</v>
      </c>
      <c r="M85" s="639">
        <f t="shared" si="12"/>
        <v>0</v>
      </c>
      <c r="N85" s="30">
        <f t="shared" si="13"/>
        <v>0</v>
      </c>
      <c r="O85" s="15">
        <f t="shared" si="14"/>
        <v>0</v>
      </c>
      <c r="P85" s="31">
        <f t="shared" si="15"/>
        <v>0</v>
      </c>
      <c r="Q85" s="30">
        <v>5</v>
      </c>
      <c r="R85" s="683">
        <f t="shared" ref="R85:R91" si="50">R84</f>
        <v>0</v>
      </c>
      <c r="S85" s="865">
        <f t="shared" ref="S85:S91" si="51">S84</f>
        <v>0</v>
      </c>
      <c r="T85" s="865">
        <f t="shared" si="41"/>
        <v>0</v>
      </c>
      <c r="U85" s="865">
        <f t="shared" si="41"/>
        <v>0</v>
      </c>
      <c r="V85" s="667">
        <f t="shared" si="42"/>
        <v>0</v>
      </c>
      <c r="W85" s="882">
        <f t="shared" si="43"/>
        <v>0</v>
      </c>
      <c r="X85" s="865">
        <f t="shared" si="44"/>
        <v>0</v>
      </c>
      <c r="Y85" s="865">
        <f t="shared" si="44"/>
        <v>0</v>
      </c>
      <c r="Z85" s="865">
        <f t="shared" si="45"/>
        <v>0</v>
      </c>
      <c r="AA85" s="865">
        <f t="shared" si="46"/>
        <v>0</v>
      </c>
      <c r="AB85" s="883">
        <f t="shared" si="47"/>
        <v>0</v>
      </c>
      <c r="AC85" s="106">
        <f t="shared" si="6"/>
        <v>0</v>
      </c>
      <c r="AD85" s="75">
        <f>AD84</f>
        <v>0</v>
      </c>
      <c r="AE85" s="902">
        <f t="shared" ref="AE85:AR87" si="52">AE84</f>
        <v>11.98</v>
      </c>
      <c r="AF85" s="903">
        <f t="shared" si="52"/>
        <v>11.1</v>
      </c>
      <c r="AG85" s="903">
        <f t="shared" si="52"/>
        <v>10.48</v>
      </c>
      <c r="AH85" s="870">
        <f t="shared" si="27"/>
        <v>0.85</v>
      </c>
      <c r="AI85" s="868">
        <f t="shared" si="28"/>
        <v>0.5</v>
      </c>
      <c r="AJ85" s="868">
        <f t="shared" si="29"/>
        <v>0.2</v>
      </c>
      <c r="AK85" s="1081">
        <f t="shared" si="30"/>
        <v>3000</v>
      </c>
      <c r="AL85" s="904">
        <f t="shared" si="52"/>
        <v>68163</v>
      </c>
      <c r="AM85" s="905">
        <f t="shared" si="52"/>
        <v>173163</v>
      </c>
      <c r="AN85" s="905">
        <f t="shared" si="52"/>
        <v>252453</v>
      </c>
      <c r="AO85" s="905">
        <f t="shared" si="52"/>
        <v>342453</v>
      </c>
      <c r="AP85" s="905">
        <f t="shared" si="31"/>
        <v>352453</v>
      </c>
      <c r="AQ85" s="904">
        <f t="shared" si="52"/>
        <v>188163</v>
      </c>
      <c r="AR85" s="906">
        <f t="shared" si="52"/>
        <v>10373</v>
      </c>
      <c r="AS85" s="777">
        <f t="shared" si="32"/>
        <v>4</v>
      </c>
      <c r="AT85" s="782">
        <f t="shared" si="33"/>
        <v>8</v>
      </c>
      <c r="AU85" s="690">
        <f t="shared" si="34"/>
        <v>24</v>
      </c>
      <c r="AV85" s="777">
        <f t="shared" si="35"/>
        <v>0</v>
      </c>
      <c r="AW85" s="782">
        <f t="shared" si="36"/>
        <v>18</v>
      </c>
      <c r="AX85" s="782">
        <f t="shared" si="37"/>
        <v>36</v>
      </c>
      <c r="AY85" s="782">
        <f t="shared" si="38"/>
        <v>50</v>
      </c>
      <c r="AZ85" s="690">
        <f t="shared" si="39"/>
        <v>12</v>
      </c>
      <c r="BC85" s="12"/>
      <c r="BF85" s="12"/>
      <c r="BG85" s="12"/>
      <c r="BH85" s="12"/>
      <c r="BI85" s="12"/>
      <c r="BJ85" s="12"/>
    </row>
    <row r="86" spans="1:62" x14ac:dyDescent="0.25">
      <c r="A86" s="165">
        <v>43831</v>
      </c>
      <c r="B86" s="166">
        <v>43909</v>
      </c>
      <c r="C86" s="107">
        <f t="shared" si="48"/>
        <v>0</v>
      </c>
      <c r="D86" s="850">
        <f>D85</f>
        <v>0</v>
      </c>
      <c r="E86" s="33">
        <f t="shared" si="48"/>
        <v>0</v>
      </c>
      <c r="F86" s="75">
        <f t="shared" si="48"/>
        <v>0</v>
      </c>
      <c r="G86" s="105">
        <f t="shared" si="40"/>
        <v>0</v>
      </c>
      <c r="H86" s="33">
        <f t="shared" si="49"/>
        <v>0</v>
      </c>
      <c r="I86" s="75">
        <f t="shared" si="49"/>
        <v>0</v>
      </c>
      <c r="J86" s="106">
        <f t="shared" si="9"/>
        <v>0</v>
      </c>
      <c r="K86" s="76">
        <f t="shared" si="10"/>
        <v>0</v>
      </c>
      <c r="L86" s="638">
        <f t="shared" si="11"/>
        <v>0</v>
      </c>
      <c r="M86" s="639">
        <f t="shared" si="12"/>
        <v>0</v>
      </c>
      <c r="N86" s="30">
        <f t="shared" si="13"/>
        <v>0</v>
      </c>
      <c r="O86" s="15">
        <f t="shared" si="14"/>
        <v>0</v>
      </c>
      <c r="P86" s="31">
        <f t="shared" si="15"/>
        <v>0</v>
      </c>
      <c r="Q86" s="30">
        <v>5</v>
      </c>
      <c r="R86" s="683">
        <f t="shared" si="50"/>
        <v>0</v>
      </c>
      <c r="S86" s="865">
        <f t="shared" si="51"/>
        <v>0</v>
      </c>
      <c r="T86" s="865">
        <f t="shared" si="41"/>
        <v>0</v>
      </c>
      <c r="U86" s="865">
        <f t="shared" si="41"/>
        <v>0</v>
      </c>
      <c r="V86" s="667">
        <f t="shared" si="42"/>
        <v>0</v>
      </c>
      <c r="W86" s="882">
        <f t="shared" si="43"/>
        <v>0</v>
      </c>
      <c r="X86" s="865">
        <f t="shared" si="44"/>
        <v>0</v>
      </c>
      <c r="Y86" s="865">
        <f t="shared" si="44"/>
        <v>0</v>
      </c>
      <c r="Z86" s="865">
        <f t="shared" si="45"/>
        <v>0</v>
      </c>
      <c r="AA86" s="865">
        <f t="shared" si="46"/>
        <v>0</v>
      </c>
      <c r="AB86" s="883">
        <f t="shared" si="47"/>
        <v>0</v>
      </c>
      <c r="AC86" s="106">
        <f t="shared" si="6"/>
        <v>0</v>
      </c>
      <c r="AD86" s="75">
        <f>AD85</f>
        <v>0</v>
      </c>
      <c r="AE86" s="902">
        <f t="shared" si="52"/>
        <v>11.98</v>
      </c>
      <c r="AF86" s="903">
        <f t="shared" si="52"/>
        <v>11.1</v>
      </c>
      <c r="AG86" s="903">
        <f t="shared" si="52"/>
        <v>10.48</v>
      </c>
      <c r="AH86" s="870">
        <f t="shared" si="27"/>
        <v>0.85</v>
      </c>
      <c r="AI86" s="868">
        <f t="shared" si="28"/>
        <v>0.5</v>
      </c>
      <c r="AJ86" s="868">
        <f t="shared" si="29"/>
        <v>0.2</v>
      </c>
      <c r="AK86" s="1081">
        <f t="shared" si="30"/>
        <v>3000</v>
      </c>
      <c r="AL86" s="904">
        <f t="shared" si="52"/>
        <v>68163</v>
      </c>
      <c r="AM86" s="905">
        <f t="shared" si="52"/>
        <v>173163</v>
      </c>
      <c r="AN86" s="905">
        <f t="shared" si="52"/>
        <v>252453</v>
      </c>
      <c r="AO86" s="905">
        <f t="shared" si="52"/>
        <v>342453</v>
      </c>
      <c r="AP86" s="905">
        <f t="shared" si="31"/>
        <v>352453</v>
      </c>
      <c r="AQ86" s="904">
        <f t="shared" si="52"/>
        <v>188163</v>
      </c>
      <c r="AR86" s="906">
        <f t="shared" si="52"/>
        <v>10373</v>
      </c>
      <c r="AS86" s="777">
        <f t="shared" si="32"/>
        <v>4</v>
      </c>
      <c r="AT86" s="782">
        <f t="shared" si="33"/>
        <v>8</v>
      </c>
      <c r="AU86" s="690">
        <f t="shared" si="34"/>
        <v>24</v>
      </c>
      <c r="AV86" s="777">
        <f t="shared" si="35"/>
        <v>0</v>
      </c>
      <c r="AW86" s="782">
        <f t="shared" si="36"/>
        <v>18</v>
      </c>
      <c r="AX86" s="782">
        <f t="shared" si="37"/>
        <v>36</v>
      </c>
      <c r="AY86" s="782">
        <f t="shared" si="38"/>
        <v>50</v>
      </c>
      <c r="AZ86" s="690">
        <f t="shared" si="39"/>
        <v>12</v>
      </c>
      <c r="BC86" s="12"/>
      <c r="BF86" s="12"/>
      <c r="BG86" s="12"/>
      <c r="BH86" s="12"/>
      <c r="BI86" s="12"/>
      <c r="BJ86" s="12"/>
    </row>
    <row r="87" spans="1:62" ht="15.75" thickBot="1" x14ac:dyDescent="0.3">
      <c r="A87" s="167">
        <v>43910</v>
      </c>
      <c r="B87" s="168">
        <v>44012</v>
      </c>
      <c r="C87" s="111">
        <f t="shared" si="48"/>
        <v>0</v>
      </c>
      <c r="D87" s="848">
        <f>D86</f>
        <v>0</v>
      </c>
      <c r="E87" s="77">
        <f t="shared" si="48"/>
        <v>0</v>
      </c>
      <c r="F87" s="79">
        <f t="shared" si="48"/>
        <v>0</v>
      </c>
      <c r="G87" s="109">
        <f t="shared" si="40"/>
        <v>0</v>
      </c>
      <c r="H87" s="77">
        <f t="shared" si="49"/>
        <v>0</v>
      </c>
      <c r="I87" s="79">
        <f t="shared" si="49"/>
        <v>0</v>
      </c>
      <c r="J87" s="110">
        <f t="shared" si="9"/>
        <v>0</v>
      </c>
      <c r="K87" s="80">
        <f t="shared" si="10"/>
        <v>0</v>
      </c>
      <c r="L87" s="640">
        <f t="shared" si="11"/>
        <v>0</v>
      </c>
      <c r="M87" s="641">
        <f t="shared" si="12"/>
        <v>0</v>
      </c>
      <c r="N87" s="91">
        <f t="shared" si="13"/>
        <v>0</v>
      </c>
      <c r="O87" s="81">
        <f t="shared" si="14"/>
        <v>0</v>
      </c>
      <c r="P87" s="95">
        <f t="shared" si="15"/>
        <v>0</v>
      </c>
      <c r="Q87" s="91">
        <v>5</v>
      </c>
      <c r="R87" s="866">
        <f t="shared" si="50"/>
        <v>0</v>
      </c>
      <c r="S87" s="867">
        <f t="shared" si="51"/>
        <v>0</v>
      </c>
      <c r="T87" s="867">
        <f t="shared" si="41"/>
        <v>0</v>
      </c>
      <c r="U87" s="867">
        <f t="shared" si="41"/>
        <v>0</v>
      </c>
      <c r="V87" s="668">
        <f t="shared" si="42"/>
        <v>0</v>
      </c>
      <c r="W87" s="884">
        <f t="shared" si="43"/>
        <v>0</v>
      </c>
      <c r="X87" s="867">
        <f t="shared" si="44"/>
        <v>0</v>
      </c>
      <c r="Y87" s="867">
        <f t="shared" si="44"/>
        <v>0</v>
      </c>
      <c r="Z87" s="867">
        <f t="shared" si="45"/>
        <v>0</v>
      </c>
      <c r="AA87" s="867">
        <f t="shared" si="46"/>
        <v>0</v>
      </c>
      <c r="AB87" s="885">
        <f t="shared" si="47"/>
        <v>0</v>
      </c>
      <c r="AC87" s="110">
        <f t="shared" si="6"/>
        <v>0</v>
      </c>
      <c r="AD87" s="79">
        <f>AD86</f>
        <v>0</v>
      </c>
      <c r="AE87" s="902">
        <f t="shared" si="52"/>
        <v>11.98</v>
      </c>
      <c r="AF87" s="903">
        <f t="shared" si="52"/>
        <v>11.1</v>
      </c>
      <c r="AG87" s="903">
        <f t="shared" si="52"/>
        <v>10.48</v>
      </c>
      <c r="AH87" s="870">
        <f t="shared" si="27"/>
        <v>0.85</v>
      </c>
      <c r="AI87" s="868">
        <f t="shared" si="28"/>
        <v>0.5</v>
      </c>
      <c r="AJ87" s="868">
        <f t="shared" si="29"/>
        <v>0.2</v>
      </c>
      <c r="AK87" s="1082">
        <f t="shared" si="30"/>
        <v>3000</v>
      </c>
      <c r="AL87" s="913">
        <f t="shared" si="52"/>
        <v>68163</v>
      </c>
      <c r="AM87" s="914">
        <f t="shared" si="52"/>
        <v>173163</v>
      </c>
      <c r="AN87" s="905">
        <f t="shared" si="52"/>
        <v>252453</v>
      </c>
      <c r="AO87" s="905">
        <f t="shared" si="52"/>
        <v>342453</v>
      </c>
      <c r="AP87" s="905">
        <f t="shared" si="31"/>
        <v>352453</v>
      </c>
      <c r="AQ87" s="913">
        <f t="shared" si="52"/>
        <v>188163</v>
      </c>
      <c r="AR87" s="907">
        <f t="shared" si="52"/>
        <v>10373</v>
      </c>
      <c r="AS87" s="777">
        <f t="shared" si="32"/>
        <v>4</v>
      </c>
      <c r="AT87" s="782">
        <f t="shared" si="33"/>
        <v>8</v>
      </c>
      <c r="AU87" s="690">
        <f t="shared" si="34"/>
        <v>24</v>
      </c>
      <c r="AV87" s="777">
        <f t="shared" si="35"/>
        <v>0</v>
      </c>
      <c r="AW87" s="782">
        <f t="shared" si="36"/>
        <v>18</v>
      </c>
      <c r="AX87" s="782">
        <f t="shared" si="37"/>
        <v>36</v>
      </c>
      <c r="AY87" s="782">
        <f t="shared" si="38"/>
        <v>50</v>
      </c>
      <c r="AZ87" s="690">
        <f t="shared" si="39"/>
        <v>12</v>
      </c>
      <c r="BC87" s="12"/>
      <c r="BF87" s="12"/>
      <c r="BG87" s="12"/>
      <c r="BH87" s="12"/>
      <c r="BI87" s="12"/>
      <c r="BJ87" s="12"/>
    </row>
    <row r="88" spans="1:62" x14ac:dyDescent="0.25">
      <c r="A88" s="169">
        <v>44013</v>
      </c>
      <c r="B88" s="170">
        <v>44093</v>
      </c>
      <c r="C88" s="189">
        <f>IndexAmt(C87,"peCpiFp",$B85,0.01,12)</f>
        <v>0</v>
      </c>
      <c r="D88" s="849">
        <f>IndexAmt(D87,"peCpiFp",$B85,0.001,12)</f>
        <v>0</v>
      </c>
      <c r="E88" s="188">
        <f>IndexAmt(E87,"peCpiFp",$B85,0.01,12)</f>
        <v>0</v>
      </c>
      <c r="F88" s="172">
        <f>IndexAmt(F87,"peCpiFp",$B85,0.01,12)</f>
        <v>0</v>
      </c>
      <c r="G88" s="191">
        <f t="shared" si="40"/>
        <v>0</v>
      </c>
      <c r="H88" s="188">
        <f>IndexAmt(H87,"peCpiFp",$B85,73,12)</f>
        <v>0</v>
      </c>
      <c r="I88" s="172">
        <f>IndexAmt(I87,"peCpiFp",$B85,1,12)</f>
        <v>0</v>
      </c>
      <c r="J88" s="198">
        <f t="shared" si="9"/>
        <v>0</v>
      </c>
      <c r="K88" s="359">
        <f t="shared" si="10"/>
        <v>0</v>
      </c>
      <c r="L88" s="636">
        <f t="shared" si="11"/>
        <v>0</v>
      </c>
      <c r="M88" s="637">
        <f t="shared" si="12"/>
        <v>0</v>
      </c>
      <c r="N88" s="196">
        <f t="shared" si="13"/>
        <v>0</v>
      </c>
      <c r="O88" s="197">
        <f t="shared" si="14"/>
        <v>0</v>
      </c>
      <c r="P88" s="192">
        <f t="shared" si="15"/>
        <v>0</v>
      </c>
      <c r="Q88" s="196">
        <v>5</v>
      </c>
      <c r="R88" s="863">
        <f t="shared" si="50"/>
        <v>0</v>
      </c>
      <c r="S88" s="864">
        <f t="shared" si="51"/>
        <v>0</v>
      </c>
      <c r="T88" s="864">
        <f t="shared" si="41"/>
        <v>0</v>
      </c>
      <c r="U88" s="864">
        <f t="shared" si="41"/>
        <v>0</v>
      </c>
      <c r="V88" s="669">
        <f t="shared" si="42"/>
        <v>0</v>
      </c>
      <c r="W88" s="880">
        <f t="shared" si="43"/>
        <v>0</v>
      </c>
      <c r="X88" s="864">
        <f t="shared" si="44"/>
        <v>0</v>
      </c>
      <c r="Y88" s="864">
        <f t="shared" si="44"/>
        <v>0</v>
      </c>
      <c r="Z88" s="864">
        <f t="shared" si="45"/>
        <v>0</v>
      </c>
      <c r="AA88" s="864">
        <f t="shared" si="46"/>
        <v>0</v>
      </c>
      <c r="AB88" s="881">
        <f t="shared" si="47"/>
        <v>0</v>
      </c>
      <c r="AC88" s="198">
        <f t="shared" si="6"/>
        <v>0</v>
      </c>
      <c r="AD88" s="172">
        <f>IndexAmt(AD87,"peCpiFp",$B85,1,12)</f>
        <v>0</v>
      </c>
      <c r="AE88" s="908">
        <f>IndexAmt(AE87,"peCpiFp",$B85,0.01,12)</f>
        <v>12.27</v>
      </c>
      <c r="AF88" s="909">
        <f>IndexAmt(AF87,"peCpiFp",$B85,0.01,12)</f>
        <v>11.370000000000001</v>
      </c>
      <c r="AG88" s="909">
        <f>IndexAmt(AG87,"peCpiFp",$B85,0.01,12)</f>
        <v>10.73</v>
      </c>
      <c r="AH88" s="871">
        <f t="shared" si="27"/>
        <v>0.85</v>
      </c>
      <c r="AI88" s="869">
        <f t="shared" si="28"/>
        <v>0.5</v>
      </c>
      <c r="AJ88" s="869">
        <f t="shared" si="29"/>
        <v>0.2</v>
      </c>
      <c r="AK88" s="1081">
        <f t="shared" si="30"/>
        <v>3000</v>
      </c>
      <c r="AL88" s="910">
        <f>IndexAmt(AL87,"peCpiFp",$B85,1,12)</f>
        <v>69799</v>
      </c>
      <c r="AM88" s="911">
        <f>AL88+105000</f>
        <v>174799</v>
      </c>
      <c r="AN88" s="911">
        <f>AL88+184290</f>
        <v>254089</v>
      </c>
      <c r="AO88" s="911">
        <f>AL88+274290</f>
        <v>344089</v>
      </c>
      <c r="AP88" s="911">
        <f t="shared" si="31"/>
        <v>354089</v>
      </c>
      <c r="AQ88" s="910">
        <f>AL88+120000</f>
        <v>189799</v>
      </c>
      <c r="AR88" s="912">
        <f>IndexAmt(AR87,"peCpiFp",$B85,1,12)</f>
        <v>10622</v>
      </c>
      <c r="AS88" s="955">
        <f t="shared" si="32"/>
        <v>4</v>
      </c>
      <c r="AT88" s="956">
        <f t="shared" si="33"/>
        <v>8</v>
      </c>
      <c r="AU88" s="957">
        <f t="shared" si="34"/>
        <v>24</v>
      </c>
      <c r="AV88" s="955">
        <f t="shared" si="35"/>
        <v>0</v>
      </c>
      <c r="AW88" s="956">
        <f t="shared" si="36"/>
        <v>18</v>
      </c>
      <c r="AX88" s="956">
        <f t="shared" si="37"/>
        <v>36</v>
      </c>
      <c r="AY88" s="956">
        <f t="shared" si="38"/>
        <v>50</v>
      </c>
      <c r="AZ88" s="957">
        <f t="shared" si="39"/>
        <v>12</v>
      </c>
      <c r="BC88" s="12"/>
      <c r="BF88" s="12"/>
      <c r="BG88" s="12"/>
      <c r="BH88" s="12"/>
      <c r="BI88" s="12"/>
      <c r="BJ88" s="12"/>
    </row>
    <row r="89" spans="1:62" x14ac:dyDescent="0.25">
      <c r="A89" s="165">
        <v>44094</v>
      </c>
      <c r="B89" s="166">
        <v>44196</v>
      </c>
      <c r="C89" s="107">
        <f t="shared" ref="C89:F91" si="53">C88</f>
        <v>0</v>
      </c>
      <c r="D89" s="850">
        <f>D88</f>
        <v>0</v>
      </c>
      <c r="E89" s="33">
        <f t="shared" si="53"/>
        <v>0</v>
      </c>
      <c r="F89" s="75">
        <f t="shared" si="53"/>
        <v>0</v>
      </c>
      <c r="G89" s="105">
        <f t="shared" si="40"/>
        <v>0</v>
      </c>
      <c r="H89" s="33">
        <f t="shared" ref="H89:I91" si="54">H88</f>
        <v>0</v>
      </c>
      <c r="I89" s="75">
        <f t="shared" si="54"/>
        <v>0</v>
      </c>
      <c r="J89" s="106">
        <f t="shared" si="9"/>
        <v>0</v>
      </c>
      <c r="K89" s="76">
        <f t="shared" si="10"/>
        <v>0</v>
      </c>
      <c r="L89" s="638">
        <f t="shared" si="11"/>
        <v>0</v>
      </c>
      <c r="M89" s="639">
        <f t="shared" si="12"/>
        <v>0</v>
      </c>
      <c r="N89" s="30">
        <f t="shared" si="13"/>
        <v>0</v>
      </c>
      <c r="O89" s="15">
        <f t="shared" si="14"/>
        <v>0</v>
      </c>
      <c r="P89" s="31">
        <f t="shared" si="15"/>
        <v>0</v>
      </c>
      <c r="Q89" s="30">
        <v>5</v>
      </c>
      <c r="R89" s="683">
        <f t="shared" si="50"/>
        <v>0</v>
      </c>
      <c r="S89" s="865">
        <f t="shared" si="51"/>
        <v>0</v>
      </c>
      <c r="T89" s="865">
        <f t="shared" si="41"/>
        <v>0</v>
      </c>
      <c r="U89" s="865">
        <f t="shared" si="41"/>
        <v>0</v>
      </c>
      <c r="V89" s="667">
        <f t="shared" si="42"/>
        <v>0</v>
      </c>
      <c r="W89" s="882">
        <f t="shared" si="43"/>
        <v>0</v>
      </c>
      <c r="X89" s="865">
        <f t="shared" si="44"/>
        <v>0</v>
      </c>
      <c r="Y89" s="865">
        <f t="shared" si="44"/>
        <v>0</v>
      </c>
      <c r="Z89" s="865">
        <f t="shared" si="45"/>
        <v>0</v>
      </c>
      <c r="AA89" s="865">
        <f t="shared" si="46"/>
        <v>0</v>
      </c>
      <c r="AB89" s="883">
        <f t="shared" si="47"/>
        <v>0</v>
      </c>
      <c r="AC89" s="106">
        <f t="shared" si="6"/>
        <v>0</v>
      </c>
      <c r="AD89" s="75">
        <f>AD88</f>
        <v>0</v>
      </c>
      <c r="AE89" s="902">
        <f t="shared" ref="AE89:AR91" si="55">AE88</f>
        <v>12.27</v>
      </c>
      <c r="AF89" s="903">
        <f t="shared" si="55"/>
        <v>11.370000000000001</v>
      </c>
      <c r="AG89" s="903">
        <f t="shared" si="55"/>
        <v>10.73</v>
      </c>
      <c r="AH89" s="870">
        <f t="shared" si="27"/>
        <v>0.85</v>
      </c>
      <c r="AI89" s="868">
        <f t="shared" si="28"/>
        <v>0.5</v>
      </c>
      <c r="AJ89" s="868">
        <f t="shared" si="29"/>
        <v>0.2</v>
      </c>
      <c r="AK89" s="1081">
        <f t="shared" si="30"/>
        <v>3000</v>
      </c>
      <c r="AL89" s="904">
        <f t="shared" si="55"/>
        <v>69799</v>
      </c>
      <c r="AM89" s="905">
        <f t="shared" si="55"/>
        <v>174799</v>
      </c>
      <c r="AN89" s="905">
        <f t="shared" si="55"/>
        <v>254089</v>
      </c>
      <c r="AO89" s="905">
        <f t="shared" si="55"/>
        <v>344089</v>
      </c>
      <c r="AP89" s="905">
        <f t="shared" si="31"/>
        <v>354089</v>
      </c>
      <c r="AQ89" s="904">
        <f t="shared" si="55"/>
        <v>189799</v>
      </c>
      <c r="AR89" s="906">
        <f t="shared" si="55"/>
        <v>10622</v>
      </c>
      <c r="AS89" s="777">
        <f t="shared" si="32"/>
        <v>4</v>
      </c>
      <c r="AT89" s="782">
        <f t="shared" si="33"/>
        <v>8</v>
      </c>
      <c r="AU89" s="690">
        <f t="shared" si="34"/>
        <v>24</v>
      </c>
      <c r="AV89" s="777">
        <f t="shared" si="35"/>
        <v>0</v>
      </c>
      <c r="AW89" s="782">
        <f t="shared" si="36"/>
        <v>18</v>
      </c>
      <c r="AX89" s="782">
        <f t="shared" si="37"/>
        <v>36</v>
      </c>
      <c r="AY89" s="782">
        <f t="shared" si="38"/>
        <v>50</v>
      </c>
      <c r="AZ89" s="690">
        <f t="shared" si="39"/>
        <v>12</v>
      </c>
      <c r="BC89" s="12"/>
      <c r="BF89" s="12"/>
      <c r="BG89" s="12"/>
      <c r="BH89" s="12"/>
      <c r="BI89" s="12"/>
      <c r="BJ89" s="12"/>
    </row>
    <row r="90" spans="1:62" x14ac:dyDescent="0.25">
      <c r="A90" s="165">
        <v>44197</v>
      </c>
      <c r="B90" s="166">
        <v>44274</v>
      </c>
      <c r="C90" s="107">
        <f t="shared" si="53"/>
        <v>0</v>
      </c>
      <c r="D90" s="850">
        <f>D89</f>
        <v>0</v>
      </c>
      <c r="E90" s="33">
        <f t="shared" si="53"/>
        <v>0</v>
      </c>
      <c r="F90" s="75">
        <f t="shared" si="53"/>
        <v>0</v>
      </c>
      <c r="G90" s="105">
        <f t="shared" si="40"/>
        <v>0</v>
      </c>
      <c r="H90" s="33">
        <f t="shared" si="54"/>
        <v>0</v>
      </c>
      <c r="I90" s="75">
        <f t="shared" si="54"/>
        <v>0</v>
      </c>
      <c r="J90" s="106">
        <f t="shared" si="9"/>
        <v>0</v>
      </c>
      <c r="K90" s="76">
        <f t="shared" si="10"/>
        <v>0</v>
      </c>
      <c r="L90" s="638">
        <f t="shared" si="11"/>
        <v>0</v>
      </c>
      <c r="M90" s="639">
        <f t="shared" si="12"/>
        <v>0</v>
      </c>
      <c r="N90" s="30">
        <f t="shared" si="13"/>
        <v>0</v>
      </c>
      <c r="O90" s="15">
        <f t="shared" si="14"/>
        <v>0</v>
      </c>
      <c r="P90" s="31">
        <f t="shared" si="15"/>
        <v>0</v>
      </c>
      <c r="Q90" s="30">
        <v>5</v>
      </c>
      <c r="R90" s="683">
        <f t="shared" si="50"/>
        <v>0</v>
      </c>
      <c r="S90" s="865">
        <f t="shared" si="51"/>
        <v>0</v>
      </c>
      <c r="T90" s="865">
        <f t="shared" si="41"/>
        <v>0</v>
      </c>
      <c r="U90" s="865">
        <f t="shared" si="41"/>
        <v>0</v>
      </c>
      <c r="V90" s="667">
        <f t="shared" si="42"/>
        <v>0</v>
      </c>
      <c r="W90" s="882">
        <f t="shared" si="43"/>
        <v>0</v>
      </c>
      <c r="X90" s="865">
        <f t="shared" si="44"/>
        <v>0</v>
      </c>
      <c r="Y90" s="865">
        <f t="shared" si="44"/>
        <v>0</v>
      </c>
      <c r="Z90" s="865">
        <f t="shared" si="45"/>
        <v>0</v>
      </c>
      <c r="AA90" s="865">
        <f t="shared" si="46"/>
        <v>0</v>
      </c>
      <c r="AB90" s="883">
        <f t="shared" si="47"/>
        <v>0</v>
      </c>
      <c r="AC90" s="106">
        <f t="shared" si="6"/>
        <v>0</v>
      </c>
      <c r="AD90" s="75">
        <f>AD89</f>
        <v>0</v>
      </c>
      <c r="AE90" s="902">
        <f t="shared" si="55"/>
        <v>12.27</v>
      </c>
      <c r="AF90" s="903">
        <f t="shared" si="55"/>
        <v>11.370000000000001</v>
      </c>
      <c r="AG90" s="903">
        <f t="shared" si="55"/>
        <v>10.73</v>
      </c>
      <c r="AH90" s="870">
        <f t="shared" si="27"/>
        <v>0.85</v>
      </c>
      <c r="AI90" s="868">
        <f t="shared" si="28"/>
        <v>0.5</v>
      </c>
      <c r="AJ90" s="868">
        <f t="shared" si="29"/>
        <v>0.2</v>
      </c>
      <c r="AK90" s="1081">
        <f t="shared" si="30"/>
        <v>3000</v>
      </c>
      <c r="AL90" s="904">
        <f t="shared" si="55"/>
        <v>69799</v>
      </c>
      <c r="AM90" s="905">
        <f t="shared" si="55"/>
        <v>174799</v>
      </c>
      <c r="AN90" s="905">
        <f t="shared" si="55"/>
        <v>254089</v>
      </c>
      <c r="AO90" s="905">
        <f t="shared" si="55"/>
        <v>344089</v>
      </c>
      <c r="AP90" s="905">
        <f t="shared" si="31"/>
        <v>354089</v>
      </c>
      <c r="AQ90" s="904">
        <f t="shared" si="55"/>
        <v>189799</v>
      </c>
      <c r="AR90" s="906">
        <f t="shared" si="55"/>
        <v>10622</v>
      </c>
      <c r="AS90" s="777">
        <f t="shared" si="32"/>
        <v>4</v>
      </c>
      <c r="AT90" s="782">
        <f t="shared" si="33"/>
        <v>8</v>
      </c>
      <c r="AU90" s="690">
        <f t="shared" si="34"/>
        <v>24</v>
      </c>
      <c r="AV90" s="777">
        <f t="shared" si="35"/>
        <v>0</v>
      </c>
      <c r="AW90" s="782">
        <f t="shared" si="36"/>
        <v>18</v>
      </c>
      <c r="AX90" s="782">
        <f t="shared" si="37"/>
        <v>36</v>
      </c>
      <c r="AY90" s="782">
        <f t="shared" si="38"/>
        <v>50</v>
      </c>
      <c r="AZ90" s="690">
        <f t="shared" si="39"/>
        <v>12</v>
      </c>
      <c r="BC90" s="12"/>
      <c r="BF90" s="12"/>
      <c r="BG90" s="12"/>
      <c r="BH90" s="12"/>
      <c r="BI90" s="12"/>
      <c r="BJ90" s="12"/>
    </row>
    <row r="91" spans="1:62" ht="15.75" thickBot="1" x14ac:dyDescent="0.3">
      <c r="A91" s="167">
        <v>44275</v>
      </c>
      <c r="B91" s="168">
        <v>44377</v>
      </c>
      <c r="C91" s="111">
        <f t="shared" si="53"/>
        <v>0</v>
      </c>
      <c r="D91" s="848">
        <f>D90</f>
        <v>0</v>
      </c>
      <c r="E91" s="77">
        <f t="shared" si="53"/>
        <v>0</v>
      </c>
      <c r="F91" s="79">
        <f t="shared" si="53"/>
        <v>0</v>
      </c>
      <c r="G91" s="109">
        <f t="shared" si="40"/>
        <v>0</v>
      </c>
      <c r="H91" s="77">
        <f t="shared" si="54"/>
        <v>0</v>
      </c>
      <c r="I91" s="79">
        <f t="shared" si="54"/>
        <v>0</v>
      </c>
      <c r="J91" s="110">
        <f t="shared" si="9"/>
        <v>0</v>
      </c>
      <c r="K91" s="80">
        <f t="shared" si="10"/>
        <v>0</v>
      </c>
      <c r="L91" s="640">
        <f t="shared" si="11"/>
        <v>0</v>
      </c>
      <c r="M91" s="641">
        <f t="shared" si="12"/>
        <v>0</v>
      </c>
      <c r="N91" s="91">
        <f t="shared" si="13"/>
        <v>0</v>
      </c>
      <c r="O91" s="81">
        <f t="shared" si="14"/>
        <v>0</v>
      </c>
      <c r="P91" s="95">
        <f t="shared" si="15"/>
        <v>0</v>
      </c>
      <c r="Q91" s="91">
        <v>5</v>
      </c>
      <c r="R91" s="866">
        <f t="shared" si="50"/>
        <v>0</v>
      </c>
      <c r="S91" s="867">
        <f t="shared" si="51"/>
        <v>0</v>
      </c>
      <c r="T91" s="867">
        <f t="shared" si="41"/>
        <v>0</v>
      </c>
      <c r="U91" s="867">
        <f t="shared" si="41"/>
        <v>0</v>
      </c>
      <c r="V91" s="668">
        <f t="shared" si="42"/>
        <v>0</v>
      </c>
      <c r="W91" s="884">
        <f t="shared" si="43"/>
        <v>0</v>
      </c>
      <c r="X91" s="867">
        <f t="shared" si="44"/>
        <v>0</v>
      </c>
      <c r="Y91" s="867">
        <f t="shared" si="44"/>
        <v>0</v>
      </c>
      <c r="Z91" s="867">
        <f t="shared" si="45"/>
        <v>0</v>
      </c>
      <c r="AA91" s="867">
        <f t="shared" si="46"/>
        <v>0</v>
      </c>
      <c r="AB91" s="885">
        <f t="shared" si="47"/>
        <v>0</v>
      </c>
      <c r="AC91" s="110">
        <f t="shared" si="6"/>
        <v>0</v>
      </c>
      <c r="AD91" s="79">
        <f>AD90</f>
        <v>0</v>
      </c>
      <c r="AE91" s="902">
        <f t="shared" si="55"/>
        <v>12.27</v>
      </c>
      <c r="AF91" s="903">
        <f t="shared" si="55"/>
        <v>11.370000000000001</v>
      </c>
      <c r="AG91" s="903">
        <f t="shared" si="55"/>
        <v>10.73</v>
      </c>
      <c r="AH91" s="870">
        <f t="shared" si="27"/>
        <v>0.85</v>
      </c>
      <c r="AI91" s="868">
        <f t="shared" si="28"/>
        <v>0.5</v>
      </c>
      <c r="AJ91" s="868">
        <f t="shared" si="29"/>
        <v>0.2</v>
      </c>
      <c r="AK91" s="1082">
        <f t="shared" si="30"/>
        <v>3000</v>
      </c>
      <c r="AL91" s="913">
        <f t="shared" si="55"/>
        <v>69799</v>
      </c>
      <c r="AM91" s="914">
        <f t="shared" si="55"/>
        <v>174799</v>
      </c>
      <c r="AN91" s="905">
        <f t="shared" si="55"/>
        <v>254089</v>
      </c>
      <c r="AO91" s="905">
        <f t="shared" si="55"/>
        <v>344089</v>
      </c>
      <c r="AP91" s="905">
        <f t="shared" si="31"/>
        <v>354089</v>
      </c>
      <c r="AQ91" s="913">
        <f t="shared" si="55"/>
        <v>189799</v>
      </c>
      <c r="AR91" s="907">
        <f t="shared" si="55"/>
        <v>10622</v>
      </c>
      <c r="AS91" s="777">
        <f t="shared" si="32"/>
        <v>4</v>
      </c>
      <c r="AT91" s="782">
        <f t="shared" si="33"/>
        <v>8</v>
      </c>
      <c r="AU91" s="690">
        <f t="shared" si="34"/>
        <v>24</v>
      </c>
      <c r="AV91" s="777">
        <f t="shared" si="35"/>
        <v>0</v>
      </c>
      <c r="AW91" s="782">
        <f t="shared" si="36"/>
        <v>18</v>
      </c>
      <c r="AX91" s="782">
        <f t="shared" si="37"/>
        <v>36</v>
      </c>
      <c r="AY91" s="782">
        <f t="shared" si="38"/>
        <v>50</v>
      </c>
      <c r="AZ91" s="690">
        <f t="shared" si="39"/>
        <v>12</v>
      </c>
      <c r="BC91" s="12"/>
      <c r="BF91" s="12"/>
      <c r="BG91" s="12"/>
      <c r="BH91" s="12"/>
      <c r="BI91" s="12"/>
      <c r="BJ91" s="12"/>
    </row>
    <row r="92" spans="1:62" x14ac:dyDescent="0.25">
      <c r="AQ92" s="27"/>
      <c r="AR92" s="27"/>
      <c r="AS92" s="27"/>
      <c r="AT92" s="27"/>
      <c r="AU92" s="27"/>
    </row>
    <row r="93" spans="1:62" x14ac:dyDescent="0.25">
      <c r="AQ93" s="27"/>
      <c r="AR93" s="27"/>
      <c r="AS93" s="27"/>
      <c r="AT93" s="27"/>
      <c r="AU93" s="27"/>
    </row>
    <row r="94" spans="1:62" x14ac:dyDescent="0.25">
      <c r="AQ94" s="27"/>
      <c r="AR94" s="27"/>
      <c r="AS94" s="27"/>
      <c r="AT94" s="27"/>
      <c r="AU94" s="27"/>
    </row>
    <row r="95" spans="1:62" x14ac:dyDescent="0.25">
      <c r="AQ95" s="27"/>
      <c r="AR95" s="27"/>
      <c r="AS95" s="27"/>
      <c r="AT95" s="27"/>
      <c r="AU95" s="27"/>
    </row>
    <row r="96" spans="1:62" x14ac:dyDescent="0.25">
      <c r="AQ96" s="27"/>
      <c r="AR96" s="27"/>
      <c r="AS96" s="27"/>
      <c r="AT96" s="27"/>
      <c r="AU96" s="27"/>
    </row>
    <row r="97" spans="43:47" x14ac:dyDescent="0.25">
      <c r="AQ97" s="27"/>
      <c r="AR97" s="27"/>
      <c r="AS97" s="27"/>
      <c r="AT97" s="27"/>
      <c r="AU97" s="27"/>
    </row>
    <row r="98" spans="43:47" x14ac:dyDescent="0.25">
      <c r="AQ98" s="27"/>
      <c r="AR98" s="27"/>
      <c r="AS98" s="27"/>
      <c r="AT98" s="27"/>
      <c r="AU98" s="27"/>
    </row>
    <row r="99" spans="43:47" x14ac:dyDescent="0.25">
      <c r="AQ99" s="27"/>
      <c r="AR99" s="27"/>
      <c r="AS99" s="27"/>
      <c r="AT99" s="27"/>
      <c r="AU99" s="27"/>
    </row>
    <row r="100" spans="43:47" x14ac:dyDescent="0.25">
      <c r="AQ100" s="27"/>
      <c r="AR100" s="27"/>
      <c r="AS100" s="27"/>
      <c r="AT100" s="27"/>
      <c r="AU100" s="27"/>
    </row>
    <row r="101" spans="43:47" x14ac:dyDescent="0.25">
      <c r="AQ101" s="27"/>
      <c r="AR101" s="27"/>
      <c r="AS101" s="27"/>
      <c r="AT101" s="27"/>
      <c r="AU101" s="27"/>
    </row>
    <row r="102" spans="43:47" x14ac:dyDescent="0.25">
      <c r="AQ102" s="27"/>
      <c r="AR102" s="27"/>
      <c r="AS102" s="27"/>
      <c r="AT102" s="27"/>
      <c r="AU102" s="27"/>
    </row>
    <row r="103" spans="43:47" x14ac:dyDescent="0.25">
      <c r="AQ103" s="27"/>
      <c r="AR103" s="27"/>
      <c r="AS103" s="27"/>
      <c r="AT103" s="27"/>
      <c r="AU103" s="27"/>
    </row>
    <row r="104" spans="43:47" x14ac:dyDescent="0.25">
      <c r="AQ104" s="27"/>
      <c r="AR104" s="27"/>
      <c r="AS104" s="27"/>
      <c r="AT104" s="27"/>
      <c r="AU104" s="27"/>
    </row>
    <row r="105" spans="43:47" x14ac:dyDescent="0.25">
      <c r="AQ105" s="27"/>
      <c r="AR105" s="27"/>
      <c r="AS105" s="27"/>
      <c r="AT105" s="27"/>
      <c r="AU105" s="27"/>
    </row>
    <row r="106" spans="43:47" x14ac:dyDescent="0.25">
      <c r="AQ106" s="27"/>
      <c r="AR106" s="27"/>
      <c r="AS106" s="27"/>
      <c r="AT106" s="27"/>
      <c r="AU106" s="27"/>
    </row>
    <row r="107" spans="43:47" x14ac:dyDescent="0.25">
      <c r="AQ107" s="27"/>
      <c r="AR107" s="27"/>
      <c r="AS107" s="27"/>
      <c r="AT107" s="27"/>
      <c r="AU107" s="27"/>
    </row>
    <row r="108" spans="43:47" x14ac:dyDescent="0.25">
      <c r="AQ108" s="27"/>
      <c r="AR108" s="27"/>
      <c r="AS108" s="27"/>
      <c r="AT108" s="27"/>
      <c r="AU108" s="27"/>
    </row>
    <row r="109" spans="43:47" x14ac:dyDescent="0.25">
      <c r="AQ109" s="27"/>
      <c r="AR109" s="27"/>
      <c r="AS109" s="27"/>
      <c r="AT109" s="27"/>
      <c r="AU109" s="27"/>
    </row>
    <row r="110" spans="43:47" x14ac:dyDescent="0.25">
      <c r="AQ110" s="27"/>
      <c r="AR110" s="27"/>
      <c r="AS110" s="27"/>
      <c r="AT110" s="27"/>
      <c r="AU110" s="27"/>
    </row>
    <row r="111" spans="43:47" x14ac:dyDescent="0.25">
      <c r="AQ111" s="27"/>
      <c r="AR111" s="27"/>
      <c r="AS111" s="27"/>
      <c r="AT111" s="27"/>
      <c r="AU111" s="27"/>
    </row>
    <row r="112" spans="43:47" x14ac:dyDescent="0.25">
      <c r="AQ112" s="27"/>
      <c r="AR112" s="27"/>
      <c r="AS112" s="27"/>
      <c r="AT112" s="27"/>
      <c r="AU112" s="27"/>
    </row>
    <row r="113" spans="43:47" x14ac:dyDescent="0.25">
      <c r="AQ113" s="27"/>
      <c r="AR113" s="27"/>
      <c r="AS113" s="27"/>
      <c r="AT113" s="27"/>
      <c r="AU113" s="27"/>
    </row>
    <row r="114" spans="43:47" x14ac:dyDescent="0.25">
      <c r="AQ114" s="27"/>
      <c r="AR114" s="27"/>
      <c r="AS114" s="27"/>
      <c r="AT114" s="27"/>
      <c r="AU114" s="27"/>
    </row>
    <row r="115" spans="43:47" x14ac:dyDescent="0.25">
      <c r="AQ115" s="27"/>
      <c r="AR115" s="27"/>
      <c r="AS115" s="27"/>
      <c r="AT115" s="27"/>
      <c r="AU115" s="27"/>
    </row>
    <row r="116" spans="43:47" x14ac:dyDescent="0.25">
      <c r="AQ116" s="27"/>
      <c r="AR116" s="27"/>
      <c r="AS116" s="27"/>
      <c r="AT116" s="27"/>
      <c r="AU116" s="27"/>
    </row>
    <row r="117" spans="43:47" x14ac:dyDescent="0.25">
      <c r="AQ117" s="27"/>
      <c r="AR117" s="27"/>
      <c r="AS117" s="27"/>
      <c r="AT117" s="27"/>
      <c r="AU117" s="27"/>
    </row>
    <row r="118" spans="43:47" x14ac:dyDescent="0.25">
      <c r="AQ118" s="27"/>
      <c r="AR118" s="27"/>
      <c r="AS118" s="27"/>
      <c r="AT118" s="27"/>
      <c r="AU118" s="27"/>
    </row>
    <row r="119" spans="43:47" x14ac:dyDescent="0.25">
      <c r="AQ119" s="27"/>
      <c r="AR119" s="27"/>
      <c r="AS119" s="27"/>
      <c r="AT119" s="27"/>
      <c r="AU119" s="27"/>
    </row>
    <row r="120" spans="43:47" x14ac:dyDescent="0.25">
      <c r="AQ120" s="27"/>
      <c r="AR120" s="27"/>
      <c r="AS120" s="27"/>
      <c r="AT120" s="27"/>
      <c r="AU120" s="27"/>
    </row>
    <row r="121" spans="43:47" x14ac:dyDescent="0.25">
      <c r="AQ121" s="27"/>
      <c r="AR121" s="27"/>
      <c r="AS121" s="27"/>
      <c r="AT121" s="27"/>
      <c r="AU121" s="27"/>
    </row>
    <row r="122" spans="43:47" x14ac:dyDescent="0.25">
      <c r="AQ122" s="27"/>
      <c r="AR122" s="27"/>
      <c r="AS122" s="27"/>
      <c r="AT122" s="27"/>
      <c r="AU122" s="27"/>
    </row>
    <row r="123" spans="43:47" x14ac:dyDescent="0.25">
      <c r="AQ123" s="27"/>
      <c r="AR123" s="27"/>
      <c r="AS123" s="27"/>
      <c r="AT123" s="27"/>
      <c r="AU123" s="27"/>
    </row>
    <row r="124" spans="43:47" x14ac:dyDescent="0.25">
      <c r="AQ124" s="27"/>
      <c r="AR124" s="27"/>
      <c r="AS124" s="27"/>
      <c r="AT124" s="27"/>
      <c r="AU124" s="27"/>
    </row>
    <row r="125" spans="43:47" x14ac:dyDescent="0.25">
      <c r="AQ125" s="27"/>
      <c r="AR125" s="27"/>
      <c r="AS125" s="27"/>
      <c r="AT125" s="27"/>
      <c r="AU125" s="27"/>
    </row>
    <row r="126" spans="43:47" x14ac:dyDescent="0.25">
      <c r="AQ126" s="27"/>
      <c r="AR126" s="27"/>
      <c r="AS126" s="27"/>
      <c r="AT126" s="27"/>
      <c r="AU126" s="27"/>
    </row>
    <row r="127" spans="43:47" x14ac:dyDescent="0.25">
      <c r="AQ127" s="27"/>
      <c r="AR127" s="27"/>
      <c r="AS127" s="27"/>
      <c r="AT127" s="27"/>
      <c r="AU127" s="27"/>
    </row>
    <row r="128" spans="43:47" x14ac:dyDescent="0.25">
      <c r="AQ128" s="27"/>
      <c r="AR128" s="27"/>
      <c r="AS128" s="27"/>
      <c r="AT128" s="27"/>
      <c r="AU128" s="27"/>
    </row>
    <row r="129" spans="43:47" x14ac:dyDescent="0.25">
      <c r="AQ129" s="27"/>
      <c r="AR129" s="27"/>
      <c r="AS129" s="27"/>
      <c r="AT129" s="27"/>
      <c r="AU129" s="27"/>
    </row>
    <row r="130" spans="43:47" x14ac:dyDescent="0.25">
      <c r="AQ130" s="27"/>
      <c r="AR130" s="27"/>
      <c r="AS130" s="27"/>
      <c r="AT130" s="27"/>
      <c r="AU130" s="27"/>
    </row>
    <row r="131" spans="43:47" x14ac:dyDescent="0.25">
      <c r="AQ131" s="27"/>
      <c r="AR131" s="27"/>
      <c r="AS131" s="27"/>
      <c r="AT131" s="27"/>
      <c r="AU131" s="27"/>
    </row>
    <row r="132" spans="43:47" x14ac:dyDescent="0.25">
      <c r="AQ132" s="27"/>
      <c r="AR132" s="27"/>
      <c r="AS132" s="27"/>
      <c r="AT132" s="27"/>
      <c r="AU132" s="27"/>
    </row>
    <row r="133" spans="43:47" x14ac:dyDescent="0.25">
      <c r="AQ133" s="27"/>
      <c r="AR133" s="27"/>
      <c r="AS133" s="27"/>
      <c r="AT133" s="27"/>
      <c r="AU133" s="27"/>
    </row>
    <row r="134" spans="43:47" x14ac:dyDescent="0.25">
      <c r="AQ134" s="27"/>
      <c r="AR134" s="27"/>
      <c r="AS134" s="27"/>
      <c r="AT134" s="27"/>
      <c r="AU134" s="27"/>
    </row>
    <row r="135" spans="43:47" x14ac:dyDescent="0.25">
      <c r="AQ135" s="27"/>
      <c r="AR135" s="27"/>
      <c r="AS135" s="27"/>
      <c r="AT135" s="27"/>
      <c r="AU135" s="27"/>
    </row>
    <row r="136" spans="43:47" x14ac:dyDescent="0.25">
      <c r="AQ136" s="27"/>
      <c r="AR136" s="27"/>
      <c r="AS136" s="27"/>
      <c r="AT136" s="27"/>
      <c r="AU136" s="27"/>
    </row>
    <row r="137" spans="43:47" x14ac:dyDescent="0.25">
      <c r="AQ137" s="27"/>
      <c r="AR137" s="27"/>
      <c r="AS137" s="27"/>
      <c r="AT137" s="27"/>
      <c r="AU137" s="27"/>
    </row>
    <row r="138" spans="43:47" x14ac:dyDescent="0.25">
      <c r="AQ138" s="27"/>
      <c r="AR138" s="27"/>
      <c r="AS138" s="27"/>
      <c r="AT138" s="27"/>
      <c r="AU138" s="27"/>
    </row>
    <row r="139" spans="43:47" x14ac:dyDescent="0.25">
      <c r="AQ139" s="27"/>
      <c r="AR139" s="27"/>
      <c r="AS139" s="27"/>
      <c r="AT139" s="27"/>
      <c r="AU139" s="27"/>
    </row>
    <row r="140" spans="43:47" x14ac:dyDescent="0.25">
      <c r="AQ140" s="27"/>
      <c r="AR140" s="27"/>
      <c r="AS140" s="27"/>
      <c r="AT140" s="27"/>
      <c r="AU140" s="27"/>
    </row>
    <row r="141" spans="43:47" x14ac:dyDescent="0.25">
      <c r="AQ141" s="27"/>
      <c r="AR141" s="27"/>
      <c r="AS141" s="27"/>
      <c r="AT141" s="27"/>
      <c r="AU141" s="27"/>
    </row>
    <row r="142" spans="43:47" x14ac:dyDescent="0.25">
      <c r="AQ142" s="27"/>
      <c r="AR142" s="27"/>
      <c r="AS142" s="27"/>
      <c r="AT142" s="27"/>
      <c r="AU142" s="27"/>
    </row>
    <row r="143" spans="43:47" x14ac:dyDescent="0.25">
      <c r="AQ143" s="27"/>
      <c r="AR143" s="27"/>
      <c r="AS143" s="27"/>
      <c r="AT143" s="27"/>
      <c r="AU143" s="27"/>
    </row>
    <row r="144" spans="43:47" x14ac:dyDescent="0.25">
      <c r="AQ144" s="27"/>
      <c r="AR144" s="27"/>
      <c r="AS144" s="27"/>
      <c r="AT144" s="27"/>
      <c r="AU144" s="27"/>
    </row>
    <row r="145" spans="43:47" x14ac:dyDescent="0.25">
      <c r="AQ145" s="27"/>
      <c r="AR145" s="27"/>
      <c r="AS145" s="27"/>
      <c r="AT145" s="27"/>
      <c r="AU145" s="27"/>
    </row>
    <row r="146" spans="43:47" x14ac:dyDescent="0.25">
      <c r="AQ146" s="27"/>
      <c r="AR146" s="27"/>
      <c r="AS146" s="27"/>
      <c r="AT146" s="27"/>
      <c r="AU146" s="27"/>
    </row>
    <row r="147" spans="43:47" x14ac:dyDescent="0.25">
      <c r="AQ147" s="27"/>
      <c r="AR147" s="27"/>
      <c r="AS147" s="27"/>
      <c r="AT147" s="27"/>
      <c r="AU147" s="27"/>
    </row>
    <row r="148" spans="43:47" x14ac:dyDescent="0.25">
      <c r="AQ148" s="27"/>
      <c r="AR148" s="27"/>
      <c r="AS148" s="27"/>
      <c r="AT148" s="27"/>
      <c r="AU148" s="27"/>
    </row>
    <row r="149" spans="43:47" x14ac:dyDescent="0.25">
      <c r="AQ149" s="27"/>
      <c r="AR149" s="27"/>
      <c r="AS149" s="27"/>
      <c r="AT149" s="27"/>
      <c r="AU149" s="27"/>
    </row>
    <row r="150" spans="43:47" x14ac:dyDescent="0.25">
      <c r="AQ150" s="27"/>
      <c r="AR150" s="27"/>
      <c r="AS150" s="27"/>
      <c r="AT150" s="27"/>
      <c r="AU150" s="27"/>
    </row>
    <row r="151" spans="43:47" x14ac:dyDescent="0.25">
      <c r="AQ151" s="27"/>
      <c r="AR151" s="27"/>
      <c r="AS151" s="27"/>
      <c r="AT151" s="27"/>
      <c r="AU151" s="27"/>
    </row>
    <row r="152" spans="43:47" x14ac:dyDescent="0.25">
      <c r="AQ152" s="27"/>
      <c r="AR152" s="27"/>
      <c r="AS152" s="27"/>
      <c r="AT152" s="27"/>
      <c r="AU152" s="27"/>
    </row>
    <row r="153" spans="43:47" x14ac:dyDescent="0.25">
      <c r="AQ153" s="27"/>
      <c r="AR153" s="27"/>
      <c r="AS153" s="27"/>
      <c r="AT153" s="27"/>
      <c r="AU153" s="27"/>
    </row>
    <row r="154" spans="43:47" x14ac:dyDescent="0.25">
      <c r="AQ154" s="27"/>
      <c r="AR154" s="27"/>
      <c r="AS154" s="27"/>
      <c r="AT154" s="27"/>
      <c r="AU154" s="27"/>
    </row>
    <row r="155" spans="43:47" x14ac:dyDescent="0.25">
      <c r="AQ155" s="27"/>
      <c r="AR155" s="27"/>
      <c r="AS155" s="27"/>
      <c r="AT155" s="27"/>
      <c r="AU155" s="27"/>
    </row>
    <row r="156" spans="43:47" x14ac:dyDescent="0.25">
      <c r="AQ156" s="27"/>
      <c r="AR156" s="27"/>
      <c r="AS156" s="27"/>
      <c r="AT156" s="27"/>
      <c r="AU156" s="27"/>
    </row>
    <row r="157" spans="43:47" x14ac:dyDescent="0.25">
      <c r="AQ157" s="27"/>
      <c r="AR157" s="27"/>
      <c r="AS157" s="27"/>
      <c r="AT157" s="27"/>
      <c r="AU157" s="27"/>
    </row>
    <row r="158" spans="43:47" x14ac:dyDescent="0.25">
      <c r="AQ158" s="27"/>
      <c r="AR158" s="27"/>
      <c r="AS158" s="27"/>
      <c r="AT158" s="27"/>
      <c r="AU158" s="27"/>
    </row>
    <row r="159" spans="43:47" x14ac:dyDescent="0.25">
      <c r="AQ159" s="27"/>
      <c r="AR159" s="27"/>
      <c r="AS159" s="27"/>
      <c r="AT159" s="27"/>
      <c r="AU159" s="27"/>
    </row>
    <row r="160" spans="43:47" x14ac:dyDescent="0.25">
      <c r="AQ160" s="27"/>
      <c r="AR160" s="27"/>
      <c r="AS160" s="27"/>
      <c r="AT160" s="27"/>
      <c r="AU160" s="27"/>
    </row>
    <row r="161" spans="43:47" x14ac:dyDescent="0.25">
      <c r="AQ161" s="27"/>
      <c r="AR161" s="27"/>
      <c r="AS161" s="27"/>
      <c r="AT161" s="27"/>
      <c r="AU161" s="27"/>
    </row>
    <row r="162" spans="43:47" x14ac:dyDescent="0.25">
      <c r="AQ162" s="27"/>
      <c r="AR162" s="27"/>
      <c r="AS162" s="27"/>
      <c r="AT162" s="27"/>
      <c r="AU162" s="27"/>
    </row>
    <row r="163" spans="43:47" x14ac:dyDescent="0.25">
      <c r="AQ163" s="27"/>
      <c r="AR163" s="27"/>
      <c r="AS163" s="27"/>
      <c r="AT163" s="27"/>
      <c r="AU163" s="27"/>
    </row>
    <row r="164" spans="43:47" x14ac:dyDescent="0.25">
      <c r="AQ164" s="27"/>
      <c r="AR164" s="27"/>
      <c r="AS164" s="27"/>
      <c r="AT164" s="27"/>
      <c r="AU164" s="27"/>
    </row>
    <row r="165" spans="43:47" x14ac:dyDescent="0.25">
      <c r="AQ165" s="27"/>
      <c r="AR165" s="27"/>
      <c r="AS165" s="27"/>
      <c r="AT165" s="27"/>
      <c r="AU165" s="27"/>
    </row>
    <row r="166" spans="43:47" x14ac:dyDescent="0.25">
      <c r="AQ166" s="27"/>
      <c r="AR166" s="27"/>
      <c r="AS166" s="27"/>
      <c r="AT166" s="27"/>
      <c r="AU166" s="27"/>
    </row>
    <row r="167" spans="43:47" x14ac:dyDescent="0.25">
      <c r="AQ167" s="27"/>
      <c r="AR167" s="27"/>
      <c r="AS167" s="27"/>
      <c r="AT167" s="27"/>
      <c r="AU167" s="27"/>
    </row>
    <row r="168" spans="43:47" x14ac:dyDescent="0.25">
      <c r="AQ168" s="27"/>
      <c r="AR168" s="27"/>
      <c r="AS168" s="27"/>
      <c r="AT168" s="27"/>
      <c r="AU168" s="27"/>
    </row>
    <row r="169" spans="43:47" x14ac:dyDescent="0.25">
      <c r="AQ169" s="27"/>
      <c r="AR169" s="27"/>
      <c r="AS169" s="27"/>
      <c r="AT169" s="27"/>
      <c r="AU169" s="27"/>
    </row>
    <row r="170" spans="43:47" x14ac:dyDescent="0.25">
      <c r="AQ170" s="27"/>
      <c r="AR170" s="27"/>
      <c r="AS170" s="27"/>
      <c r="AT170" s="27"/>
      <c r="AU170" s="27"/>
    </row>
    <row r="171" spans="43:47" x14ac:dyDescent="0.25">
      <c r="AQ171" s="27"/>
      <c r="AR171" s="27"/>
      <c r="AS171" s="27"/>
      <c r="AT171" s="27"/>
      <c r="AU171" s="27"/>
    </row>
    <row r="172" spans="43:47" x14ac:dyDescent="0.25">
      <c r="AQ172" s="27"/>
      <c r="AR172" s="27"/>
      <c r="AS172" s="27"/>
      <c r="AT172" s="27"/>
      <c r="AU172" s="27"/>
    </row>
    <row r="173" spans="43:47" x14ac:dyDescent="0.25">
      <c r="AQ173" s="27"/>
      <c r="AR173" s="27"/>
      <c r="AS173" s="27"/>
      <c r="AT173" s="27"/>
      <c r="AU173" s="27"/>
    </row>
    <row r="174" spans="43:47" x14ac:dyDescent="0.25">
      <c r="AQ174" s="27"/>
      <c r="AR174" s="27"/>
      <c r="AS174" s="27"/>
      <c r="AT174" s="27"/>
      <c r="AU174" s="27"/>
    </row>
    <row r="175" spans="43:47" x14ac:dyDescent="0.25">
      <c r="AQ175" s="27"/>
      <c r="AR175" s="27"/>
      <c r="AS175" s="27"/>
      <c r="AT175" s="27"/>
      <c r="AU175" s="27"/>
    </row>
    <row r="176" spans="43:47" x14ac:dyDescent="0.25">
      <c r="AQ176" s="27"/>
      <c r="AR176" s="27"/>
      <c r="AS176" s="27"/>
      <c r="AT176" s="27"/>
      <c r="AU176" s="27"/>
    </row>
    <row r="177" spans="43:47" x14ac:dyDescent="0.25">
      <c r="AQ177" s="27"/>
      <c r="AR177" s="27"/>
      <c r="AS177" s="27"/>
      <c r="AT177" s="27"/>
      <c r="AU177" s="27"/>
    </row>
    <row r="178" spans="43:47" x14ac:dyDescent="0.25">
      <c r="AQ178" s="27"/>
      <c r="AR178" s="27"/>
      <c r="AS178" s="27"/>
      <c r="AT178" s="27"/>
      <c r="AU178" s="27"/>
    </row>
    <row r="179" spans="43:47" x14ac:dyDescent="0.25">
      <c r="AQ179" s="27"/>
      <c r="AR179" s="27"/>
      <c r="AS179" s="27"/>
      <c r="AT179" s="27"/>
      <c r="AU179" s="27"/>
    </row>
    <row r="180" spans="43:47" x14ac:dyDescent="0.25">
      <c r="AQ180" s="27"/>
      <c r="AR180" s="27"/>
      <c r="AS180" s="27"/>
      <c r="AT180" s="27"/>
      <c r="AU180" s="27"/>
    </row>
    <row r="181" spans="43:47" x14ac:dyDescent="0.25">
      <c r="AQ181" s="27"/>
      <c r="AR181" s="27"/>
      <c r="AS181" s="27"/>
      <c r="AT181" s="27"/>
      <c r="AU181" s="27"/>
    </row>
    <row r="182" spans="43:47" x14ac:dyDescent="0.25">
      <c r="AQ182" s="27"/>
      <c r="AR182" s="27"/>
      <c r="AS182" s="27"/>
      <c r="AT182" s="27"/>
      <c r="AU182" s="27"/>
    </row>
    <row r="183" spans="43:47" x14ac:dyDescent="0.25">
      <c r="AQ183" s="27"/>
      <c r="AR183" s="27"/>
      <c r="AS183" s="27"/>
      <c r="AT183" s="27"/>
      <c r="AU183" s="27"/>
    </row>
    <row r="184" spans="43:47" x14ac:dyDescent="0.25">
      <c r="AQ184" s="27"/>
      <c r="AR184" s="27"/>
      <c r="AS184" s="27"/>
      <c r="AT184" s="27"/>
      <c r="AU184" s="27"/>
    </row>
    <row r="185" spans="43:47" x14ac:dyDescent="0.25">
      <c r="AQ185" s="27"/>
      <c r="AR185" s="27"/>
      <c r="AS185" s="27"/>
      <c r="AT185" s="27"/>
      <c r="AU185" s="27"/>
    </row>
    <row r="186" spans="43:47" x14ac:dyDescent="0.25">
      <c r="AQ186" s="27"/>
      <c r="AR186" s="27"/>
      <c r="AS186" s="27"/>
      <c r="AT186" s="27"/>
      <c r="AU186" s="27"/>
    </row>
    <row r="187" spans="43:47" x14ac:dyDescent="0.25">
      <c r="AQ187" s="27"/>
      <c r="AR187" s="27"/>
      <c r="AS187" s="27"/>
      <c r="AT187" s="27"/>
      <c r="AU187" s="27"/>
    </row>
    <row r="188" spans="43:47" x14ac:dyDescent="0.25">
      <c r="AQ188" s="27"/>
      <c r="AR188" s="27"/>
      <c r="AS188" s="27"/>
      <c r="AT188" s="27"/>
      <c r="AU188" s="27"/>
    </row>
    <row r="189" spans="43:47" x14ac:dyDescent="0.25">
      <c r="AQ189" s="27"/>
      <c r="AR189" s="27"/>
      <c r="AS189" s="27"/>
      <c r="AT189" s="27"/>
      <c r="AU189" s="27"/>
    </row>
    <row r="190" spans="43:47" x14ac:dyDescent="0.25">
      <c r="AQ190" s="27"/>
      <c r="AR190" s="27"/>
      <c r="AS190" s="27"/>
      <c r="AT190" s="27"/>
      <c r="AU190" s="27"/>
    </row>
    <row r="191" spans="43:47" x14ac:dyDescent="0.25">
      <c r="AQ191" s="27"/>
      <c r="AR191" s="27"/>
      <c r="AS191" s="27"/>
      <c r="AT191" s="27"/>
      <c r="AU191" s="27"/>
    </row>
    <row r="192" spans="43:47" x14ac:dyDescent="0.25">
      <c r="AQ192" s="27"/>
      <c r="AR192" s="27"/>
      <c r="AS192" s="27"/>
      <c r="AT192" s="27"/>
      <c r="AU192" s="27"/>
    </row>
    <row r="193" spans="43:47" x14ac:dyDescent="0.25">
      <c r="AQ193" s="27"/>
      <c r="AR193" s="27"/>
      <c r="AS193" s="27"/>
      <c r="AT193" s="27"/>
      <c r="AU193" s="27"/>
    </row>
    <row r="194" spans="43:47" x14ac:dyDescent="0.25">
      <c r="AQ194" s="27"/>
      <c r="AR194" s="27"/>
      <c r="AS194" s="27"/>
      <c r="AT194" s="27"/>
      <c r="AU194" s="27"/>
    </row>
    <row r="195" spans="43:47" x14ac:dyDescent="0.25">
      <c r="AQ195" s="27"/>
      <c r="AR195" s="27"/>
      <c r="AS195" s="27"/>
      <c r="AT195" s="27"/>
      <c r="AU195" s="27"/>
    </row>
    <row r="196" spans="43:47" x14ac:dyDescent="0.25">
      <c r="AQ196" s="27"/>
      <c r="AR196" s="27"/>
      <c r="AS196" s="27"/>
      <c r="AT196" s="27"/>
      <c r="AU196" s="27"/>
    </row>
    <row r="197" spans="43:47" x14ac:dyDescent="0.25">
      <c r="AQ197" s="27"/>
      <c r="AR197" s="27"/>
      <c r="AS197" s="27"/>
      <c r="AT197" s="27"/>
      <c r="AU197" s="27"/>
    </row>
    <row r="198" spans="43:47" x14ac:dyDescent="0.25">
      <c r="AQ198" s="27"/>
      <c r="AR198" s="27"/>
      <c r="AS198" s="27"/>
      <c r="AT198" s="27"/>
      <c r="AU198" s="27"/>
    </row>
    <row r="199" spans="43:47" x14ac:dyDescent="0.25">
      <c r="AQ199" s="27"/>
      <c r="AR199" s="27"/>
      <c r="AS199" s="27"/>
      <c r="AT199" s="27"/>
      <c r="AU199" s="27"/>
    </row>
    <row r="200" spans="43:47" x14ac:dyDescent="0.25">
      <c r="AQ200" s="27"/>
      <c r="AR200" s="27"/>
      <c r="AS200" s="27"/>
      <c r="AT200" s="27"/>
      <c r="AU200" s="27"/>
    </row>
    <row r="201" spans="43:47" x14ac:dyDescent="0.25">
      <c r="AQ201" s="27"/>
      <c r="AR201" s="27"/>
      <c r="AS201" s="27"/>
      <c r="AT201" s="27"/>
      <c r="AU201" s="27"/>
    </row>
    <row r="202" spans="43:47" x14ac:dyDescent="0.25">
      <c r="AQ202" s="27"/>
      <c r="AR202" s="27"/>
      <c r="AS202" s="27"/>
      <c r="AT202" s="27"/>
      <c r="AU202" s="27"/>
    </row>
    <row r="203" spans="43:47" x14ac:dyDescent="0.25">
      <c r="AQ203" s="27"/>
      <c r="AR203" s="27"/>
      <c r="AS203" s="27"/>
      <c r="AT203" s="27"/>
      <c r="AU203" s="27"/>
    </row>
    <row r="204" spans="43:47" x14ac:dyDescent="0.25">
      <c r="AQ204" s="27"/>
      <c r="AR204" s="27"/>
      <c r="AS204" s="27"/>
      <c r="AT204" s="27"/>
      <c r="AU204" s="27"/>
    </row>
    <row r="205" spans="43:47" x14ac:dyDescent="0.25">
      <c r="AQ205" s="27"/>
      <c r="AR205" s="27"/>
      <c r="AS205" s="27"/>
      <c r="AT205" s="27"/>
      <c r="AU205" s="27"/>
    </row>
    <row r="206" spans="43:47" x14ac:dyDescent="0.25">
      <c r="AQ206" s="27"/>
      <c r="AR206" s="27"/>
      <c r="AS206" s="27"/>
      <c r="AT206" s="27"/>
      <c r="AU206" s="27"/>
    </row>
    <row r="207" spans="43:47" x14ac:dyDescent="0.25">
      <c r="AQ207" s="27"/>
      <c r="AR207" s="27"/>
      <c r="AS207" s="27"/>
      <c r="AT207" s="27"/>
      <c r="AU207" s="27"/>
    </row>
    <row r="208" spans="43:47" x14ac:dyDescent="0.25">
      <c r="AQ208" s="27"/>
      <c r="AR208" s="27"/>
      <c r="AS208" s="27"/>
      <c r="AT208" s="27"/>
      <c r="AU208" s="27"/>
    </row>
    <row r="209" spans="43:47" x14ac:dyDescent="0.25">
      <c r="AQ209" s="27"/>
      <c r="AR209" s="27"/>
      <c r="AS209" s="27"/>
      <c r="AT209" s="27"/>
      <c r="AU209" s="27"/>
    </row>
    <row r="210" spans="43:47" x14ac:dyDescent="0.25">
      <c r="AQ210" s="27"/>
      <c r="AR210" s="27"/>
      <c r="AS210" s="27"/>
      <c r="AT210" s="27"/>
      <c r="AU210" s="27"/>
    </row>
    <row r="211" spans="43:47" x14ac:dyDescent="0.25">
      <c r="AQ211" s="27"/>
      <c r="AR211" s="27"/>
      <c r="AS211" s="27"/>
      <c r="AT211" s="27"/>
      <c r="AU211" s="27"/>
    </row>
    <row r="212" spans="43:47" x14ac:dyDescent="0.25">
      <c r="AQ212" s="27"/>
      <c r="AR212" s="27"/>
      <c r="AS212" s="27"/>
      <c r="AT212" s="27"/>
      <c r="AU212" s="27"/>
    </row>
    <row r="213" spans="43:47" x14ac:dyDescent="0.25">
      <c r="AQ213" s="27"/>
      <c r="AR213" s="27"/>
      <c r="AS213" s="27"/>
      <c r="AT213" s="27"/>
      <c r="AU213" s="27"/>
    </row>
    <row r="214" spans="43:47" x14ac:dyDescent="0.25">
      <c r="AQ214" s="27"/>
      <c r="AR214" s="27"/>
      <c r="AS214" s="27"/>
      <c r="AT214" s="27"/>
      <c r="AU214" s="27"/>
    </row>
    <row r="215" spans="43:47" x14ac:dyDescent="0.25">
      <c r="AQ215" s="27"/>
      <c r="AR215" s="27"/>
      <c r="AS215" s="27"/>
      <c r="AT215" s="27"/>
      <c r="AU215" s="27"/>
    </row>
    <row r="216" spans="43:47" x14ac:dyDescent="0.25">
      <c r="AQ216" s="27"/>
      <c r="AR216" s="27"/>
      <c r="AS216" s="27"/>
      <c r="AT216" s="27"/>
      <c r="AU216" s="27"/>
    </row>
    <row r="217" spans="43:47" x14ac:dyDescent="0.25">
      <c r="AQ217" s="27"/>
      <c r="AR217" s="27"/>
      <c r="AS217" s="27"/>
      <c r="AT217" s="27"/>
      <c r="AU217" s="27"/>
    </row>
    <row r="218" spans="43:47" x14ac:dyDescent="0.25">
      <c r="AQ218" s="27"/>
      <c r="AR218" s="27"/>
      <c r="AS218" s="27"/>
      <c r="AT218" s="27"/>
      <c r="AU218" s="27"/>
    </row>
    <row r="219" spans="43:47" x14ac:dyDescent="0.25">
      <c r="AQ219" s="27"/>
      <c r="AR219" s="27"/>
      <c r="AS219" s="27"/>
      <c r="AT219" s="27"/>
      <c r="AU219" s="27"/>
    </row>
    <row r="220" spans="43:47" x14ac:dyDescent="0.25">
      <c r="AQ220" s="27"/>
      <c r="AR220" s="27"/>
      <c r="AS220" s="27"/>
      <c r="AT220" s="27"/>
      <c r="AU220" s="27"/>
    </row>
    <row r="221" spans="43:47" x14ac:dyDescent="0.25">
      <c r="AQ221" s="27"/>
      <c r="AR221" s="27"/>
      <c r="AS221" s="27"/>
      <c r="AT221" s="27"/>
      <c r="AU221" s="27"/>
    </row>
    <row r="222" spans="43:47" x14ac:dyDescent="0.25">
      <c r="AQ222" s="27"/>
      <c r="AR222" s="27"/>
      <c r="AS222" s="27"/>
      <c r="AT222" s="27"/>
      <c r="AU222" s="27"/>
    </row>
    <row r="223" spans="43:47" x14ac:dyDescent="0.25">
      <c r="AQ223" s="27"/>
      <c r="AR223" s="27"/>
      <c r="AS223" s="27"/>
      <c r="AT223" s="27"/>
      <c r="AU223" s="27"/>
    </row>
    <row r="224" spans="43:47" x14ac:dyDescent="0.25">
      <c r="AQ224" s="27"/>
      <c r="AR224" s="27"/>
      <c r="AS224" s="27"/>
      <c r="AT224" s="27"/>
      <c r="AU224" s="27"/>
    </row>
    <row r="225" spans="43:47" x14ac:dyDescent="0.25">
      <c r="AQ225" s="27"/>
      <c r="AR225" s="27"/>
      <c r="AS225" s="27"/>
      <c r="AT225" s="27"/>
      <c r="AU225" s="27"/>
    </row>
    <row r="226" spans="43:47" x14ac:dyDescent="0.25">
      <c r="AQ226" s="27"/>
      <c r="AR226" s="27"/>
      <c r="AS226" s="27"/>
      <c r="AT226" s="27"/>
      <c r="AU226" s="27"/>
    </row>
    <row r="227" spans="43:47" x14ac:dyDescent="0.25">
      <c r="AQ227" s="27"/>
      <c r="AR227" s="27"/>
      <c r="AS227" s="27"/>
      <c r="AT227" s="27"/>
      <c r="AU227" s="27"/>
    </row>
    <row r="228" spans="43:47" x14ac:dyDescent="0.25">
      <c r="AQ228" s="27"/>
      <c r="AR228" s="27"/>
      <c r="AS228" s="27"/>
      <c r="AT228" s="27"/>
      <c r="AU228" s="27"/>
    </row>
    <row r="229" spans="43:47" x14ac:dyDescent="0.25">
      <c r="AQ229" s="27"/>
      <c r="AR229" s="27"/>
      <c r="AS229" s="27"/>
      <c r="AT229" s="27"/>
      <c r="AU229" s="27"/>
    </row>
    <row r="230" spans="43:47" x14ac:dyDescent="0.25">
      <c r="AQ230" s="27"/>
      <c r="AR230" s="27"/>
      <c r="AS230" s="27"/>
      <c r="AT230" s="27"/>
      <c r="AU230" s="27"/>
    </row>
    <row r="231" spans="43:47" x14ac:dyDescent="0.25">
      <c r="AQ231" s="27"/>
      <c r="AR231" s="27"/>
      <c r="AS231" s="27"/>
      <c r="AT231" s="27"/>
      <c r="AU231" s="27"/>
    </row>
    <row r="232" spans="43:47" x14ac:dyDescent="0.25">
      <c r="AQ232" s="27"/>
      <c r="AR232" s="27"/>
      <c r="AS232" s="27"/>
      <c r="AT232" s="27"/>
      <c r="AU232" s="27"/>
    </row>
    <row r="233" spans="43:47" x14ac:dyDescent="0.25">
      <c r="AQ233" s="27"/>
      <c r="AR233" s="27"/>
      <c r="AS233" s="27"/>
      <c r="AT233" s="27"/>
      <c r="AU233" s="27"/>
    </row>
    <row r="234" spans="43:47" x14ac:dyDescent="0.25">
      <c r="AQ234" s="27"/>
      <c r="AR234" s="27"/>
      <c r="AS234" s="27"/>
      <c r="AT234" s="27"/>
      <c r="AU234" s="27"/>
    </row>
    <row r="235" spans="43:47" x14ac:dyDescent="0.25">
      <c r="AQ235" s="27"/>
      <c r="AR235" s="27"/>
      <c r="AS235" s="27"/>
      <c r="AT235" s="27"/>
      <c r="AU235" s="27"/>
    </row>
    <row r="236" spans="43:47" x14ac:dyDescent="0.25">
      <c r="AQ236" s="27"/>
      <c r="AR236" s="27"/>
      <c r="AS236" s="27"/>
      <c r="AT236" s="27"/>
      <c r="AU236" s="27"/>
    </row>
    <row r="237" spans="43:47" x14ac:dyDescent="0.25">
      <c r="AQ237" s="27"/>
      <c r="AR237" s="27"/>
      <c r="AS237" s="27"/>
      <c r="AT237" s="27"/>
      <c r="AU237" s="27"/>
    </row>
    <row r="238" spans="43:47" x14ac:dyDescent="0.25">
      <c r="AQ238" s="27"/>
      <c r="AR238" s="27"/>
      <c r="AS238" s="27"/>
      <c r="AT238" s="27"/>
      <c r="AU238" s="27"/>
    </row>
    <row r="239" spans="43:47" x14ac:dyDescent="0.25">
      <c r="AQ239" s="27"/>
      <c r="AR239" s="27"/>
      <c r="AS239" s="27"/>
      <c r="AT239" s="27"/>
      <c r="AU239" s="27"/>
    </row>
    <row r="240" spans="43:47" x14ac:dyDescent="0.25">
      <c r="AQ240" s="27"/>
      <c r="AR240" s="27"/>
      <c r="AS240" s="27"/>
      <c r="AT240" s="27"/>
      <c r="AU240" s="27"/>
    </row>
    <row r="241" spans="43:47" x14ac:dyDescent="0.25">
      <c r="AQ241" s="27"/>
      <c r="AR241" s="27"/>
      <c r="AS241" s="27"/>
      <c r="AT241" s="27"/>
      <c r="AU241" s="27"/>
    </row>
    <row r="242" spans="43:47" x14ac:dyDescent="0.25">
      <c r="AQ242" s="27"/>
      <c r="AR242" s="27"/>
      <c r="AS242" s="27"/>
      <c r="AT242" s="27"/>
      <c r="AU242" s="27"/>
    </row>
    <row r="243" spans="43:47" x14ac:dyDescent="0.25">
      <c r="AQ243" s="27"/>
      <c r="AR243" s="27"/>
      <c r="AS243" s="27"/>
      <c r="AT243" s="27"/>
      <c r="AU243" s="27"/>
    </row>
    <row r="244" spans="43:47" x14ac:dyDescent="0.25">
      <c r="AQ244" s="27"/>
      <c r="AR244" s="27"/>
      <c r="AS244" s="27"/>
      <c r="AT244" s="27"/>
      <c r="AU244" s="27"/>
    </row>
    <row r="245" spans="43:47" x14ac:dyDescent="0.25">
      <c r="AQ245" s="27"/>
      <c r="AR245" s="27"/>
      <c r="AS245" s="27"/>
      <c r="AT245" s="27"/>
      <c r="AU245" s="27"/>
    </row>
    <row r="246" spans="43:47" x14ac:dyDescent="0.25">
      <c r="AQ246" s="27"/>
      <c r="AR246" s="27"/>
      <c r="AS246" s="27"/>
      <c r="AT246" s="27"/>
      <c r="AU246" s="27"/>
    </row>
    <row r="247" spans="43:47" x14ac:dyDescent="0.25">
      <c r="AQ247" s="27"/>
      <c r="AR247" s="27"/>
      <c r="AS247" s="27"/>
      <c r="AT247" s="27"/>
      <c r="AU247" s="27"/>
    </row>
    <row r="248" spans="43:47" x14ac:dyDescent="0.25">
      <c r="AQ248" s="27"/>
      <c r="AR248" s="27"/>
      <c r="AS248" s="27"/>
      <c r="AT248" s="27"/>
      <c r="AU248" s="27"/>
    </row>
    <row r="249" spans="43:47" x14ac:dyDescent="0.25">
      <c r="AQ249" s="27"/>
      <c r="AR249" s="27"/>
      <c r="AS249" s="27"/>
      <c r="AT249" s="27"/>
      <c r="AU249" s="27"/>
    </row>
    <row r="250" spans="43:47" x14ac:dyDescent="0.25">
      <c r="AQ250" s="27"/>
      <c r="AR250" s="27"/>
      <c r="AS250" s="27"/>
      <c r="AT250" s="27"/>
      <c r="AU250" s="27"/>
    </row>
    <row r="251" spans="43:47" x14ac:dyDescent="0.25">
      <c r="AQ251" s="27"/>
      <c r="AR251" s="27"/>
      <c r="AS251" s="27"/>
      <c r="AT251" s="27"/>
      <c r="AU251" s="27"/>
    </row>
    <row r="252" spans="43:47" x14ac:dyDescent="0.25">
      <c r="AQ252" s="27"/>
      <c r="AR252" s="27"/>
      <c r="AS252" s="27"/>
      <c r="AT252" s="27"/>
      <c r="AU252" s="27"/>
    </row>
    <row r="253" spans="43:47" x14ac:dyDescent="0.25">
      <c r="AQ253" s="27"/>
      <c r="AR253" s="27"/>
      <c r="AS253" s="27"/>
      <c r="AT253" s="27"/>
      <c r="AU253" s="27"/>
    </row>
    <row r="254" spans="43:47" x14ac:dyDescent="0.25">
      <c r="AQ254" s="27"/>
      <c r="AR254" s="27"/>
      <c r="AS254" s="27"/>
      <c r="AT254" s="27"/>
      <c r="AU254" s="27"/>
    </row>
    <row r="255" spans="43:47" x14ac:dyDescent="0.25">
      <c r="AQ255" s="27"/>
      <c r="AR255" s="27"/>
      <c r="AS255" s="27"/>
      <c r="AT255" s="27"/>
      <c r="AU255" s="27"/>
    </row>
    <row r="256" spans="43:47" x14ac:dyDescent="0.25">
      <c r="AQ256" s="27"/>
      <c r="AR256" s="27"/>
      <c r="AS256" s="27"/>
      <c r="AT256" s="27"/>
      <c r="AU256" s="27"/>
    </row>
    <row r="257" spans="43:47" x14ac:dyDescent="0.25">
      <c r="AQ257" s="27"/>
      <c r="AR257" s="27"/>
      <c r="AS257" s="27"/>
      <c r="AT257" s="27"/>
      <c r="AU257" s="27"/>
    </row>
    <row r="258" spans="43:47" x14ac:dyDescent="0.25">
      <c r="AQ258" s="27"/>
      <c r="AR258" s="27"/>
      <c r="AS258" s="27"/>
      <c r="AT258" s="27"/>
      <c r="AU258" s="27"/>
    </row>
    <row r="259" spans="43:47" x14ac:dyDescent="0.25">
      <c r="AQ259" s="27"/>
      <c r="AR259" s="27"/>
      <c r="AS259" s="27"/>
      <c r="AT259" s="27"/>
      <c r="AU259" s="27"/>
    </row>
    <row r="260" spans="43:47" x14ac:dyDescent="0.25">
      <c r="AQ260" s="27"/>
      <c r="AR260" s="27"/>
      <c r="AS260" s="27"/>
      <c r="AT260" s="27"/>
      <c r="AU260" s="27"/>
    </row>
    <row r="261" spans="43:47" x14ac:dyDescent="0.25">
      <c r="AQ261" s="27"/>
      <c r="AR261" s="27"/>
      <c r="AS261" s="27"/>
      <c r="AT261" s="27"/>
      <c r="AU261" s="27"/>
    </row>
    <row r="262" spans="43:47" x14ac:dyDescent="0.25">
      <c r="AQ262" s="27"/>
      <c r="AR262" s="27"/>
      <c r="AS262" s="27"/>
      <c r="AT262" s="27"/>
      <c r="AU262" s="27"/>
    </row>
    <row r="263" spans="43:47" x14ac:dyDescent="0.25">
      <c r="AQ263" s="27"/>
      <c r="AR263" s="27"/>
      <c r="AS263" s="27"/>
      <c r="AT263" s="27"/>
      <c r="AU263" s="27"/>
    </row>
    <row r="264" spans="43:47" x14ac:dyDescent="0.25">
      <c r="AQ264" s="27"/>
      <c r="AR264" s="27"/>
      <c r="AS264" s="27"/>
      <c r="AT264" s="27"/>
      <c r="AU264" s="27"/>
    </row>
    <row r="265" spans="43:47" x14ac:dyDescent="0.25">
      <c r="AQ265" s="27"/>
      <c r="AR265" s="27"/>
      <c r="AS265" s="27"/>
      <c r="AT265" s="27"/>
      <c r="AU265" s="27"/>
    </row>
    <row r="266" spans="43:47" x14ac:dyDescent="0.25">
      <c r="AQ266" s="27"/>
      <c r="AR266" s="27"/>
      <c r="AS266" s="27"/>
      <c r="AT266" s="27"/>
      <c r="AU266" s="27"/>
    </row>
    <row r="267" spans="43:47" x14ac:dyDescent="0.25">
      <c r="AQ267" s="27"/>
      <c r="AR267" s="27"/>
      <c r="AS267" s="27"/>
      <c r="AT267" s="27"/>
      <c r="AU267" s="27"/>
    </row>
    <row r="268" spans="43:47" x14ac:dyDescent="0.25">
      <c r="AQ268" s="27"/>
      <c r="AR268" s="27"/>
      <c r="AS268" s="27"/>
      <c r="AT268" s="27"/>
      <c r="AU268" s="27"/>
    </row>
    <row r="269" spans="43:47" x14ac:dyDescent="0.25">
      <c r="AQ269" s="27"/>
      <c r="AR269" s="27"/>
      <c r="AS269" s="27"/>
      <c r="AT269" s="27"/>
      <c r="AU269" s="27"/>
    </row>
    <row r="270" spans="43:47" x14ac:dyDescent="0.25">
      <c r="AQ270" s="27"/>
      <c r="AR270" s="27"/>
      <c r="AS270" s="27"/>
      <c r="AT270" s="27"/>
      <c r="AU270" s="27"/>
    </row>
    <row r="271" spans="43:47" x14ac:dyDescent="0.25">
      <c r="AQ271" s="27"/>
      <c r="AR271" s="27"/>
      <c r="AS271" s="27"/>
      <c r="AT271" s="27"/>
      <c r="AU271" s="27"/>
    </row>
    <row r="272" spans="43:47" x14ac:dyDescent="0.25">
      <c r="AQ272" s="27"/>
      <c r="AR272" s="27"/>
      <c r="AS272" s="27"/>
      <c r="AT272" s="27"/>
      <c r="AU272" s="27"/>
    </row>
    <row r="273" spans="43:47" x14ac:dyDescent="0.25">
      <c r="AQ273" s="27"/>
      <c r="AR273" s="27"/>
      <c r="AS273" s="27"/>
      <c r="AT273" s="27"/>
      <c r="AU273" s="27"/>
    </row>
    <row r="274" spans="43:47" x14ac:dyDescent="0.25">
      <c r="AQ274" s="27"/>
      <c r="AR274" s="27"/>
      <c r="AS274" s="27"/>
      <c r="AT274" s="27"/>
      <c r="AU274" s="27"/>
    </row>
    <row r="275" spans="43:47" x14ac:dyDescent="0.25">
      <c r="AQ275" s="27"/>
      <c r="AR275" s="27"/>
      <c r="AS275" s="27"/>
      <c r="AT275" s="27"/>
      <c r="AU275" s="27"/>
    </row>
    <row r="276" spans="43:47" x14ac:dyDescent="0.25">
      <c r="AQ276" s="27"/>
      <c r="AR276" s="27"/>
      <c r="AS276" s="27"/>
      <c r="AT276" s="27"/>
      <c r="AU276" s="27"/>
    </row>
    <row r="277" spans="43:47" x14ac:dyDescent="0.25">
      <c r="AQ277" s="27"/>
      <c r="AR277" s="27"/>
      <c r="AS277" s="27"/>
      <c r="AT277" s="27"/>
      <c r="AU277" s="27"/>
    </row>
    <row r="278" spans="43:47" x14ac:dyDescent="0.25">
      <c r="AQ278" s="27"/>
      <c r="AR278" s="27"/>
      <c r="AS278" s="27"/>
      <c r="AT278" s="27"/>
      <c r="AU278" s="27"/>
    </row>
    <row r="279" spans="43:47" x14ac:dyDescent="0.25">
      <c r="AQ279" s="27"/>
      <c r="AR279" s="27"/>
      <c r="AS279" s="27"/>
      <c r="AT279" s="27"/>
      <c r="AU279" s="27"/>
    </row>
    <row r="280" spans="43:47" x14ac:dyDescent="0.25">
      <c r="AQ280" s="27"/>
      <c r="AR280" s="27"/>
      <c r="AS280" s="27"/>
      <c r="AT280" s="27"/>
      <c r="AU280" s="27"/>
    </row>
    <row r="281" spans="43:47" x14ac:dyDescent="0.25">
      <c r="AQ281" s="27"/>
      <c r="AR281" s="27"/>
      <c r="AS281" s="27"/>
      <c r="AT281" s="27"/>
      <c r="AU281" s="27"/>
    </row>
    <row r="282" spans="43:47" x14ac:dyDescent="0.25">
      <c r="AQ282" s="27"/>
      <c r="AR282" s="27"/>
      <c r="AS282" s="27"/>
      <c r="AT282" s="27"/>
      <c r="AU282" s="27"/>
    </row>
    <row r="283" spans="43:47" x14ac:dyDescent="0.25">
      <c r="AQ283" s="27"/>
      <c r="AR283" s="27"/>
      <c r="AS283" s="27"/>
      <c r="AT283" s="27"/>
      <c r="AU283" s="27"/>
    </row>
    <row r="284" spans="43:47" x14ac:dyDescent="0.25">
      <c r="AQ284" s="27"/>
      <c r="AR284" s="27"/>
      <c r="AS284" s="27"/>
      <c r="AT284" s="27"/>
      <c r="AU284" s="27"/>
    </row>
    <row r="285" spans="43:47" x14ac:dyDescent="0.25">
      <c r="AQ285" s="27"/>
      <c r="AR285" s="27"/>
      <c r="AS285" s="27"/>
      <c r="AT285" s="27"/>
      <c r="AU285" s="27"/>
    </row>
    <row r="286" spans="43:47" x14ac:dyDescent="0.25">
      <c r="AQ286" s="27"/>
      <c r="AR286" s="27"/>
      <c r="AS286" s="27"/>
      <c r="AT286" s="27"/>
      <c r="AU286" s="27"/>
    </row>
    <row r="287" spans="43:47" x14ac:dyDescent="0.25">
      <c r="AQ287" s="27"/>
      <c r="AR287" s="27"/>
      <c r="AS287" s="27"/>
      <c r="AT287" s="27"/>
      <c r="AU287" s="27"/>
    </row>
    <row r="288" spans="43:47" x14ac:dyDescent="0.25">
      <c r="AQ288" s="27"/>
      <c r="AR288" s="27"/>
      <c r="AS288" s="27"/>
      <c r="AT288" s="27"/>
      <c r="AU288" s="27"/>
    </row>
    <row r="289" spans="43:47" x14ac:dyDescent="0.25">
      <c r="AQ289" s="27"/>
      <c r="AR289" s="27"/>
      <c r="AS289" s="27"/>
      <c r="AT289" s="27"/>
      <c r="AU289" s="27"/>
    </row>
    <row r="290" spans="43:47" x14ac:dyDescent="0.25">
      <c r="AQ290" s="27"/>
      <c r="AR290" s="27"/>
      <c r="AS290" s="27"/>
      <c r="AT290" s="27"/>
      <c r="AU290" s="27"/>
    </row>
    <row r="291" spans="43:47" x14ac:dyDescent="0.25">
      <c r="AQ291" s="27"/>
      <c r="AR291" s="27"/>
      <c r="AS291" s="27"/>
      <c r="AT291" s="27"/>
      <c r="AU291" s="27"/>
    </row>
    <row r="292" spans="43:47" x14ac:dyDescent="0.25">
      <c r="AQ292" s="27"/>
      <c r="AR292" s="27"/>
      <c r="AS292" s="27"/>
      <c r="AT292" s="27"/>
      <c r="AU292" s="27"/>
    </row>
    <row r="293" spans="43:47" x14ac:dyDescent="0.25">
      <c r="AQ293" s="27"/>
      <c r="AR293" s="27"/>
      <c r="AS293" s="27"/>
      <c r="AT293" s="27"/>
      <c r="AU293" s="27"/>
    </row>
    <row r="294" spans="43:47" x14ac:dyDescent="0.25">
      <c r="AQ294" s="27"/>
      <c r="AR294" s="27"/>
      <c r="AS294" s="27"/>
      <c r="AT294" s="27"/>
      <c r="AU294" s="27"/>
    </row>
    <row r="295" spans="43:47" x14ac:dyDescent="0.25">
      <c r="AQ295" s="27"/>
      <c r="AR295" s="27"/>
      <c r="AS295" s="27"/>
      <c r="AT295" s="27"/>
      <c r="AU295" s="27"/>
    </row>
    <row r="296" spans="43:47" x14ac:dyDescent="0.25">
      <c r="AQ296" s="27"/>
      <c r="AR296" s="27"/>
      <c r="AS296" s="27"/>
      <c r="AT296" s="27"/>
      <c r="AU296" s="27"/>
    </row>
    <row r="297" spans="43:47" x14ac:dyDescent="0.25">
      <c r="AQ297" s="27"/>
      <c r="AR297" s="27"/>
      <c r="AS297" s="27"/>
      <c r="AT297" s="27"/>
      <c r="AU297" s="27"/>
    </row>
    <row r="298" spans="43:47" x14ac:dyDescent="0.25">
      <c r="AQ298" s="27"/>
      <c r="AR298" s="27"/>
      <c r="AS298" s="27"/>
      <c r="AT298" s="27"/>
      <c r="AU298" s="27"/>
    </row>
    <row r="299" spans="43:47" x14ac:dyDescent="0.25">
      <c r="AQ299" s="27"/>
      <c r="AR299" s="27"/>
      <c r="AS299" s="27"/>
      <c r="AT299" s="27"/>
      <c r="AU299" s="27"/>
    </row>
    <row r="300" spans="43:47" x14ac:dyDescent="0.25">
      <c r="AQ300" s="27"/>
      <c r="AR300" s="27"/>
      <c r="AS300" s="27"/>
      <c r="AT300" s="27"/>
      <c r="AU300" s="27"/>
    </row>
    <row r="301" spans="43:47" x14ac:dyDescent="0.25">
      <c r="AQ301" s="27"/>
      <c r="AR301" s="27"/>
      <c r="AS301" s="27"/>
      <c r="AT301" s="27"/>
      <c r="AU301" s="27"/>
    </row>
    <row r="302" spans="43:47" x14ac:dyDescent="0.25">
      <c r="AQ302" s="27"/>
      <c r="AR302" s="27"/>
      <c r="AS302" s="27"/>
      <c r="AT302" s="27"/>
      <c r="AU302" s="27"/>
    </row>
    <row r="303" spans="43:47" x14ac:dyDescent="0.25">
      <c r="AQ303" s="27"/>
      <c r="AR303" s="27"/>
      <c r="AS303" s="27"/>
      <c r="AT303" s="27"/>
      <c r="AU303" s="27"/>
    </row>
    <row r="304" spans="43:47" x14ac:dyDescent="0.25">
      <c r="AQ304" s="27"/>
      <c r="AR304" s="27"/>
      <c r="AS304" s="27"/>
      <c r="AT304" s="27"/>
      <c r="AU304" s="27"/>
    </row>
    <row r="305" spans="43:47" x14ac:dyDescent="0.25">
      <c r="AQ305" s="27"/>
      <c r="AR305" s="27"/>
      <c r="AS305" s="27"/>
      <c r="AT305" s="27"/>
      <c r="AU305" s="27"/>
    </row>
    <row r="306" spans="43:47" x14ac:dyDescent="0.25">
      <c r="AQ306" s="27"/>
      <c r="AR306" s="27"/>
      <c r="AS306" s="27"/>
      <c r="AT306" s="27"/>
      <c r="AU306" s="27"/>
    </row>
    <row r="307" spans="43:47" x14ac:dyDescent="0.25">
      <c r="AQ307" s="27"/>
      <c r="AR307" s="27"/>
      <c r="AS307" s="27"/>
      <c r="AT307" s="27"/>
      <c r="AU307" s="27"/>
    </row>
    <row r="308" spans="43:47" x14ac:dyDescent="0.25">
      <c r="AQ308" s="27"/>
      <c r="AR308" s="27"/>
      <c r="AS308" s="27"/>
      <c r="AT308" s="27"/>
      <c r="AU308" s="27"/>
    </row>
    <row r="309" spans="43:47" x14ac:dyDescent="0.25">
      <c r="AQ309" s="27"/>
      <c r="AR309" s="27"/>
      <c r="AS309" s="27"/>
      <c r="AT309" s="27"/>
      <c r="AU309" s="27"/>
    </row>
    <row r="310" spans="43:47" x14ac:dyDescent="0.25">
      <c r="AQ310" s="27"/>
      <c r="AR310" s="27"/>
      <c r="AS310" s="27"/>
      <c r="AT310" s="27"/>
      <c r="AU310" s="27"/>
    </row>
    <row r="311" spans="43:47" x14ac:dyDescent="0.25">
      <c r="AQ311" s="27"/>
      <c r="AR311" s="27"/>
      <c r="AS311" s="27"/>
      <c r="AT311" s="27"/>
      <c r="AU311" s="27"/>
    </row>
    <row r="312" spans="43:47" x14ac:dyDescent="0.25">
      <c r="AQ312" s="27"/>
      <c r="AR312" s="27"/>
      <c r="AS312" s="27"/>
      <c r="AT312" s="27"/>
      <c r="AU312" s="27"/>
    </row>
    <row r="313" spans="43:47" x14ac:dyDescent="0.25">
      <c r="AQ313" s="27"/>
      <c r="AR313" s="27"/>
      <c r="AS313" s="27"/>
      <c r="AT313" s="27"/>
      <c r="AU313" s="27"/>
    </row>
    <row r="314" spans="43:47" x14ac:dyDescent="0.25">
      <c r="AQ314" s="27"/>
      <c r="AR314" s="27"/>
      <c r="AS314" s="27"/>
      <c r="AT314" s="27"/>
      <c r="AU314" s="27"/>
    </row>
    <row r="315" spans="43:47" x14ac:dyDescent="0.25">
      <c r="AQ315" s="27"/>
      <c r="AR315" s="27"/>
      <c r="AS315" s="27"/>
      <c r="AT315" s="27"/>
      <c r="AU315" s="27"/>
    </row>
    <row r="316" spans="43:47" x14ac:dyDescent="0.25">
      <c r="AQ316" s="27"/>
      <c r="AR316" s="27"/>
      <c r="AS316" s="27"/>
      <c r="AT316" s="27"/>
      <c r="AU316" s="27"/>
    </row>
    <row r="317" spans="43:47" x14ac:dyDescent="0.25">
      <c r="AQ317" s="27"/>
      <c r="AR317" s="27"/>
      <c r="AS317" s="27"/>
      <c r="AT317" s="27"/>
      <c r="AU317" s="27"/>
    </row>
    <row r="318" spans="43:47" x14ac:dyDescent="0.25">
      <c r="AQ318" s="27"/>
      <c r="AR318" s="27"/>
      <c r="AS318" s="27"/>
      <c r="AT318" s="27"/>
      <c r="AU318" s="27"/>
    </row>
    <row r="319" spans="43:47" x14ac:dyDescent="0.25">
      <c r="AQ319" s="27"/>
      <c r="AR319" s="27"/>
      <c r="AS319" s="27"/>
      <c r="AT319" s="27"/>
      <c r="AU319" s="27"/>
    </row>
    <row r="320" spans="43:47" x14ac:dyDescent="0.25">
      <c r="AQ320" s="27"/>
      <c r="AR320" s="27"/>
      <c r="AS320" s="27"/>
      <c r="AT320" s="27"/>
      <c r="AU320" s="27"/>
    </row>
    <row r="321" spans="43:47" x14ac:dyDescent="0.25">
      <c r="AQ321" s="27"/>
      <c r="AR321" s="27"/>
      <c r="AS321" s="27"/>
      <c r="AT321" s="27"/>
      <c r="AU321" s="27"/>
    </row>
    <row r="322" spans="43:47" x14ac:dyDescent="0.25">
      <c r="AQ322" s="27"/>
      <c r="AR322" s="27"/>
      <c r="AS322" s="27"/>
      <c r="AT322" s="27"/>
      <c r="AU322" s="27"/>
    </row>
    <row r="323" spans="43:47" x14ac:dyDescent="0.25">
      <c r="AQ323" s="27"/>
      <c r="AR323" s="27"/>
      <c r="AS323" s="27"/>
      <c r="AT323" s="27"/>
      <c r="AU323" s="27"/>
    </row>
    <row r="324" spans="43:47" x14ac:dyDescent="0.25">
      <c r="AQ324" s="27"/>
      <c r="AR324" s="27"/>
      <c r="AS324" s="27"/>
      <c r="AT324" s="27"/>
      <c r="AU324" s="27"/>
    </row>
    <row r="325" spans="43:47" x14ac:dyDescent="0.25">
      <c r="AQ325" s="27"/>
      <c r="AR325" s="27"/>
      <c r="AS325" s="27"/>
      <c r="AT325" s="27"/>
      <c r="AU325" s="27"/>
    </row>
    <row r="326" spans="43:47" x14ac:dyDescent="0.25">
      <c r="AQ326" s="27"/>
      <c r="AR326" s="27"/>
      <c r="AS326" s="27"/>
      <c r="AT326" s="27"/>
      <c r="AU326" s="27"/>
    </row>
    <row r="327" spans="43:47" x14ac:dyDescent="0.25">
      <c r="AQ327" s="27"/>
      <c r="AR327" s="27"/>
      <c r="AS327" s="27"/>
      <c r="AT327" s="27"/>
      <c r="AU327" s="27"/>
    </row>
    <row r="328" spans="43:47" x14ac:dyDescent="0.25">
      <c r="AQ328" s="27"/>
      <c r="AR328" s="27"/>
      <c r="AS328" s="27"/>
      <c r="AT328" s="27"/>
      <c r="AU328" s="27"/>
    </row>
    <row r="329" spans="43:47" x14ac:dyDescent="0.25">
      <c r="AQ329" s="27"/>
      <c r="AR329" s="27"/>
      <c r="AS329" s="27"/>
      <c r="AT329" s="27"/>
      <c r="AU329" s="27"/>
    </row>
    <row r="330" spans="43:47" x14ac:dyDescent="0.25">
      <c r="AQ330" s="27"/>
      <c r="AR330" s="27"/>
      <c r="AS330" s="27"/>
      <c r="AT330" s="27"/>
      <c r="AU330" s="27"/>
    </row>
    <row r="331" spans="43:47" x14ac:dyDescent="0.25">
      <c r="AQ331" s="27"/>
      <c r="AR331" s="27"/>
      <c r="AS331" s="27"/>
      <c r="AT331" s="27"/>
      <c r="AU331" s="27"/>
    </row>
    <row r="332" spans="43:47" x14ac:dyDescent="0.25">
      <c r="AQ332" s="27"/>
      <c r="AR332" s="27"/>
      <c r="AS332" s="27"/>
      <c r="AT332" s="27"/>
      <c r="AU332" s="27"/>
    </row>
    <row r="333" spans="43:47" x14ac:dyDescent="0.25">
      <c r="AQ333" s="27"/>
      <c r="AR333" s="27"/>
      <c r="AS333" s="27"/>
      <c r="AT333" s="27"/>
      <c r="AU333" s="27"/>
    </row>
    <row r="334" spans="43:47" x14ac:dyDescent="0.25">
      <c r="AQ334" s="27"/>
      <c r="AR334" s="27"/>
      <c r="AS334" s="27"/>
      <c r="AT334" s="27"/>
      <c r="AU334" s="27"/>
    </row>
    <row r="335" spans="43:47" x14ac:dyDescent="0.25">
      <c r="AQ335" s="27"/>
      <c r="AR335" s="27"/>
      <c r="AS335" s="27"/>
      <c r="AT335" s="27"/>
      <c r="AU335" s="27"/>
    </row>
    <row r="336" spans="43:47" x14ac:dyDescent="0.25">
      <c r="AQ336" s="27"/>
      <c r="AR336" s="27"/>
      <c r="AS336" s="27"/>
      <c r="AT336" s="27"/>
      <c r="AU336" s="27"/>
    </row>
    <row r="337" spans="43:47" x14ac:dyDescent="0.25">
      <c r="AQ337" s="27"/>
      <c r="AR337" s="27"/>
      <c r="AS337" s="27"/>
      <c r="AT337" s="27"/>
      <c r="AU337" s="27"/>
    </row>
    <row r="338" spans="43:47" x14ac:dyDescent="0.25">
      <c r="AQ338" s="27"/>
      <c r="AR338" s="27"/>
      <c r="AS338" s="27"/>
      <c r="AT338" s="27"/>
      <c r="AU338" s="27"/>
    </row>
    <row r="339" spans="43:47" x14ac:dyDescent="0.25">
      <c r="AQ339" s="27"/>
      <c r="AR339" s="27"/>
      <c r="AS339" s="27"/>
      <c r="AT339" s="27"/>
      <c r="AU339" s="27"/>
    </row>
    <row r="340" spans="43:47" x14ac:dyDescent="0.25">
      <c r="AQ340" s="27"/>
      <c r="AR340" s="27"/>
      <c r="AS340" s="27"/>
      <c r="AT340" s="27"/>
      <c r="AU340" s="27"/>
    </row>
    <row r="341" spans="43:47" x14ac:dyDescent="0.25">
      <c r="AQ341" s="27"/>
      <c r="AR341" s="27"/>
      <c r="AS341" s="27"/>
      <c r="AT341" s="27"/>
      <c r="AU341" s="27"/>
    </row>
    <row r="342" spans="43:47" x14ac:dyDescent="0.25">
      <c r="AQ342" s="27"/>
      <c r="AR342" s="27"/>
      <c r="AS342" s="27"/>
      <c r="AT342" s="27"/>
      <c r="AU342" s="27"/>
    </row>
    <row r="343" spans="43:47" x14ac:dyDescent="0.25">
      <c r="AQ343" s="27"/>
      <c r="AR343" s="27"/>
      <c r="AS343" s="27"/>
      <c r="AT343" s="27"/>
      <c r="AU343" s="27"/>
    </row>
    <row r="344" spans="43:47" x14ac:dyDescent="0.25">
      <c r="AQ344" s="27"/>
      <c r="AR344" s="27"/>
      <c r="AS344" s="27"/>
      <c r="AT344" s="27"/>
      <c r="AU344" s="27"/>
    </row>
    <row r="345" spans="43:47" x14ac:dyDescent="0.25">
      <c r="AQ345" s="27"/>
      <c r="AR345" s="27"/>
      <c r="AS345" s="27"/>
      <c r="AT345" s="27"/>
      <c r="AU345" s="27"/>
    </row>
    <row r="346" spans="43:47" x14ac:dyDescent="0.25">
      <c r="AQ346" s="27"/>
      <c r="AR346" s="27"/>
      <c r="AS346" s="27"/>
      <c r="AT346" s="27"/>
      <c r="AU346" s="27"/>
    </row>
    <row r="347" spans="43:47" x14ac:dyDescent="0.25">
      <c r="AQ347" s="27"/>
      <c r="AR347" s="27"/>
      <c r="AS347" s="27"/>
      <c r="AT347" s="27"/>
      <c r="AU347" s="27"/>
    </row>
    <row r="348" spans="43:47" x14ac:dyDescent="0.25">
      <c r="AQ348" s="27"/>
      <c r="AR348" s="27"/>
      <c r="AS348" s="27"/>
      <c r="AT348" s="27"/>
      <c r="AU348" s="27"/>
    </row>
    <row r="349" spans="43:47" x14ac:dyDescent="0.25">
      <c r="AQ349" s="27"/>
      <c r="AR349" s="27"/>
      <c r="AS349" s="27"/>
      <c r="AT349" s="27"/>
      <c r="AU349" s="27"/>
    </row>
    <row r="350" spans="43:47" x14ac:dyDescent="0.25">
      <c r="AQ350" s="27"/>
      <c r="AR350" s="27"/>
      <c r="AS350" s="27"/>
      <c r="AT350" s="27"/>
      <c r="AU350" s="27"/>
    </row>
    <row r="351" spans="43:47" x14ac:dyDescent="0.25">
      <c r="AQ351" s="27"/>
      <c r="AR351" s="27"/>
      <c r="AS351" s="27"/>
      <c r="AT351" s="27"/>
      <c r="AU351" s="27"/>
    </row>
    <row r="352" spans="43:47" x14ac:dyDescent="0.25">
      <c r="AQ352" s="27"/>
      <c r="AR352" s="27"/>
      <c r="AS352" s="27"/>
      <c r="AT352" s="27"/>
      <c r="AU352" s="27"/>
    </row>
    <row r="353" spans="43:47" x14ac:dyDescent="0.25">
      <c r="AQ353" s="27"/>
      <c r="AR353" s="27"/>
      <c r="AS353" s="27"/>
      <c r="AT353" s="27"/>
      <c r="AU353" s="27"/>
    </row>
    <row r="354" spans="43:47" x14ac:dyDescent="0.25">
      <c r="AQ354" s="27"/>
      <c r="AR354" s="27"/>
      <c r="AS354" s="27"/>
      <c r="AT354" s="27"/>
      <c r="AU354" s="27"/>
    </row>
    <row r="355" spans="43:47" x14ac:dyDescent="0.25">
      <c r="AQ355" s="27"/>
      <c r="AR355" s="27"/>
      <c r="AS355" s="27"/>
      <c r="AT355" s="27"/>
      <c r="AU355" s="27"/>
    </row>
    <row r="356" spans="43:47" x14ac:dyDescent="0.25">
      <c r="AQ356" s="27"/>
      <c r="AR356" s="27"/>
      <c r="AS356" s="27"/>
      <c r="AT356" s="27"/>
      <c r="AU356" s="27"/>
    </row>
    <row r="357" spans="43:47" x14ac:dyDescent="0.25">
      <c r="AQ357" s="27"/>
      <c r="AR357" s="27"/>
      <c r="AS357" s="27"/>
      <c r="AT357" s="27"/>
      <c r="AU357" s="27"/>
    </row>
    <row r="358" spans="43:47" x14ac:dyDescent="0.25">
      <c r="AQ358" s="27"/>
      <c r="AR358" s="27"/>
      <c r="AS358" s="27"/>
      <c r="AT358" s="27"/>
      <c r="AU358" s="27"/>
    </row>
    <row r="359" spans="43:47" x14ac:dyDescent="0.25">
      <c r="AQ359" s="27"/>
      <c r="AR359" s="27"/>
      <c r="AS359" s="27"/>
      <c r="AT359" s="27"/>
      <c r="AU359" s="27"/>
    </row>
    <row r="360" spans="43:47" x14ac:dyDescent="0.25">
      <c r="AQ360" s="27"/>
      <c r="AR360" s="27"/>
      <c r="AS360" s="27"/>
      <c r="AT360" s="27"/>
      <c r="AU360" s="27"/>
    </row>
    <row r="361" spans="43:47" x14ac:dyDescent="0.25">
      <c r="AQ361" s="27"/>
      <c r="AR361" s="27"/>
      <c r="AS361" s="27"/>
      <c r="AT361" s="27"/>
      <c r="AU361" s="27"/>
    </row>
    <row r="362" spans="43:47" x14ac:dyDescent="0.25">
      <c r="AQ362" s="27"/>
      <c r="AR362" s="27"/>
      <c r="AS362" s="27"/>
      <c r="AT362" s="27"/>
      <c r="AU362" s="27"/>
    </row>
    <row r="363" spans="43:47" x14ac:dyDescent="0.25">
      <c r="AQ363" s="27"/>
      <c r="AR363" s="27"/>
      <c r="AS363" s="27"/>
      <c r="AT363" s="27"/>
      <c r="AU363" s="27"/>
    </row>
    <row r="364" spans="43:47" x14ac:dyDescent="0.25">
      <c r="AQ364" s="27"/>
      <c r="AR364" s="27"/>
      <c r="AS364" s="27"/>
      <c r="AT364" s="27"/>
      <c r="AU364" s="27"/>
    </row>
    <row r="365" spans="43:47" x14ac:dyDescent="0.25">
      <c r="AQ365" s="27"/>
      <c r="AR365" s="27"/>
      <c r="AS365" s="27"/>
      <c r="AT365" s="27"/>
      <c r="AU365" s="27"/>
    </row>
    <row r="366" spans="43:47" x14ac:dyDescent="0.25">
      <c r="AQ366" s="27"/>
      <c r="AR366" s="27"/>
      <c r="AS366" s="27"/>
      <c r="AT366" s="27"/>
      <c r="AU366" s="27"/>
    </row>
    <row r="367" spans="43:47" x14ac:dyDescent="0.25">
      <c r="AQ367" s="27"/>
      <c r="AR367" s="27"/>
      <c r="AS367" s="27"/>
      <c r="AT367" s="27"/>
      <c r="AU367" s="27"/>
    </row>
    <row r="368" spans="43:47" x14ac:dyDescent="0.25">
      <c r="AQ368" s="27"/>
      <c r="AR368" s="27"/>
      <c r="AS368" s="27"/>
      <c r="AT368" s="27"/>
      <c r="AU368" s="27"/>
    </row>
    <row r="369" spans="43:47" x14ac:dyDescent="0.25">
      <c r="AQ369" s="27"/>
      <c r="AR369" s="27"/>
      <c r="AS369" s="27"/>
      <c r="AT369" s="27"/>
      <c r="AU369" s="27"/>
    </row>
    <row r="370" spans="43:47" x14ac:dyDescent="0.25">
      <c r="AQ370" s="27"/>
      <c r="AR370" s="27"/>
      <c r="AS370" s="27"/>
      <c r="AT370" s="27"/>
      <c r="AU370" s="27"/>
    </row>
    <row r="371" spans="43:47" x14ac:dyDescent="0.25">
      <c r="AQ371" s="27"/>
      <c r="AR371" s="27"/>
      <c r="AS371" s="27"/>
      <c r="AT371" s="27"/>
      <c r="AU371" s="27"/>
    </row>
    <row r="372" spans="43:47" x14ac:dyDescent="0.25">
      <c r="AQ372" s="27"/>
      <c r="AR372" s="27"/>
      <c r="AS372" s="27"/>
      <c r="AT372" s="27"/>
      <c r="AU372" s="27"/>
    </row>
    <row r="373" spans="43:47" x14ac:dyDescent="0.25">
      <c r="AQ373" s="27"/>
      <c r="AR373" s="27"/>
      <c r="AS373" s="27"/>
      <c r="AT373" s="27"/>
      <c r="AU373" s="27"/>
    </row>
    <row r="374" spans="43:47" x14ac:dyDescent="0.25">
      <c r="AQ374" s="27"/>
      <c r="AR374" s="27"/>
      <c r="AS374" s="27"/>
      <c r="AT374" s="27"/>
      <c r="AU374" s="27"/>
    </row>
    <row r="375" spans="43:47" x14ac:dyDescent="0.25">
      <c r="AQ375" s="27"/>
      <c r="AR375" s="27"/>
      <c r="AS375" s="27"/>
      <c r="AT375" s="27"/>
      <c r="AU375" s="27"/>
    </row>
    <row r="376" spans="43:47" x14ac:dyDescent="0.25">
      <c r="AQ376" s="27"/>
      <c r="AR376" s="27"/>
      <c r="AS376" s="27"/>
      <c r="AT376" s="27"/>
      <c r="AU376" s="27"/>
    </row>
    <row r="377" spans="43:47" x14ac:dyDescent="0.25">
      <c r="AQ377" s="27"/>
      <c r="AR377" s="27"/>
      <c r="AS377" s="27"/>
      <c r="AT377" s="27"/>
      <c r="AU377" s="27"/>
    </row>
    <row r="378" spans="43:47" x14ac:dyDescent="0.25">
      <c r="AQ378" s="27"/>
      <c r="AR378" s="27"/>
      <c r="AS378" s="27"/>
      <c r="AT378" s="27"/>
      <c r="AU378" s="27"/>
    </row>
    <row r="379" spans="43:47" x14ac:dyDescent="0.25">
      <c r="AQ379" s="27"/>
      <c r="AR379" s="27"/>
      <c r="AS379" s="27"/>
      <c r="AT379" s="27"/>
      <c r="AU379" s="27"/>
    </row>
    <row r="380" spans="43:47" x14ac:dyDescent="0.25">
      <c r="AQ380" s="27"/>
      <c r="AR380" s="27"/>
      <c r="AS380" s="27"/>
      <c r="AT380" s="27"/>
      <c r="AU380" s="27"/>
    </row>
    <row r="381" spans="43:47" x14ac:dyDescent="0.25">
      <c r="AQ381" s="27"/>
      <c r="AR381" s="27"/>
      <c r="AS381" s="27"/>
      <c r="AT381" s="27"/>
      <c r="AU381" s="27"/>
    </row>
    <row r="382" spans="43:47" x14ac:dyDescent="0.25">
      <c r="AQ382" s="27"/>
      <c r="AR382" s="27"/>
      <c r="AS382" s="27"/>
      <c r="AT382" s="27"/>
      <c r="AU382" s="27"/>
    </row>
    <row r="383" spans="43:47" x14ac:dyDescent="0.25">
      <c r="AQ383" s="27"/>
      <c r="AR383" s="27"/>
      <c r="AS383" s="27"/>
      <c r="AT383" s="27"/>
      <c r="AU383" s="27"/>
    </row>
    <row r="384" spans="43:47" x14ac:dyDescent="0.25">
      <c r="AQ384" s="27"/>
      <c r="AR384" s="27"/>
      <c r="AS384" s="27"/>
      <c r="AT384" s="27"/>
      <c r="AU384" s="27"/>
    </row>
    <row r="385" spans="43:47" x14ac:dyDescent="0.25">
      <c r="AQ385" s="27"/>
      <c r="AR385" s="27"/>
      <c r="AS385" s="27"/>
      <c r="AT385" s="27"/>
      <c r="AU385" s="27"/>
    </row>
    <row r="386" spans="43:47" x14ac:dyDescent="0.25">
      <c r="AQ386" s="27"/>
      <c r="AR386" s="27"/>
      <c r="AS386" s="27"/>
      <c r="AT386" s="27"/>
      <c r="AU386" s="27"/>
    </row>
    <row r="387" spans="43:47" x14ac:dyDescent="0.25">
      <c r="AQ387" s="27"/>
      <c r="AR387" s="27"/>
      <c r="AS387" s="27"/>
      <c r="AT387" s="27"/>
      <c r="AU387" s="27"/>
    </row>
    <row r="388" spans="43:47" x14ac:dyDescent="0.25">
      <c r="AQ388" s="27"/>
      <c r="AR388" s="27"/>
      <c r="AS388" s="27"/>
      <c r="AT388" s="27"/>
      <c r="AU388" s="27"/>
    </row>
    <row r="389" spans="43:47" x14ac:dyDescent="0.25">
      <c r="AQ389" s="27"/>
      <c r="AR389" s="27"/>
      <c r="AS389" s="27"/>
      <c r="AT389" s="27"/>
      <c r="AU389" s="27"/>
    </row>
    <row r="390" spans="43:47" x14ac:dyDescent="0.25">
      <c r="AQ390" s="27"/>
      <c r="AR390" s="27"/>
      <c r="AS390" s="27"/>
      <c r="AT390" s="27"/>
      <c r="AU390" s="27"/>
    </row>
    <row r="391" spans="43:47" x14ac:dyDescent="0.25">
      <c r="AQ391" s="27"/>
      <c r="AR391" s="27"/>
      <c r="AS391" s="27"/>
      <c r="AT391" s="27"/>
      <c r="AU391" s="27"/>
    </row>
    <row r="392" spans="43:47" x14ac:dyDescent="0.25">
      <c r="AQ392" s="27"/>
      <c r="AR392" s="27"/>
      <c r="AS392" s="27"/>
      <c r="AT392" s="27"/>
      <c r="AU392" s="27"/>
    </row>
    <row r="393" spans="43:47" x14ac:dyDescent="0.25">
      <c r="AQ393" s="27"/>
      <c r="AR393" s="27"/>
      <c r="AS393" s="27"/>
      <c r="AT393" s="27"/>
      <c r="AU393" s="27"/>
    </row>
    <row r="394" spans="43:47" x14ac:dyDescent="0.25">
      <c r="AQ394" s="27"/>
      <c r="AR394" s="27"/>
      <c r="AS394" s="27"/>
      <c r="AT394" s="27"/>
      <c r="AU394" s="27"/>
    </row>
    <row r="395" spans="43:47" x14ac:dyDescent="0.25">
      <c r="AQ395" s="27"/>
      <c r="AR395" s="27"/>
      <c r="AS395" s="27"/>
      <c r="AT395" s="27"/>
      <c r="AU395" s="27"/>
    </row>
    <row r="396" spans="43:47" x14ac:dyDescent="0.25">
      <c r="AQ396" s="27"/>
      <c r="AR396" s="27"/>
      <c r="AS396" s="27"/>
      <c r="AT396" s="27"/>
      <c r="AU396" s="27"/>
    </row>
    <row r="397" spans="43:47" x14ac:dyDescent="0.25">
      <c r="AQ397" s="27"/>
      <c r="AR397" s="27"/>
      <c r="AS397" s="27"/>
      <c r="AT397" s="27"/>
      <c r="AU397" s="27"/>
    </row>
    <row r="398" spans="43:47" x14ac:dyDescent="0.25">
      <c r="AQ398" s="27"/>
      <c r="AR398" s="27"/>
      <c r="AS398" s="27"/>
      <c r="AT398" s="27"/>
      <c r="AU398" s="27"/>
    </row>
    <row r="399" spans="43:47" x14ac:dyDescent="0.25">
      <c r="AQ399" s="27"/>
      <c r="AR399" s="27"/>
      <c r="AS399" s="27"/>
      <c r="AT399" s="27"/>
      <c r="AU399" s="27"/>
    </row>
    <row r="400" spans="43:47" x14ac:dyDescent="0.25">
      <c r="AQ400" s="27"/>
      <c r="AR400" s="27"/>
      <c r="AS400" s="27"/>
      <c r="AT400" s="27"/>
      <c r="AU400" s="27"/>
    </row>
    <row r="401" spans="43:47" x14ac:dyDescent="0.25">
      <c r="AQ401" s="27"/>
      <c r="AR401" s="27"/>
      <c r="AS401" s="27"/>
      <c r="AT401" s="27"/>
      <c r="AU401" s="27"/>
    </row>
    <row r="402" spans="43:47" x14ac:dyDescent="0.25">
      <c r="AQ402" s="27"/>
      <c r="AR402" s="27"/>
      <c r="AS402" s="27"/>
      <c r="AT402" s="27"/>
      <c r="AU402" s="27"/>
    </row>
    <row r="403" spans="43:47" x14ac:dyDescent="0.25">
      <c r="AQ403" s="27"/>
      <c r="AR403" s="27"/>
      <c r="AS403" s="27"/>
      <c r="AT403" s="27"/>
      <c r="AU403" s="27"/>
    </row>
    <row r="404" spans="43:47" x14ac:dyDescent="0.25">
      <c r="AQ404" s="27"/>
      <c r="AR404" s="27"/>
      <c r="AS404" s="27"/>
      <c r="AT404" s="27"/>
      <c r="AU404" s="27"/>
    </row>
    <row r="405" spans="43:47" x14ac:dyDescent="0.25">
      <c r="AQ405" s="27"/>
      <c r="AR405" s="27"/>
      <c r="AS405" s="27"/>
      <c r="AT405" s="27"/>
      <c r="AU405" s="27"/>
    </row>
    <row r="406" spans="43:47" x14ac:dyDescent="0.25">
      <c r="AQ406" s="27"/>
      <c r="AR406" s="27"/>
      <c r="AS406" s="27"/>
      <c r="AT406" s="27"/>
      <c r="AU406" s="27"/>
    </row>
    <row r="407" spans="43:47" x14ac:dyDescent="0.25">
      <c r="AQ407" s="27"/>
      <c r="AR407" s="27"/>
      <c r="AS407" s="27"/>
      <c r="AT407" s="27"/>
      <c r="AU407" s="27"/>
    </row>
    <row r="408" spans="43:47" x14ac:dyDescent="0.25">
      <c r="AQ408" s="27"/>
      <c r="AR408" s="27"/>
      <c r="AS408" s="27"/>
      <c r="AT408" s="27"/>
      <c r="AU408" s="27"/>
    </row>
    <row r="409" spans="43:47" x14ac:dyDescent="0.25">
      <c r="AQ409" s="27"/>
      <c r="AR409" s="27"/>
      <c r="AS409" s="27"/>
      <c r="AT409" s="27"/>
      <c r="AU409" s="27"/>
    </row>
    <row r="410" spans="43:47" x14ac:dyDescent="0.25">
      <c r="AQ410" s="27"/>
      <c r="AR410" s="27"/>
      <c r="AS410" s="27"/>
      <c r="AT410" s="27"/>
      <c r="AU410" s="27"/>
    </row>
    <row r="411" spans="43:47" x14ac:dyDescent="0.25">
      <c r="AQ411" s="27"/>
      <c r="AR411" s="27"/>
      <c r="AS411" s="27"/>
      <c r="AT411" s="27"/>
      <c r="AU411" s="27"/>
    </row>
    <row r="412" spans="43:47" x14ac:dyDescent="0.25">
      <c r="AQ412" s="27"/>
      <c r="AR412" s="27"/>
      <c r="AS412" s="27"/>
      <c r="AT412" s="27"/>
      <c r="AU412" s="27"/>
    </row>
    <row r="413" spans="43:47" x14ac:dyDescent="0.25">
      <c r="AQ413" s="27"/>
      <c r="AR413" s="27"/>
      <c r="AS413" s="27"/>
      <c r="AT413" s="27"/>
      <c r="AU413" s="27"/>
    </row>
    <row r="414" spans="43:47" x14ac:dyDescent="0.25">
      <c r="AQ414" s="27"/>
      <c r="AR414" s="27"/>
      <c r="AS414" s="27"/>
      <c r="AT414" s="27"/>
      <c r="AU414" s="27"/>
    </row>
    <row r="415" spans="43:47" x14ac:dyDescent="0.25">
      <c r="AQ415" s="27"/>
      <c r="AR415" s="27"/>
      <c r="AS415" s="27"/>
      <c r="AT415" s="27"/>
      <c r="AU415" s="27"/>
    </row>
    <row r="416" spans="43:47" x14ac:dyDescent="0.25">
      <c r="AQ416" s="27"/>
      <c r="AR416" s="27"/>
      <c r="AS416" s="27"/>
      <c r="AT416" s="27"/>
      <c r="AU416" s="27"/>
    </row>
    <row r="417" spans="43:47" x14ac:dyDescent="0.25">
      <c r="AQ417" s="27"/>
      <c r="AR417" s="27"/>
      <c r="AS417" s="27"/>
      <c r="AT417" s="27"/>
      <c r="AU417" s="27"/>
    </row>
    <row r="418" spans="43:47" x14ac:dyDescent="0.25">
      <c r="AQ418" s="27"/>
      <c r="AR418" s="27"/>
      <c r="AS418" s="27"/>
      <c r="AT418" s="27"/>
      <c r="AU418" s="27"/>
    </row>
    <row r="419" spans="43:47" x14ac:dyDescent="0.25">
      <c r="AQ419" s="27"/>
      <c r="AR419" s="27"/>
      <c r="AS419" s="27"/>
      <c r="AT419" s="27"/>
      <c r="AU419" s="27"/>
    </row>
    <row r="420" spans="43:47" x14ac:dyDescent="0.25">
      <c r="AQ420" s="27"/>
      <c r="AR420" s="27"/>
      <c r="AS420" s="27"/>
      <c r="AT420" s="27"/>
      <c r="AU420" s="27"/>
    </row>
    <row r="421" spans="43:47" x14ac:dyDescent="0.25">
      <c r="AQ421" s="27"/>
      <c r="AR421" s="27"/>
      <c r="AS421" s="27"/>
      <c r="AT421" s="27"/>
      <c r="AU421" s="27"/>
    </row>
    <row r="422" spans="43:47" x14ac:dyDescent="0.25">
      <c r="AQ422" s="27"/>
      <c r="AR422" s="27"/>
      <c r="AS422" s="27"/>
      <c r="AT422" s="27"/>
      <c r="AU422" s="27"/>
    </row>
    <row r="423" spans="43:47" x14ac:dyDescent="0.25">
      <c r="AQ423" s="27"/>
      <c r="AR423" s="27"/>
      <c r="AS423" s="27"/>
      <c r="AT423" s="27"/>
      <c r="AU423" s="27"/>
    </row>
    <row r="424" spans="43:47" x14ac:dyDescent="0.25">
      <c r="AQ424" s="27"/>
      <c r="AR424" s="27"/>
      <c r="AS424" s="27"/>
      <c r="AT424" s="27"/>
      <c r="AU424" s="27"/>
    </row>
    <row r="425" spans="43:47" x14ac:dyDescent="0.25">
      <c r="AQ425" s="27"/>
      <c r="AR425" s="27"/>
      <c r="AS425" s="27"/>
      <c r="AT425" s="27"/>
      <c r="AU425" s="27"/>
    </row>
    <row r="426" spans="43:47" x14ac:dyDescent="0.25">
      <c r="AQ426" s="27"/>
      <c r="AR426" s="27"/>
      <c r="AS426" s="27"/>
      <c r="AT426" s="27"/>
      <c r="AU426" s="27"/>
    </row>
    <row r="427" spans="43:47" x14ac:dyDescent="0.25">
      <c r="AQ427" s="27"/>
      <c r="AR427" s="27"/>
      <c r="AS427" s="27"/>
      <c r="AT427" s="27"/>
      <c r="AU427" s="27"/>
    </row>
    <row r="428" spans="43:47" x14ac:dyDescent="0.25">
      <c r="AQ428" s="27"/>
      <c r="AR428" s="27"/>
      <c r="AS428" s="27"/>
      <c r="AT428" s="27"/>
      <c r="AU428" s="27"/>
    </row>
    <row r="429" spans="43:47" x14ac:dyDescent="0.25">
      <c r="AQ429" s="27"/>
      <c r="AR429" s="27"/>
      <c r="AS429" s="27"/>
      <c r="AT429" s="27"/>
      <c r="AU429" s="27"/>
    </row>
    <row r="430" spans="43:47" x14ac:dyDescent="0.25">
      <c r="AQ430" s="27"/>
      <c r="AR430" s="27"/>
      <c r="AS430" s="27"/>
      <c r="AT430" s="27"/>
      <c r="AU430" s="27"/>
    </row>
    <row r="431" spans="43:47" x14ac:dyDescent="0.25">
      <c r="AQ431" s="27"/>
      <c r="AR431" s="27"/>
      <c r="AS431" s="27"/>
      <c r="AT431" s="27"/>
      <c r="AU431" s="27"/>
    </row>
    <row r="432" spans="43:47" x14ac:dyDescent="0.25">
      <c r="AQ432" s="27"/>
      <c r="AR432" s="27"/>
      <c r="AS432" s="27"/>
      <c r="AT432" s="27"/>
      <c r="AU432" s="27"/>
    </row>
    <row r="433" spans="43:47" x14ac:dyDescent="0.25">
      <c r="AQ433" s="27"/>
      <c r="AR433" s="27"/>
      <c r="AS433" s="27"/>
      <c r="AT433" s="27"/>
      <c r="AU433" s="27"/>
    </row>
    <row r="434" spans="43:47" x14ac:dyDescent="0.25">
      <c r="AQ434" s="27"/>
      <c r="AR434" s="27"/>
      <c r="AS434" s="27"/>
      <c r="AT434" s="27"/>
      <c r="AU434" s="27"/>
    </row>
    <row r="435" spans="43:47" x14ac:dyDescent="0.25">
      <c r="AQ435" s="27"/>
      <c r="AR435" s="27"/>
      <c r="AS435" s="27"/>
      <c r="AT435" s="27"/>
      <c r="AU435" s="27"/>
    </row>
    <row r="436" spans="43:47" x14ac:dyDescent="0.25">
      <c r="AQ436" s="27"/>
      <c r="AR436" s="27"/>
      <c r="AS436" s="27"/>
      <c r="AT436" s="27"/>
      <c r="AU436" s="27"/>
    </row>
    <row r="437" spans="43:47" x14ac:dyDescent="0.25">
      <c r="AQ437" s="27"/>
      <c r="AR437" s="27"/>
      <c r="AS437" s="27"/>
      <c r="AT437" s="27"/>
      <c r="AU437" s="27"/>
    </row>
    <row r="438" spans="43:47" x14ac:dyDescent="0.25">
      <c r="AQ438" s="27"/>
      <c r="AR438" s="27"/>
      <c r="AS438" s="27"/>
      <c r="AT438" s="27"/>
      <c r="AU438" s="27"/>
    </row>
    <row r="439" spans="43:47" x14ac:dyDescent="0.25">
      <c r="AQ439" s="27"/>
      <c r="AR439" s="27"/>
      <c r="AS439" s="27"/>
      <c r="AT439" s="27"/>
      <c r="AU439" s="27"/>
    </row>
    <row r="440" spans="43:47" x14ac:dyDescent="0.25">
      <c r="AQ440" s="27"/>
      <c r="AR440" s="27"/>
      <c r="AS440" s="27"/>
      <c r="AT440" s="27"/>
      <c r="AU440" s="27"/>
    </row>
    <row r="441" spans="43:47" x14ac:dyDescent="0.25">
      <c r="AQ441" s="27"/>
      <c r="AR441" s="27"/>
      <c r="AS441" s="27"/>
      <c r="AT441" s="27"/>
      <c r="AU441" s="27"/>
    </row>
    <row r="442" spans="43:47" x14ac:dyDescent="0.25">
      <c r="AQ442" s="27"/>
      <c r="AR442" s="27"/>
      <c r="AS442" s="27"/>
      <c r="AT442" s="27"/>
      <c r="AU442" s="27"/>
    </row>
    <row r="443" spans="43:47" x14ac:dyDescent="0.25">
      <c r="AQ443" s="27"/>
      <c r="AR443" s="27"/>
      <c r="AS443" s="27"/>
      <c r="AT443" s="27"/>
      <c r="AU443" s="27"/>
    </row>
    <row r="444" spans="43:47" x14ac:dyDescent="0.25">
      <c r="AQ444" s="27"/>
      <c r="AR444" s="27"/>
      <c r="AS444" s="27"/>
      <c r="AT444" s="27"/>
      <c r="AU444" s="27"/>
    </row>
    <row r="445" spans="43:47" x14ac:dyDescent="0.25">
      <c r="AQ445" s="27"/>
      <c r="AR445" s="27"/>
      <c r="AS445" s="27"/>
      <c r="AT445" s="27"/>
      <c r="AU445" s="27"/>
    </row>
    <row r="446" spans="43:47" x14ac:dyDescent="0.25">
      <c r="AQ446" s="27"/>
      <c r="AR446" s="27"/>
      <c r="AS446" s="27"/>
      <c r="AT446" s="27"/>
      <c r="AU446" s="27"/>
    </row>
    <row r="447" spans="43:47" x14ac:dyDescent="0.25">
      <c r="AQ447" s="27"/>
      <c r="AR447" s="27"/>
      <c r="AS447" s="27"/>
      <c r="AT447" s="27"/>
      <c r="AU447" s="27"/>
    </row>
    <row r="448" spans="43:47" x14ac:dyDescent="0.25">
      <c r="AQ448" s="27"/>
      <c r="AR448" s="27"/>
      <c r="AS448" s="27"/>
      <c r="AT448" s="27"/>
      <c r="AU448" s="27"/>
    </row>
    <row r="449" spans="43:47" x14ac:dyDescent="0.25">
      <c r="AQ449" s="27"/>
      <c r="AR449" s="27"/>
      <c r="AS449" s="27"/>
      <c r="AT449" s="27"/>
      <c r="AU449" s="27"/>
    </row>
    <row r="450" spans="43:47" x14ac:dyDescent="0.25">
      <c r="AQ450" s="27"/>
      <c r="AR450" s="27"/>
      <c r="AS450" s="27"/>
      <c r="AT450" s="27"/>
      <c r="AU450" s="27"/>
    </row>
    <row r="451" spans="43:47" x14ac:dyDescent="0.25">
      <c r="AQ451" s="27"/>
      <c r="AR451" s="27"/>
      <c r="AS451" s="27"/>
      <c r="AT451" s="27"/>
      <c r="AU451" s="27"/>
    </row>
    <row r="452" spans="43:47" x14ac:dyDescent="0.25">
      <c r="AQ452" s="27"/>
      <c r="AR452" s="27"/>
      <c r="AS452" s="27"/>
      <c r="AT452" s="27"/>
      <c r="AU452" s="27"/>
    </row>
    <row r="453" spans="43:47" x14ac:dyDescent="0.25">
      <c r="AQ453" s="27"/>
      <c r="AR453" s="27"/>
      <c r="AS453" s="27"/>
      <c r="AT453" s="27"/>
      <c r="AU453" s="27"/>
    </row>
    <row r="454" spans="43:47" x14ac:dyDescent="0.25">
      <c r="AQ454" s="27"/>
      <c r="AR454" s="27"/>
      <c r="AS454" s="27"/>
      <c r="AT454" s="27"/>
      <c r="AU454" s="27"/>
    </row>
    <row r="455" spans="43:47" x14ac:dyDescent="0.25">
      <c r="AQ455" s="27"/>
      <c r="AR455" s="27"/>
      <c r="AS455" s="27"/>
      <c r="AT455" s="27"/>
      <c r="AU455" s="27"/>
    </row>
    <row r="456" spans="43:47" x14ac:dyDescent="0.25">
      <c r="AQ456" s="27"/>
      <c r="AR456" s="27"/>
      <c r="AS456" s="27"/>
      <c r="AT456" s="27"/>
      <c r="AU456" s="27"/>
    </row>
    <row r="457" spans="43:47" x14ac:dyDescent="0.25">
      <c r="AQ457" s="27"/>
      <c r="AR457" s="27"/>
      <c r="AS457" s="27"/>
      <c r="AT457" s="27"/>
      <c r="AU457" s="27"/>
    </row>
    <row r="458" spans="43:47" x14ac:dyDescent="0.25">
      <c r="AQ458" s="27"/>
      <c r="AR458" s="27"/>
      <c r="AS458" s="27"/>
      <c r="AT458" s="27"/>
      <c r="AU458" s="27"/>
    </row>
    <row r="459" spans="43:47" x14ac:dyDescent="0.25">
      <c r="AQ459" s="27"/>
      <c r="AR459" s="27"/>
      <c r="AS459" s="27"/>
      <c r="AT459" s="27"/>
      <c r="AU459" s="27"/>
    </row>
    <row r="460" spans="43:47" x14ac:dyDescent="0.25">
      <c r="AQ460" s="27"/>
      <c r="AR460" s="27"/>
      <c r="AS460" s="27"/>
      <c r="AT460" s="27"/>
      <c r="AU460" s="27"/>
    </row>
    <row r="461" spans="43:47" x14ac:dyDescent="0.25">
      <c r="AQ461" s="27"/>
      <c r="AR461" s="27"/>
      <c r="AS461" s="27"/>
      <c r="AT461" s="27"/>
      <c r="AU461" s="27"/>
    </row>
    <row r="462" spans="43:47" x14ac:dyDescent="0.25">
      <c r="AQ462" s="27"/>
      <c r="AR462" s="27"/>
      <c r="AS462" s="27"/>
      <c r="AT462" s="27"/>
      <c r="AU462" s="27"/>
    </row>
    <row r="463" spans="43:47" x14ac:dyDescent="0.25">
      <c r="AQ463" s="27"/>
      <c r="AR463" s="27"/>
      <c r="AS463" s="27"/>
      <c r="AT463" s="27"/>
      <c r="AU463" s="27"/>
    </row>
    <row r="464" spans="43:47" x14ac:dyDescent="0.25">
      <c r="AQ464" s="27"/>
      <c r="AR464" s="27"/>
      <c r="AS464" s="27"/>
      <c r="AT464" s="27"/>
      <c r="AU464" s="27"/>
    </row>
    <row r="465" spans="43:47" x14ac:dyDescent="0.25">
      <c r="AQ465" s="27"/>
      <c r="AR465" s="27"/>
      <c r="AS465" s="27"/>
      <c r="AT465" s="27"/>
      <c r="AU465" s="27"/>
    </row>
    <row r="466" spans="43:47" x14ac:dyDescent="0.25">
      <c r="AQ466" s="27"/>
      <c r="AR466" s="27"/>
      <c r="AS466" s="27"/>
      <c r="AT466" s="27"/>
      <c r="AU466" s="27"/>
    </row>
    <row r="467" spans="43:47" x14ac:dyDescent="0.25">
      <c r="AQ467" s="27"/>
      <c r="AR467" s="27"/>
      <c r="AS467" s="27"/>
      <c r="AT467" s="27"/>
      <c r="AU467" s="27"/>
    </row>
    <row r="468" spans="43:47" x14ac:dyDescent="0.25">
      <c r="AQ468" s="27"/>
      <c r="AR468" s="27"/>
      <c r="AS468" s="27"/>
      <c r="AT468" s="27"/>
      <c r="AU468" s="27"/>
    </row>
    <row r="469" spans="43:47" x14ac:dyDescent="0.25">
      <c r="AQ469" s="27"/>
      <c r="AR469" s="27"/>
      <c r="AS469" s="27"/>
      <c r="AT469" s="27"/>
      <c r="AU469" s="27"/>
    </row>
    <row r="470" spans="43:47" x14ac:dyDescent="0.25">
      <c r="AQ470" s="27"/>
      <c r="AR470" s="27"/>
      <c r="AS470" s="27"/>
      <c r="AT470" s="27"/>
      <c r="AU470" s="27"/>
    </row>
    <row r="471" spans="43:47" x14ac:dyDescent="0.25">
      <c r="AQ471" s="27"/>
      <c r="AR471" s="27"/>
      <c r="AS471" s="27"/>
      <c r="AT471" s="27"/>
      <c r="AU471" s="27"/>
    </row>
    <row r="472" spans="43:47" x14ac:dyDescent="0.25">
      <c r="AQ472" s="27"/>
      <c r="AR472" s="27"/>
      <c r="AS472" s="27"/>
      <c r="AT472" s="27"/>
      <c r="AU472" s="27"/>
    </row>
    <row r="473" spans="43:47" x14ac:dyDescent="0.25">
      <c r="AQ473" s="27"/>
      <c r="AR473" s="27"/>
      <c r="AS473" s="27"/>
      <c r="AT473" s="27"/>
      <c r="AU473" s="27"/>
    </row>
    <row r="474" spans="43:47" x14ac:dyDescent="0.25">
      <c r="AQ474" s="27"/>
      <c r="AR474" s="27"/>
      <c r="AS474" s="27"/>
      <c r="AT474" s="27"/>
      <c r="AU474" s="27"/>
    </row>
    <row r="475" spans="43:47" x14ac:dyDescent="0.25">
      <c r="AQ475" s="27"/>
      <c r="AR475" s="27"/>
      <c r="AS475" s="27"/>
      <c r="AT475" s="27"/>
      <c r="AU475" s="27"/>
    </row>
    <row r="476" spans="43:47" x14ac:dyDescent="0.25">
      <c r="AQ476" s="27"/>
      <c r="AR476" s="27"/>
      <c r="AS476" s="27"/>
      <c r="AT476" s="27"/>
      <c r="AU476" s="27"/>
    </row>
    <row r="477" spans="43:47" x14ac:dyDescent="0.25">
      <c r="AQ477" s="27"/>
      <c r="AR477" s="27"/>
      <c r="AS477" s="27"/>
      <c r="AT477" s="27"/>
      <c r="AU477" s="27"/>
    </row>
    <row r="478" spans="43:47" x14ac:dyDescent="0.25">
      <c r="AQ478" s="27"/>
      <c r="AR478" s="27"/>
      <c r="AS478" s="27"/>
      <c r="AT478" s="27"/>
      <c r="AU478" s="27"/>
    </row>
    <row r="479" spans="43:47" x14ac:dyDescent="0.25">
      <c r="AQ479" s="27"/>
      <c r="AR479" s="27"/>
      <c r="AS479" s="27"/>
      <c r="AT479" s="27"/>
      <c r="AU479" s="27"/>
    </row>
    <row r="480" spans="43:47" x14ac:dyDescent="0.25">
      <c r="AQ480" s="27"/>
      <c r="AR480" s="27"/>
      <c r="AS480" s="27"/>
      <c r="AT480" s="27"/>
      <c r="AU480" s="27"/>
    </row>
    <row r="481" spans="43:47" x14ac:dyDescent="0.25">
      <c r="AQ481" s="27"/>
      <c r="AR481" s="27"/>
      <c r="AS481" s="27"/>
      <c r="AT481" s="27"/>
      <c r="AU481" s="27"/>
    </row>
    <row r="482" spans="43:47" x14ac:dyDescent="0.25">
      <c r="AQ482" s="27"/>
      <c r="AR482" s="27"/>
      <c r="AS482" s="27"/>
      <c r="AT482" s="27"/>
      <c r="AU482" s="27"/>
    </row>
    <row r="483" spans="43:47" x14ac:dyDescent="0.25">
      <c r="AQ483" s="27"/>
      <c r="AR483" s="27"/>
      <c r="AS483" s="27"/>
      <c r="AT483" s="27"/>
      <c r="AU483" s="27"/>
    </row>
    <row r="484" spans="43:47" x14ac:dyDescent="0.25">
      <c r="AQ484" s="27"/>
      <c r="AR484" s="27"/>
      <c r="AS484" s="27"/>
      <c r="AT484" s="27"/>
      <c r="AU484" s="27"/>
    </row>
    <row r="485" spans="43:47" x14ac:dyDescent="0.25">
      <c r="AQ485" s="27"/>
      <c r="AR485" s="27"/>
      <c r="AS485" s="27"/>
      <c r="AT485" s="27"/>
      <c r="AU485" s="27"/>
    </row>
    <row r="486" spans="43:47" x14ac:dyDescent="0.25">
      <c r="AQ486" s="27"/>
      <c r="AR486" s="27"/>
      <c r="AS486" s="27"/>
      <c r="AT486" s="27"/>
      <c r="AU486" s="27"/>
    </row>
    <row r="487" spans="43:47" x14ac:dyDescent="0.25">
      <c r="AQ487" s="27"/>
      <c r="AR487" s="27"/>
      <c r="AS487" s="27"/>
      <c r="AT487" s="27"/>
      <c r="AU487" s="27"/>
    </row>
    <row r="488" spans="43:47" x14ac:dyDescent="0.25">
      <c r="AQ488" s="27"/>
      <c r="AR488" s="27"/>
      <c r="AS488" s="27"/>
      <c r="AT488" s="27"/>
      <c r="AU488" s="27"/>
    </row>
    <row r="489" spans="43:47" x14ac:dyDescent="0.25">
      <c r="AQ489" s="27"/>
      <c r="AR489" s="27"/>
      <c r="AS489" s="27"/>
      <c r="AT489" s="27"/>
      <c r="AU489" s="27"/>
    </row>
    <row r="490" spans="43:47" x14ac:dyDescent="0.25">
      <c r="AQ490" s="27"/>
      <c r="AR490" s="27"/>
      <c r="AS490" s="27"/>
      <c r="AT490" s="27"/>
      <c r="AU490" s="27"/>
    </row>
    <row r="491" spans="43:47" x14ac:dyDescent="0.25">
      <c r="AQ491" s="27"/>
      <c r="AR491" s="27"/>
      <c r="AS491" s="27"/>
      <c r="AT491" s="27"/>
      <c r="AU491" s="27"/>
    </row>
    <row r="492" spans="43:47" x14ac:dyDescent="0.25">
      <c r="AQ492" s="27"/>
      <c r="AR492" s="27"/>
      <c r="AS492" s="27"/>
      <c r="AT492" s="27"/>
      <c r="AU492" s="27"/>
    </row>
    <row r="493" spans="43:47" x14ac:dyDescent="0.25">
      <c r="AQ493" s="27"/>
      <c r="AR493" s="27"/>
      <c r="AS493" s="27"/>
      <c r="AT493" s="27"/>
      <c r="AU493" s="27"/>
    </row>
    <row r="494" spans="43:47" x14ac:dyDescent="0.25">
      <c r="AQ494" s="27"/>
      <c r="AR494" s="27"/>
      <c r="AS494" s="27"/>
      <c r="AT494" s="27"/>
      <c r="AU494" s="27"/>
    </row>
    <row r="495" spans="43:47" x14ac:dyDescent="0.25">
      <c r="AQ495" s="27"/>
      <c r="AR495" s="27"/>
      <c r="AS495" s="27"/>
      <c r="AT495" s="27"/>
      <c r="AU495" s="27"/>
    </row>
    <row r="496" spans="43:47" x14ac:dyDescent="0.25">
      <c r="AQ496" s="27"/>
      <c r="AR496" s="27"/>
      <c r="AS496" s="27"/>
      <c r="AT496" s="27"/>
      <c r="AU496" s="27"/>
    </row>
    <row r="497" spans="43:47" x14ac:dyDescent="0.25">
      <c r="AQ497" s="27"/>
      <c r="AR497" s="27"/>
      <c r="AS497" s="27"/>
      <c r="AT497" s="27"/>
      <c r="AU497" s="27"/>
    </row>
    <row r="498" spans="43:47" x14ac:dyDescent="0.25">
      <c r="AQ498" s="27"/>
      <c r="AR498" s="27"/>
      <c r="AS498" s="27"/>
      <c r="AT498" s="27"/>
      <c r="AU498" s="27"/>
    </row>
    <row r="499" spans="43:47" x14ac:dyDescent="0.25">
      <c r="AQ499" s="27"/>
      <c r="AR499" s="27"/>
      <c r="AS499" s="27"/>
      <c r="AT499" s="27"/>
      <c r="AU499" s="27"/>
    </row>
    <row r="500" spans="43:47" x14ac:dyDescent="0.25">
      <c r="AQ500" s="27"/>
      <c r="AR500" s="27"/>
      <c r="AS500" s="27"/>
      <c r="AT500" s="27"/>
      <c r="AU500" s="27"/>
    </row>
    <row r="501" spans="43:47" x14ac:dyDescent="0.25">
      <c r="AQ501" s="27"/>
      <c r="AR501" s="27"/>
      <c r="AS501" s="27"/>
      <c r="AT501" s="27"/>
      <c r="AU501" s="27"/>
    </row>
    <row r="502" spans="43:47" x14ac:dyDescent="0.25">
      <c r="AQ502" s="27"/>
      <c r="AR502" s="27"/>
      <c r="AS502" s="27"/>
      <c r="AT502" s="27"/>
      <c r="AU502" s="27"/>
    </row>
    <row r="503" spans="43:47" x14ac:dyDescent="0.25">
      <c r="AQ503" s="27"/>
      <c r="AR503" s="27"/>
      <c r="AS503" s="27"/>
      <c r="AT503" s="27"/>
      <c r="AU503" s="27"/>
    </row>
    <row r="504" spans="43:47" x14ac:dyDescent="0.25">
      <c r="AQ504" s="27"/>
      <c r="AR504" s="27"/>
      <c r="AS504" s="27"/>
      <c r="AT504" s="27"/>
      <c r="AU504" s="27"/>
    </row>
    <row r="505" spans="43:47" x14ac:dyDescent="0.25">
      <c r="AQ505" s="27"/>
      <c r="AR505" s="27"/>
      <c r="AS505" s="27"/>
      <c r="AT505" s="27"/>
      <c r="AU505" s="27"/>
    </row>
    <row r="506" spans="43:47" x14ac:dyDescent="0.25">
      <c r="AQ506" s="27"/>
      <c r="AR506" s="27"/>
      <c r="AS506" s="27"/>
      <c r="AT506" s="27"/>
      <c r="AU506" s="27"/>
    </row>
    <row r="507" spans="43:47" x14ac:dyDescent="0.25">
      <c r="AQ507" s="27"/>
      <c r="AR507" s="27"/>
      <c r="AS507" s="27"/>
      <c r="AT507" s="27"/>
      <c r="AU507" s="27"/>
    </row>
    <row r="508" spans="43:47" x14ac:dyDescent="0.25">
      <c r="AQ508" s="27"/>
      <c r="AR508" s="27"/>
      <c r="AS508" s="27"/>
      <c r="AT508" s="27"/>
      <c r="AU508" s="27"/>
    </row>
    <row r="509" spans="43:47" x14ac:dyDescent="0.25">
      <c r="AQ509" s="27"/>
      <c r="AR509" s="27"/>
      <c r="AS509" s="27"/>
      <c r="AT509" s="27"/>
      <c r="AU509" s="27"/>
    </row>
    <row r="510" spans="43:47" x14ac:dyDescent="0.25">
      <c r="AQ510" s="27"/>
      <c r="AR510" s="27"/>
      <c r="AS510" s="27"/>
      <c r="AT510" s="27"/>
      <c r="AU510" s="27"/>
    </row>
    <row r="511" spans="43:47" x14ac:dyDescent="0.25">
      <c r="AQ511" s="27"/>
      <c r="AR511" s="27"/>
      <c r="AS511" s="27"/>
      <c r="AT511" s="27"/>
      <c r="AU511" s="27"/>
    </row>
    <row r="512" spans="43:47" x14ac:dyDescent="0.25">
      <c r="AQ512" s="27"/>
      <c r="AR512" s="27"/>
      <c r="AS512" s="27"/>
      <c r="AT512" s="27"/>
      <c r="AU512" s="27"/>
    </row>
    <row r="513" spans="43:47" x14ac:dyDescent="0.25">
      <c r="AQ513" s="27"/>
      <c r="AR513" s="27"/>
      <c r="AS513" s="27"/>
      <c r="AT513" s="27"/>
      <c r="AU513" s="27"/>
    </row>
    <row r="514" spans="43:47" x14ac:dyDescent="0.25">
      <c r="AQ514" s="27"/>
      <c r="AR514" s="27"/>
      <c r="AS514" s="27"/>
      <c r="AT514" s="27"/>
      <c r="AU514" s="27"/>
    </row>
    <row r="515" spans="43:47" x14ac:dyDescent="0.25">
      <c r="AQ515" s="27"/>
      <c r="AR515" s="27"/>
      <c r="AS515" s="27"/>
      <c r="AT515" s="27"/>
      <c r="AU515" s="27"/>
    </row>
    <row r="516" spans="43:47" x14ac:dyDescent="0.25">
      <c r="AQ516" s="27"/>
      <c r="AR516" s="27"/>
      <c r="AS516" s="27"/>
      <c r="AT516" s="27"/>
      <c r="AU516" s="27"/>
    </row>
    <row r="517" spans="43:47" x14ac:dyDescent="0.25">
      <c r="AQ517" s="27"/>
      <c r="AR517" s="27"/>
      <c r="AS517" s="27"/>
      <c r="AT517" s="27"/>
      <c r="AU517" s="27"/>
    </row>
    <row r="518" spans="43:47" x14ac:dyDescent="0.25">
      <c r="AQ518" s="27"/>
      <c r="AR518" s="27"/>
      <c r="AS518" s="27"/>
      <c r="AT518" s="27"/>
      <c r="AU518" s="27"/>
    </row>
    <row r="519" spans="43:47" x14ac:dyDescent="0.25">
      <c r="AQ519" s="27"/>
      <c r="AR519" s="27"/>
      <c r="AS519" s="27"/>
      <c r="AT519" s="27"/>
      <c r="AU519" s="27"/>
    </row>
    <row r="520" spans="43:47" x14ac:dyDescent="0.25">
      <c r="AQ520" s="27"/>
      <c r="AR520" s="27"/>
      <c r="AS520" s="27"/>
      <c r="AT520" s="27"/>
      <c r="AU520" s="27"/>
    </row>
    <row r="521" spans="43:47" x14ac:dyDescent="0.25">
      <c r="AQ521" s="27"/>
      <c r="AR521" s="27"/>
      <c r="AS521" s="27"/>
      <c r="AT521" s="27"/>
      <c r="AU521" s="27"/>
    </row>
    <row r="522" spans="43:47" x14ac:dyDescent="0.25">
      <c r="AQ522" s="27"/>
      <c r="AR522" s="27"/>
      <c r="AS522" s="27"/>
      <c r="AT522" s="27"/>
      <c r="AU522" s="27"/>
    </row>
    <row r="523" spans="43:47" x14ac:dyDescent="0.25">
      <c r="AQ523" s="27"/>
      <c r="AR523" s="27"/>
      <c r="AS523" s="27"/>
      <c r="AT523" s="27"/>
      <c r="AU523" s="27"/>
    </row>
    <row r="524" spans="43:47" x14ac:dyDescent="0.25">
      <c r="AQ524" s="27"/>
      <c r="AR524" s="27"/>
      <c r="AS524" s="27"/>
      <c r="AT524" s="27"/>
      <c r="AU524" s="27"/>
    </row>
    <row r="525" spans="43:47" x14ac:dyDescent="0.25">
      <c r="AQ525" s="27"/>
      <c r="AR525" s="27"/>
      <c r="AS525" s="27"/>
      <c r="AT525" s="27"/>
      <c r="AU525" s="27"/>
    </row>
    <row r="526" spans="43:47" x14ac:dyDescent="0.25">
      <c r="AQ526" s="27"/>
      <c r="AR526" s="27"/>
      <c r="AS526" s="27"/>
      <c r="AT526" s="27"/>
      <c r="AU526" s="27"/>
    </row>
    <row r="527" spans="43:47" x14ac:dyDescent="0.25">
      <c r="AQ527" s="27"/>
      <c r="AR527" s="27"/>
      <c r="AS527" s="27"/>
      <c r="AT527" s="27"/>
      <c r="AU527" s="27"/>
    </row>
    <row r="528" spans="43:47" x14ac:dyDescent="0.25">
      <c r="AQ528" s="27"/>
      <c r="AR528" s="27"/>
      <c r="AS528" s="27"/>
      <c r="AT528" s="27"/>
      <c r="AU528" s="27"/>
    </row>
    <row r="529" spans="43:47" x14ac:dyDescent="0.25">
      <c r="AQ529" s="27"/>
      <c r="AR529" s="27"/>
      <c r="AS529" s="27"/>
      <c r="AT529" s="27"/>
      <c r="AU529" s="27"/>
    </row>
    <row r="530" spans="43:47" x14ac:dyDescent="0.25">
      <c r="AQ530" s="27"/>
      <c r="AR530" s="27"/>
      <c r="AS530" s="27"/>
      <c r="AT530" s="27"/>
      <c r="AU530" s="27"/>
    </row>
    <row r="531" spans="43:47" x14ac:dyDescent="0.25">
      <c r="AQ531" s="27"/>
      <c r="AR531" s="27"/>
      <c r="AS531" s="27"/>
      <c r="AT531" s="27"/>
      <c r="AU531" s="27"/>
    </row>
    <row r="532" spans="43:47" x14ac:dyDescent="0.25">
      <c r="AQ532" s="27"/>
      <c r="AR532" s="27"/>
      <c r="AS532" s="27"/>
      <c r="AT532" s="27"/>
      <c r="AU532" s="27"/>
    </row>
    <row r="533" spans="43:47" x14ac:dyDescent="0.25">
      <c r="AQ533" s="27"/>
      <c r="AR533" s="27"/>
      <c r="AS533" s="27"/>
      <c r="AT533" s="27"/>
      <c r="AU533" s="27"/>
    </row>
    <row r="534" spans="43:47" x14ac:dyDescent="0.25">
      <c r="AQ534" s="27"/>
      <c r="AR534" s="27"/>
      <c r="AS534" s="27"/>
      <c r="AT534" s="27"/>
      <c r="AU534" s="27"/>
    </row>
    <row r="535" spans="43:47" x14ac:dyDescent="0.25">
      <c r="AQ535" s="27"/>
      <c r="AR535" s="27"/>
      <c r="AS535" s="27"/>
      <c r="AT535" s="27"/>
      <c r="AU535" s="27"/>
    </row>
    <row r="536" spans="43:47" x14ac:dyDescent="0.25">
      <c r="AQ536" s="27"/>
      <c r="AR536" s="27"/>
      <c r="AS536" s="27"/>
      <c r="AT536" s="27"/>
      <c r="AU536" s="27"/>
    </row>
    <row r="537" spans="43:47" x14ac:dyDescent="0.25">
      <c r="AQ537" s="27"/>
      <c r="AR537" s="27"/>
      <c r="AS537" s="27"/>
      <c r="AT537" s="27"/>
      <c r="AU537" s="27"/>
    </row>
    <row r="538" spans="43:47" x14ac:dyDescent="0.25">
      <c r="AQ538" s="27"/>
      <c r="AR538" s="27"/>
      <c r="AS538" s="27"/>
      <c r="AT538" s="27"/>
      <c r="AU538" s="27"/>
    </row>
    <row r="539" spans="43:47" x14ac:dyDescent="0.25">
      <c r="AQ539" s="27"/>
      <c r="AR539" s="27"/>
      <c r="AS539" s="27"/>
      <c r="AT539" s="27"/>
      <c r="AU539" s="27"/>
    </row>
    <row r="540" spans="43:47" x14ac:dyDescent="0.25">
      <c r="AQ540" s="27"/>
      <c r="AR540" s="27"/>
      <c r="AS540" s="27"/>
      <c r="AT540" s="27"/>
      <c r="AU540" s="27"/>
    </row>
    <row r="541" spans="43:47" x14ac:dyDescent="0.25">
      <c r="AQ541" s="27"/>
      <c r="AR541" s="27"/>
      <c r="AS541" s="27"/>
      <c r="AT541" s="27"/>
      <c r="AU541" s="27"/>
    </row>
    <row r="542" spans="43:47" x14ac:dyDescent="0.25">
      <c r="AQ542" s="27"/>
      <c r="AR542" s="27"/>
      <c r="AS542" s="27"/>
      <c r="AT542" s="27"/>
      <c r="AU542" s="27"/>
    </row>
    <row r="543" spans="43:47" x14ac:dyDescent="0.25">
      <c r="AQ543" s="27"/>
      <c r="AR543" s="27"/>
      <c r="AS543" s="27"/>
      <c r="AT543" s="27"/>
      <c r="AU543" s="27"/>
    </row>
    <row r="544" spans="43:47" x14ac:dyDescent="0.25">
      <c r="AQ544" s="27"/>
      <c r="AR544" s="27"/>
      <c r="AS544" s="27"/>
      <c r="AT544" s="27"/>
      <c r="AU544" s="27"/>
    </row>
    <row r="545" spans="43:47" x14ac:dyDescent="0.25">
      <c r="AQ545" s="27"/>
      <c r="AR545" s="27"/>
      <c r="AS545" s="27"/>
      <c r="AT545" s="27"/>
      <c r="AU545" s="27"/>
    </row>
    <row r="546" spans="43:47" x14ac:dyDescent="0.25">
      <c r="AQ546" s="27"/>
      <c r="AR546" s="27"/>
      <c r="AS546" s="27"/>
      <c r="AT546" s="27"/>
      <c r="AU546" s="27"/>
    </row>
    <row r="547" spans="43:47" x14ac:dyDescent="0.25">
      <c r="AQ547" s="27"/>
      <c r="AR547" s="27"/>
      <c r="AS547" s="27"/>
      <c r="AT547" s="27"/>
      <c r="AU547" s="27"/>
    </row>
    <row r="548" spans="43:47" x14ac:dyDescent="0.25">
      <c r="AQ548" s="27"/>
      <c r="AR548" s="27"/>
      <c r="AS548" s="27"/>
      <c r="AT548" s="27"/>
      <c r="AU548" s="27"/>
    </row>
    <row r="549" spans="43:47" x14ac:dyDescent="0.25">
      <c r="AQ549" s="27"/>
      <c r="AR549" s="27"/>
      <c r="AS549" s="27"/>
      <c r="AT549" s="27"/>
      <c r="AU549" s="27"/>
    </row>
    <row r="550" spans="43:47" x14ac:dyDescent="0.25">
      <c r="AQ550" s="27"/>
      <c r="AR550" s="27"/>
      <c r="AS550" s="27"/>
      <c r="AT550" s="27"/>
      <c r="AU550" s="27"/>
    </row>
    <row r="551" spans="43:47" x14ac:dyDescent="0.25">
      <c r="AQ551" s="27"/>
      <c r="AR551" s="27"/>
      <c r="AS551" s="27"/>
      <c r="AT551" s="27"/>
      <c r="AU551" s="27"/>
    </row>
    <row r="552" spans="43:47" x14ac:dyDescent="0.25">
      <c r="AQ552" s="27"/>
      <c r="AR552" s="27"/>
      <c r="AS552" s="27"/>
      <c r="AT552" s="27"/>
      <c r="AU552" s="27"/>
    </row>
    <row r="553" spans="43:47" x14ac:dyDescent="0.25">
      <c r="AQ553" s="27"/>
      <c r="AR553" s="27"/>
      <c r="AS553" s="27"/>
      <c r="AT553" s="27"/>
      <c r="AU553" s="27"/>
    </row>
    <row r="554" spans="43:47" x14ac:dyDescent="0.25">
      <c r="AQ554" s="27"/>
      <c r="AR554" s="27"/>
      <c r="AS554" s="27"/>
      <c r="AT554" s="27"/>
      <c r="AU554" s="27"/>
    </row>
    <row r="555" spans="43:47" x14ac:dyDescent="0.25">
      <c r="AQ555" s="27"/>
      <c r="AR555" s="27"/>
      <c r="AS555" s="27"/>
      <c r="AT555" s="27"/>
      <c r="AU555" s="27"/>
    </row>
    <row r="556" spans="43:47" x14ac:dyDescent="0.25">
      <c r="AQ556" s="27"/>
      <c r="AR556" s="27"/>
      <c r="AS556" s="27"/>
      <c r="AT556" s="27"/>
      <c r="AU556" s="27"/>
    </row>
    <row r="557" spans="43:47" x14ac:dyDescent="0.25">
      <c r="AQ557" s="27"/>
      <c r="AR557" s="27"/>
      <c r="AS557" s="27"/>
      <c r="AT557" s="27"/>
      <c r="AU557" s="27"/>
    </row>
    <row r="558" spans="43:47" x14ac:dyDescent="0.25">
      <c r="AQ558" s="27"/>
      <c r="AR558" s="27"/>
      <c r="AS558" s="27"/>
      <c r="AT558" s="27"/>
      <c r="AU558" s="27"/>
    </row>
    <row r="559" spans="43:47" x14ac:dyDescent="0.25">
      <c r="AQ559" s="27"/>
      <c r="AR559" s="27"/>
      <c r="AS559" s="27"/>
      <c r="AT559" s="27"/>
      <c r="AU559" s="27"/>
    </row>
    <row r="560" spans="43:47" x14ac:dyDescent="0.25">
      <c r="AQ560" s="27"/>
      <c r="AR560" s="27"/>
      <c r="AS560" s="27"/>
      <c r="AT560" s="27"/>
      <c r="AU560" s="27"/>
    </row>
    <row r="561" spans="43:47" x14ac:dyDescent="0.25">
      <c r="AQ561" s="27"/>
      <c r="AR561" s="27"/>
      <c r="AS561" s="27"/>
      <c r="AT561" s="27"/>
      <c r="AU561" s="27"/>
    </row>
    <row r="562" spans="43:47" x14ac:dyDescent="0.25">
      <c r="AQ562" s="27"/>
      <c r="AR562" s="27"/>
      <c r="AS562" s="27"/>
      <c r="AT562" s="27"/>
      <c r="AU562" s="27"/>
    </row>
    <row r="563" spans="43:47" x14ac:dyDescent="0.25">
      <c r="AQ563" s="27"/>
      <c r="AR563" s="27"/>
      <c r="AS563" s="27"/>
      <c r="AT563" s="27"/>
      <c r="AU563" s="27"/>
    </row>
    <row r="564" spans="43:47" x14ac:dyDescent="0.25">
      <c r="AQ564" s="27"/>
      <c r="AR564" s="27"/>
      <c r="AS564" s="27"/>
      <c r="AT564" s="27"/>
      <c r="AU564" s="27"/>
    </row>
    <row r="565" spans="43:47" x14ac:dyDescent="0.25">
      <c r="AQ565" s="27"/>
      <c r="AR565" s="27"/>
      <c r="AS565" s="27"/>
      <c r="AT565" s="27"/>
      <c r="AU565" s="27"/>
    </row>
    <row r="566" spans="43:47" x14ac:dyDescent="0.25">
      <c r="AQ566" s="27"/>
      <c r="AR566" s="27"/>
      <c r="AS566" s="27"/>
      <c r="AT566" s="27"/>
      <c r="AU566" s="27"/>
    </row>
    <row r="567" spans="43:47" x14ac:dyDescent="0.25">
      <c r="AQ567" s="27"/>
      <c r="AR567" s="27"/>
      <c r="AS567" s="27"/>
      <c r="AT567" s="27"/>
      <c r="AU567" s="27"/>
    </row>
    <row r="568" spans="43:47" x14ac:dyDescent="0.25">
      <c r="AQ568" s="27"/>
      <c r="AR568" s="27"/>
      <c r="AS568" s="27"/>
      <c r="AT568" s="27"/>
      <c r="AU568" s="27"/>
    </row>
    <row r="569" spans="43:47" x14ac:dyDescent="0.25">
      <c r="AQ569" s="27"/>
      <c r="AR569" s="27"/>
      <c r="AS569" s="27"/>
      <c r="AT569" s="27"/>
      <c r="AU569" s="27"/>
    </row>
    <row r="570" spans="43:47" x14ac:dyDescent="0.25">
      <c r="AQ570" s="27"/>
      <c r="AR570" s="27"/>
      <c r="AS570" s="27"/>
      <c r="AT570" s="27"/>
      <c r="AU570" s="27"/>
    </row>
    <row r="571" spans="43:47" x14ac:dyDescent="0.25">
      <c r="AQ571" s="27"/>
      <c r="AR571" s="27"/>
      <c r="AS571" s="27"/>
      <c r="AT571" s="27"/>
      <c r="AU571" s="27"/>
    </row>
    <row r="572" spans="43:47" x14ac:dyDescent="0.25">
      <c r="AQ572" s="27"/>
      <c r="AR572" s="27"/>
      <c r="AS572" s="27"/>
      <c r="AT572" s="27"/>
      <c r="AU572" s="27"/>
    </row>
    <row r="573" spans="43:47" x14ac:dyDescent="0.25">
      <c r="AQ573" s="27"/>
      <c r="AR573" s="27"/>
      <c r="AS573" s="27"/>
      <c r="AT573" s="27"/>
      <c r="AU573" s="27"/>
    </row>
    <row r="574" spans="43:47" x14ac:dyDescent="0.25">
      <c r="AQ574" s="27"/>
      <c r="AR574" s="27"/>
      <c r="AS574" s="27"/>
      <c r="AT574" s="27"/>
      <c r="AU574" s="27"/>
    </row>
    <row r="575" spans="43:47" x14ac:dyDescent="0.25">
      <c r="AQ575" s="27"/>
      <c r="AR575" s="27"/>
      <c r="AS575" s="27"/>
      <c r="AT575" s="27"/>
      <c r="AU575" s="27"/>
    </row>
    <row r="576" spans="43:47" x14ac:dyDescent="0.25">
      <c r="AQ576" s="27"/>
      <c r="AR576" s="27"/>
      <c r="AS576" s="27"/>
      <c r="AT576" s="27"/>
      <c r="AU576" s="27"/>
    </row>
    <row r="577" spans="43:47" x14ac:dyDescent="0.25">
      <c r="AQ577" s="27"/>
      <c r="AR577" s="27"/>
      <c r="AS577" s="27"/>
      <c r="AT577" s="27"/>
      <c r="AU577" s="27"/>
    </row>
    <row r="578" spans="43:47" x14ac:dyDescent="0.25">
      <c r="AQ578" s="27"/>
      <c r="AR578" s="27"/>
      <c r="AS578" s="27"/>
      <c r="AT578" s="27"/>
      <c r="AU578" s="27"/>
    </row>
    <row r="579" spans="43:47" x14ac:dyDescent="0.25">
      <c r="AQ579" s="27"/>
      <c r="AR579" s="27"/>
      <c r="AS579" s="27"/>
      <c r="AT579" s="27"/>
      <c r="AU579" s="27"/>
    </row>
    <row r="580" spans="43:47" x14ac:dyDescent="0.25">
      <c r="AQ580" s="27"/>
      <c r="AR580" s="27"/>
      <c r="AS580" s="27"/>
      <c r="AT580" s="27"/>
      <c r="AU580" s="27"/>
    </row>
    <row r="581" spans="43:47" x14ac:dyDescent="0.25">
      <c r="AQ581" s="27"/>
      <c r="AR581" s="27"/>
      <c r="AS581" s="27"/>
      <c r="AT581" s="27"/>
      <c r="AU581" s="27"/>
    </row>
    <row r="582" spans="43:47" x14ac:dyDescent="0.25">
      <c r="AQ582" s="27"/>
      <c r="AR582" s="27"/>
      <c r="AS582" s="27"/>
      <c r="AT582" s="27"/>
      <c r="AU582" s="27"/>
    </row>
    <row r="583" spans="43:47" x14ac:dyDescent="0.25">
      <c r="AQ583" s="27"/>
      <c r="AR583" s="27"/>
      <c r="AS583" s="27"/>
      <c r="AT583" s="27"/>
      <c r="AU583" s="27"/>
    </row>
    <row r="584" spans="43:47" x14ac:dyDescent="0.25">
      <c r="AQ584" s="27"/>
      <c r="AR584" s="27"/>
      <c r="AS584" s="27"/>
      <c r="AT584" s="27"/>
      <c r="AU584" s="27"/>
    </row>
    <row r="585" spans="43:47" x14ac:dyDescent="0.25">
      <c r="AQ585" s="27"/>
      <c r="AR585" s="27"/>
      <c r="AS585" s="27"/>
      <c r="AT585" s="27"/>
      <c r="AU585" s="27"/>
    </row>
    <row r="586" spans="43:47" x14ac:dyDescent="0.25">
      <c r="AQ586" s="27"/>
      <c r="AR586" s="27"/>
      <c r="AS586" s="27"/>
      <c r="AT586" s="27"/>
      <c r="AU586" s="27"/>
    </row>
    <row r="587" spans="43:47" x14ac:dyDescent="0.25">
      <c r="AQ587" s="27"/>
      <c r="AR587" s="27"/>
      <c r="AS587" s="27"/>
      <c r="AT587" s="27"/>
      <c r="AU587" s="27"/>
    </row>
    <row r="588" spans="43:47" x14ac:dyDescent="0.25">
      <c r="AQ588" s="27"/>
      <c r="AR588" s="27"/>
      <c r="AS588" s="27"/>
      <c r="AT588" s="27"/>
      <c r="AU588" s="27"/>
    </row>
    <row r="589" spans="43:47" x14ac:dyDescent="0.25">
      <c r="AQ589" s="27"/>
      <c r="AR589" s="27"/>
      <c r="AS589" s="27"/>
      <c r="AT589" s="27"/>
      <c r="AU589" s="27"/>
    </row>
    <row r="590" spans="43:47" x14ac:dyDescent="0.25">
      <c r="AQ590" s="27"/>
      <c r="AR590" s="27"/>
      <c r="AS590" s="27"/>
      <c r="AT590" s="27"/>
      <c r="AU590" s="27"/>
    </row>
    <row r="591" spans="43:47" x14ac:dyDescent="0.25">
      <c r="AQ591" s="27"/>
      <c r="AR591" s="27"/>
      <c r="AS591" s="27"/>
      <c r="AT591" s="27"/>
      <c r="AU591" s="27"/>
    </row>
    <row r="592" spans="43:47" x14ac:dyDescent="0.25">
      <c r="AQ592" s="27"/>
      <c r="AR592" s="27"/>
      <c r="AS592" s="27"/>
      <c r="AT592" s="27"/>
      <c r="AU592" s="27"/>
    </row>
    <row r="593" spans="43:47" x14ac:dyDescent="0.25">
      <c r="AQ593" s="27"/>
      <c r="AR593" s="27"/>
      <c r="AS593" s="27"/>
      <c r="AT593" s="27"/>
      <c r="AU593" s="27"/>
    </row>
    <row r="594" spans="43:47" x14ac:dyDescent="0.25">
      <c r="AQ594" s="27"/>
      <c r="AR594" s="27"/>
      <c r="AS594" s="27"/>
      <c r="AT594" s="27"/>
      <c r="AU594" s="27"/>
    </row>
    <row r="595" spans="43:47" x14ac:dyDescent="0.25">
      <c r="AQ595" s="27"/>
      <c r="AR595" s="27"/>
      <c r="AS595" s="27"/>
      <c r="AT595" s="27"/>
      <c r="AU595" s="27"/>
    </row>
    <row r="596" spans="43:47" x14ac:dyDescent="0.25">
      <c r="AQ596" s="27"/>
      <c r="AR596" s="27"/>
      <c r="AS596" s="27"/>
      <c r="AT596" s="27"/>
      <c r="AU596" s="27"/>
    </row>
    <row r="597" spans="43:47" x14ac:dyDescent="0.25">
      <c r="AQ597" s="27"/>
      <c r="AR597" s="27"/>
      <c r="AS597" s="27"/>
      <c r="AT597" s="27"/>
      <c r="AU597" s="27"/>
    </row>
    <row r="598" spans="43:47" x14ac:dyDescent="0.25">
      <c r="AQ598" s="27"/>
      <c r="AR598" s="27"/>
      <c r="AS598" s="27"/>
      <c r="AT598" s="27"/>
      <c r="AU598" s="27"/>
    </row>
    <row r="599" spans="43:47" x14ac:dyDescent="0.25">
      <c r="AQ599" s="27"/>
      <c r="AR599" s="27"/>
      <c r="AS599" s="27"/>
      <c r="AT599" s="27"/>
      <c r="AU599" s="27"/>
    </row>
    <row r="600" spans="43:47" x14ac:dyDescent="0.25">
      <c r="AQ600" s="27"/>
      <c r="AR600" s="27"/>
      <c r="AS600" s="27"/>
      <c r="AT600" s="27"/>
      <c r="AU600" s="27"/>
    </row>
    <row r="601" spans="43:47" x14ac:dyDescent="0.25">
      <c r="AQ601" s="27"/>
      <c r="AR601" s="27"/>
      <c r="AS601" s="27"/>
      <c r="AT601" s="27"/>
      <c r="AU601" s="27"/>
    </row>
    <row r="602" spans="43:47" x14ac:dyDescent="0.25">
      <c r="AQ602" s="27"/>
      <c r="AR602" s="27"/>
      <c r="AS602" s="27"/>
      <c r="AT602" s="27"/>
      <c r="AU602" s="27"/>
    </row>
    <row r="603" spans="43:47" x14ac:dyDescent="0.25">
      <c r="AQ603" s="27"/>
      <c r="AR603" s="27"/>
      <c r="AS603" s="27"/>
      <c r="AT603" s="27"/>
      <c r="AU603" s="27"/>
    </row>
    <row r="604" spans="43:47" x14ac:dyDescent="0.25">
      <c r="AQ604" s="27"/>
      <c r="AR604" s="27"/>
      <c r="AS604" s="27"/>
      <c r="AT604" s="27"/>
      <c r="AU604" s="27"/>
    </row>
    <row r="605" spans="43:47" x14ac:dyDescent="0.25">
      <c r="AQ605" s="27"/>
      <c r="AR605" s="27"/>
      <c r="AS605" s="27"/>
      <c r="AT605" s="27"/>
      <c r="AU605" s="27"/>
    </row>
    <row r="606" spans="43:47" x14ac:dyDescent="0.25">
      <c r="AQ606" s="27"/>
      <c r="AR606" s="27"/>
      <c r="AS606" s="27"/>
      <c r="AT606" s="27"/>
      <c r="AU606" s="27"/>
    </row>
    <row r="607" spans="43:47" x14ac:dyDescent="0.25">
      <c r="AQ607" s="27"/>
      <c r="AR607" s="27"/>
      <c r="AS607" s="27"/>
      <c r="AT607" s="27"/>
      <c r="AU607" s="27"/>
    </row>
    <row r="608" spans="43:47" x14ac:dyDescent="0.25">
      <c r="AQ608" s="27"/>
      <c r="AR608" s="27"/>
      <c r="AS608" s="27"/>
      <c r="AT608" s="27"/>
      <c r="AU608" s="27"/>
    </row>
    <row r="609" spans="43:47" x14ac:dyDescent="0.25">
      <c r="AQ609" s="27"/>
      <c r="AR609" s="27"/>
      <c r="AS609" s="27"/>
      <c r="AT609" s="27"/>
      <c r="AU609" s="27"/>
    </row>
    <row r="610" spans="43:47" x14ac:dyDescent="0.25">
      <c r="AQ610" s="27"/>
      <c r="AR610" s="27"/>
      <c r="AS610" s="27"/>
      <c r="AT610" s="27"/>
      <c r="AU610" s="27"/>
    </row>
    <row r="611" spans="43:47" x14ac:dyDescent="0.25">
      <c r="AQ611" s="27"/>
      <c r="AR611" s="27"/>
      <c r="AS611" s="27"/>
      <c r="AT611" s="27"/>
      <c r="AU611" s="27"/>
    </row>
    <row r="612" spans="43:47" x14ac:dyDescent="0.25">
      <c r="AQ612" s="27"/>
      <c r="AR612" s="27"/>
      <c r="AS612" s="27"/>
      <c r="AT612" s="27"/>
      <c r="AU612" s="27"/>
    </row>
    <row r="613" spans="43:47" x14ac:dyDescent="0.25">
      <c r="AQ613" s="27"/>
      <c r="AR613" s="27"/>
      <c r="AS613" s="27"/>
      <c r="AT613" s="27"/>
      <c r="AU613" s="27"/>
    </row>
    <row r="614" spans="43:47" x14ac:dyDescent="0.25">
      <c r="AQ614" s="27"/>
      <c r="AR614" s="27"/>
      <c r="AS614" s="27"/>
      <c r="AT614" s="27"/>
      <c r="AU614" s="27"/>
    </row>
    <row r="615" spans="43:47" x14ac:dyDescent="0.25">
      <c r="AQ615" s="27"/>
      <c r="AR615" s="27"/>
      <c r="AS615" s="27"/>
      <c r="AT615" s="27"/>
      <c r="AU615" s="27"/>
    </row>
    <row r="616" spans="43:47" x14ac:dyDescent="0.25">
      <c r="AQ616" s="27"/>
      <c r="AR616" s="27"/>
      <c r="AS616" s="27"/>
      <c r="AT616" s="27"/>
      <c r="AU616" s="27"/>
    </row>
    <row r="617" spans="43:47" x14ac:dyDescent="0.25">
      <c r="AQ617" s="27"/>
      <c r="AR617" s="27"/>
      <c r="AS617" s="27"/>
      <c r="AT617" s="27"/>
      <c r="AU617" s="27"/>
    </row>
    <row r="618" spans="43:47" x14ac:dyDescent="0.25">
      <c r="AQ618" s="27"/>
      <c r="AR618" s="27"/>
      <c r="AS618" s="27"/>
      <c r="AT618" s="27"/>
      <c r="AU618" s="27"/>
    </row>
    <row r="619" spans="43:47" x14ac:dyDescent="0.25">
      <c r="AQ619" s="27"/>
      <c r="AR619" s="27"/>
      <c r="AS619" s="27"/>
      <c r="AT619" s="27"/>
      <c r="AU619" s="27"/>
    </row>
    <row r="620" spans="43:47" x14ac:dyDescent="0.25">
      <c r="AQ620" s="27"/>
      <c r="AR620" s="27"/>
      <c r="AS620" s="27"/>
      <c r="AT620" s="27"/>
      <c r="AU620" s="27"/>
    </row>
    <row r="621" spans="43:47" x14ac:dyDescent="0.25">
      <c r="AQ621" s="27"/>
      <c r="AR621" s="27"/>
      <c r="AS621" s="27"/>
      <c r="AT621" s="27"/>
      <c r="AU621" s="27"/>
    </row>
    <row r="622" spans="43:47" x14ac:dyDescent="0.25">
      <c r="AQ622" s="27"/>
      <c r="AR622" s="27"/>
      <c r="AS622" s="27"/>
      <c r="AT622" s="27"/>
      <c r="AU622" s="27"/>
    </row>
    <row r="623" spans="43:47" x14ac:dyDescent="0.25">
      <c r="AQ623" s="27"/>
      <c r="AR623" s="27"/>
      <c r="AS623" s="27"/>
      <c r="AT623" s="27"/>
      <c r="AU623" s="27"/>
    </row>
    <row r="624" spans="43:47" x14ac:dyDescent="0.25">
      <c r="AQ624" s="27"/>
      <c r="AR624" s="27"/>
      <c r="AS624" s="27"/>
      <c r="AT624" s="27"/>
      <c r="AU624" s="27"/>
    </row>
    <row r="625" spans="43:47" x14ac:dyDescent="0.25">
      <c r="AQ625" s="27"/>
      <c r="AR625" s="27"/>
      <c r="AS625" s="27"/>
      <c r="AT625" s="27"/>
      <c r="AU625" s="27"/>
    </row>
    <row r="626" spans="43:47" x14ac:dyDescent="0.25">
      <c r="AQ626" s="27"/>
      <c r="AR626" s="27"/>
      <c r="AS626" s="27"/>
      <c r="AT626" s="27"/>
      <c r="AU626" s="27"/>
    </row>
    <row r="627" spans="43:47" x14ac:dyDescent="0.25">
      <c r="AQ627" s="27"/>
      <c r="AR627" s="27"/>
      <c r="AS627" s="27"/>
      <c r="AT627" s="27"/>
      <c r="AU627" s="27"/>
    </row>
    <row r="628" spans="43:47" x14ac:dyDescent="0.25">
      <c r="AQ628" s="27"/>
      <c r="AR628" s="27"/>
      <c r="AS628" s="27"/>
      <c r="AT628" s="27"/>
      <c r="AU628" s="27"/>
    </row>
    <row r="629" spans="43:47" x14ac:dyDescent="0.25">
      <c r="AQ629" s="27"/>
      <c r="AR629" s="27"/>
      <c r="AS629" s="27"/>
      <c r="AT629" s="27"/>
      <c r="AU629" s="27"/>
    </row>
    <row r="630" spans="43:47" x14ac:dyDescent="0.25">
      <c r="AQ630" s="27"/>
      <c r="AR630" s="27"/>
      <c r="AS630" s="27"/>
      <c r="AT630" s="27"/>
      <c r="AU630" s="27"/>
    </row>
    <row r="631" spans="43:47" x14ac:dyDescent="0.25">
      <c r="AQ631" s="27"/>
      <c r="AR631" s="27"/>
      <c r="AS631" s="27"/>
      <c r="AT631" s="27"/>
      <c r="AU631" s="27"/>
    </row>
    <row r="632" spans="43:47" x14ac:dyDescent="0.25">
      <c r="AQ632" s="27"/>
      <c r="AR632" s="27"/>
      <c r="AS632" s="27"/>
      <c r="AT632" s="27"/>
      <c r="AU632" s="27"/>
    </row>
    <row r="633" spans="43:47" x14ac:dyDescent="0.25">
      <c r="AQ633" s="27"/>
      <c r="AR633" s="27"/>
      <c r="AS633" s="27"/>
      <c r="AT633" s="27"/>
      <c r="AU633" s="27"/>
    </row>
    <row r="634" spans="43:47" x14ac:dyDescent="0.25">
      <c r="AQ634" s="27"/>
      <c r="AR634" s="27"/>
      <c r="AS634" s="27"/>
      <c r="AT634" s="27"/>
      <c r="AU634" s="27"/>
    </row>
    <row r="635" spans="43:47" x14ac:dyDescent="0.25">
      <c r="AQ635" s="27"/>
      <c r="AR635" s="27"/>
      <c r="AS635" s="27"/>
      <c r="AT635" s="27"/>
      <c r="AU635" s="27"/>
    </row>
    <row r="636" spans="43:47" x14ac:dyDescent="0.25">
      <c r="AQ636" s="27"/>
      <c r="AR636" s="27"/>
      <c r="AS636" s="27"/>
      <c r="AT636" s="27"/>
      <c r="AU636" s="27"/>
    </row>
    <row r="637" spans="43:47" x14ac:dyDescent="0.25">
      <c r="AQ637" s="27"/>
      <c r="AR637" s="27"/>
      <c r="AS637" s="27"/>
      <c r="AT637" s="27"/>
      <c r="AU637" s="27"/>
    </row>
    <row r="638" spans="43:47" x14ac:dyDescent="0.25">
      <c r="AQ638" s="27"/>
      <c r="AR638" s="27"/>
      <c r="AS638" s="27"/>
      <c r="AT638" s="27"/>
      <c r="AU638" s="27"/>
    </row>
    <row r="639" spans="43:47" x14ac:dyDescent="0.25">
      <c r="AQ639" s="27"/>
      <c r="AR639" s="27"/>
      <c r="AS639" s="27"/>
      <c r="AT639" s="27"/>
      <c r="AU639" s="27"/>
    </row>
    <row r="640" spans="43:47" x14ac:dyDescent="0.25">
      <c r="AQ640" s="27"/>
      <c r="AR640" s="27"/>
      <c r="AS640" s="27"/>
      <c r="AT640" s="27"/>
      <c r="AU640" s="27"/>
    </row>
    <row r="641" spans="43:47" x14ac:dyDescent="0.25">
      <c r="AQ641" s="27"/>
      <c r="AR641" s="27"/>
      <c r="AS641" s="27"/>
      <c r="AT641" s="27"/>
      <c r="AU641" s="27"/>
    </row>
    <row r="642" spans="43:47" x14ac:dyDescent="0.25">
      <c r="AQ642" s="27"/>
      <c r="AR642" s="27"/>
      <c r="AS642" s="27"/>
      <c r="AT642" s="27"/>
      <c r="AU642" s="27"/>
    </row>
    <row r="643" spans="43:47" x14ac:dyDescent="0.25">
      <c r="AQ643" s="27"/>
      <c r="AR643" s="27"/>
      <c r="AS643" s="27"/>
      <c r="AT643" s="27"/>
      <c r="AU643" s="27"/>
    </row>
    <row r="644" spans="43:47" x14ac:dyDescent="0.25">
      <c r="AQ644" s="27"/>
      <c r="AR644" s="27"/>
      <c r="AS644" s="27"/>
      <c r="AT644" s="27"/>
      <c r="AU644" s="27"/>
    </row>
    <row r="645" spans="43:47" x14ac:dyDescent="0.25">
      <c r="AQ645" s="27"/>
      <c r="AR645" s="27"/>
      <c r="AS645" s="27"/>
      <c r="AT645" s="27"/>
      <c r="AU645" s="27"/>
    </row>
    <row r="646" spans="43:47" x14ac:dyDescent="0.25">
      <c r="AQ646" s="27"/>
      <c r="AR646" s="27"/>
      <c r="AS646" s="27"/>
      <c r="AT646" s="27"/>
      <c r="AU646" s="27"/>
    </row>
    <row r="647" spans="43:47" x14ac:dyDescent="0.25">
      <c r="AQ647" s="27"/>
      <c r="AR647" s="27"/>
      <c r="AS647" s="27"/>
      <c r="AT647" s="27"/>
      <c r="AU647" s="27"/>
    </row>
    <row r="648" spans="43:47" x14ac:dyDescent="0.25">
      <c r="AQ648" s="27"/>
      <c r="AR648" s="27"/>
      <c r="AS648" s="27"/>
      <c r="AT648" s="27"/>
      <c r="AU648" s="27"/>
    </row>
    <row r="649" spans="43:47" x14ac:dyDescent="0.25">
      <c r="AQ649" s="27"/>
      <c r="AR649" s="27"/>
      <c r="AS649" s="27"/>
      <c r="AT649" s="27"/>
      <c r="AU649" s="27"/>
    </row>
    <row r="650" spans="43:47" x14ac:dyDescent="0.25">
      <c r="AQ650" s="27"/>
      <c r="AR650" s="27"/>
      <c r="AS650" s="27"/>
      <c r="AT650" s="27"/>
      <c r="AU650" s="27"/>
    </row>
    <row r="651" spans="43:47" x14ac:dyDescent="0.25">
      <c r="AQ651" s="27"/>
      <c r="AR651" s="27"/>
      <c r="AS651" s="27"/>
      <c r="AT651" s="27"/>
      <c r="AU651" s="27"/>
    </row>
    <row r="652" spans="43:47" x14ac:dyDescent="0.25">
      <c r="AQ652" s="27"/>
      <c r="AR652" s="27"/>
      <c r="AS652" s="27"/>
      <c r="AT652" s="27"/>
      <c r="AU652" s="27"/>
    </row>
    <row r="653" spans="43:47" x14ac:dyDescent="0.25">
      <c r="AQ653" s="27"/>
      <c r="AR653" s="27"/>
      <c r="AS653" s="27"/>
      <c r="AT653" s="27"/>
      <c r="AU653" s="27"/>
    </row>
    <row r="654" spans="43:47" x14ac:dyDescent="0.25">
      <c r="AQ654" s="27"/>
      <c r="AR654" s="27"/>
      <c r="AS654" s="27"/>
      <c r="AT654" s="27"/>
      <c r="AU654" s="27"/>
    </row>
    <row r="655" spans="43:47" x14ac:dyDescent="0.25">
      <c r="AQ655" s="27"/>
      <c r="AR655" s="27"/>
      <c r="AS655" s="27"/>
      <c r="AT655" s="27"/>
      <c r="AU655" s="27"/>
    </row>
    <row r="656" spans="43:47" x14ac:dyDescent="0.25">
      <c r="AQ656" s="27"/>
      <c r="AR656" s="27"/>
      <c r="AS656" s="27"/>
      <c r="AT656" s="27"/>
      <c r="AU656" s="27"/>
    </row>
    <row r="657" spans="43:47" x14ac:dyDescent="0.25">
      <c r="AQ657" s="27"/>
      <c r="AR657" s="27"/>
      <c r="AS657" s="27"/>
      <c r="AT657" s="27"/>
      <c r="AU657" s="27"/>
    </row>
    <row r="658" spans="43:47" x14ac:dyDescent="0.25">
      <c r="AQ658" s="27"/>
      <c r="AR658" s="27"/>
      <c r="AS658" s="27"/>
      <c r="AT658" s="27"/>
      <c r="AU658" s="27"/>
    </row>
    <row r="659" spans="43:47" x14ac:dyDescent="0.25">
      <c r="AQ659" s="27"/>
      <c r="AR659" s="27"/>
      <c r="AS659" s="27"/>
      <c r="AT659" s="27"/>
      <c r="AU659" s="27"/>
    </row>
    <row r="660" spans="43:47" x14ac:dyDescent="0.25">
      <c r="AQ660" s="27"/>
      <c r="AR660" s="27"/>
      <c r="AS660" s="27"/>
      <c r="AT660" s="27"/>
      <c r="AU660" s="27"/>
    </row>
    <row r="661" spans="43:47" x14ac:dyDescent="0.25">
      <c r="AQ661" s="27"/>
      <c r="AR661" s="27"/>
      <c r="AS661" s="27"/>
      <c r="AT661" s="27"/>
      <c r="AU661" s="27"/>
    </row>
    <row r="662" spans="43:47" x14ac:dyDescent="0.25">
      <c r="AQ662" s="27"/>
      <c r="AR662" s="27"/>
      <c r="AS662" s="27"/>
      <c r="AT662" s="27"/>
      <c r="AU662" s="27"/>
    </row>
    <row r="663" spans="43:47" x14ac:dyDescent="0.25">
      <c r="AQ663" s="27"/>
      <c r="AR663" s="27"/>
      <c r="AS663" s="27"/>
      <c r="AT663" s="27"/>
      <c r="AU663" s="27"/>
    </row>
    <row r="664" spans="43:47" x14ac:dyDescent="0.25">
      <c r="AQ664" s="27"/>
      <c r="AR664" s="27"/>
      <c r="AS664" s="27"/>
      <c r="AT664" s="27"/>
      <c r="AU664" s="27"/>
    </row>
    <row r="665" spans="43:47" x14ac:dyDescent="0.25">
      <c r="AQ665" s="27"/>
      <c r="AR665" s="27"/>
      <c r="AS665" s="27"/>
      <c r="AT665" s="27"/>
      <c r="AU665" s="27"/>
    </row>
    <row r="666" spans="43:47" x14ac:dyDescent="0.25">
      <c r="AQ666" s="27"/>
      <c r="AR666" s="27"/>
      <c r="AS666" s="27"/>
      <c r="AT666" s="27"/>
      <c r="AU666" s="27"/>
    </row>
    <row r="667" spans="43:47" x14ac:dyDescent="0.25">
      <c r="AQ667" s="27"/>
      <c r="AR667" s="27"/>
      <c r="AS667" s="27"/>
      <c r="AT667" s="27"/>
      <c r="AU667" s="27"/>
    </row>
    <row r="668" spans="43:47" x14ac:dyDescent="0.25">
      <c r="AQ668" s="27"/>
      <c r="AR668" s="27"/>
      <c r="AS668" s="27"/>
      <c r="AT668" s="27"/>
      <c r="AU668" s="27"/>
    </row>
    <row r="669" spans="43:47" x14ac:dyDescent="0.25">
      <c r="AQ669" s="27"/>
      <c r="AR669" s="27"/>
      <c r="AS669" s="27"/>
      <c r="AT669" s="27"/>
      <c r="AU669" s="27"/>
    </row>
    <row r="670" spans="43:47" x14ac:dyDescent="0.25">
      <c r="AQ670" s="27"/>
      <c r="AR670" s="27"/>
      <c r="AS670" s="27"/>
      <c r="AT670" s="27"/>
      <c r="AU670" s="27"/>
    </row>
    <row r="671" spans="43:47" x14ac:dyDescent="0.25">
      <c r="AQ671" s="27"/>
      <c r="AR671" s="27"/>
      <c r="AS671" s="27"/>
      <c r="AT671" s="27"/>
      <c r="AU671" s="27"/>
    </row>
    <row r="672" spans="43:47" x14ac:dyDescent="0.25">
      <c r="AQ672" s="27"/>
      <c r="AR672" s="27"/>
      <c r="AS672" s="27"/>
      <c r="AT672" s="27"/>
      <c r="AU672" s="27"/>
    </row>
    <row r="673" spans="43:47" x14ac:dyDescent="0.25">
      <c r="AQ673" s="27"/>
      <c r="AR673" s="27"/>
      <c r="AS673" s="27"/>
      <c r="AT673" s="27"/>
      <c r="AU673" s="27"/>
    </row>
    <row r="674" spans="43:47" x14ac:dyDescent="0.25">
      <c r="AQ674" s="27"/>
      <c r="AR674" s="27"/>
      <c r="AS674" s="27"/>
      <c r="AT674" s="27"/>
      <c r="AU674" s="27"/>
    </row>
    <row r="675" spans="43:47" x14ac:dyDescent="0.25">
      <c r="AQ675" s="27"/>
      <c r="AR675" s="27"/>
      <c r="AS675" s="27"/>
      <c r="AT675" s="27"/>
      <c r="AU675" s="27"/>
    </row>
    <row r="676" spans="43:47" x14ac:dyDescent="0.25">
      <c r="AQ676" s="27"/>
      <c r="AR676" s="27"/>
      <c r="AS676" s="27"/>
      <c r="AT676" s="27"/>
      <c r="AU676" s="27"/>
    </row>
    <row r="677" spans="43:47" x14ac:dyDescent="0.25">
      <c r="AQ677" s="27"/>
      <c r="AR677" s="27"/>
      <c r="AS677" s="27"/>
      <c r="AT677" s="27"/>
      <c r="AU677" s="27"/>
    </row>
    <row r="678" spans="43:47" x14ac:dyDescent="0.25">
      <c r="AQ678" s="27"/>
      <c r="AR678" s="27"/>
      <c r="AS678" s="27"/>
      <c r="AT678" s="27"/>
      <c r="AU678" s="27"/>
    </row>
    <row r="679" spans="43:47" x14ac:dyDescent="0.25">
      <c r="AQ679" s="27"/>
      <c r="AR679" s="27"/>
      <c r="AS679" s="27"/>
      <c r="AT679" s="27"/>
      <c r="AU679" s="27"/>
    </row>
    <row r="680" spans="43:47" x14ac:dyDescent="0.25">
      <c r="AQ680" s="27"/>
      <c r="AR680" s="27"/>
      <c r="AS680" s="27"/>
      <c r="AT680" s="27"/>
      <c r="AU680" s="27"/>
    </row>
    <row r="681" spans="43:47" x14ac:dyDescent="0.25">
      <c r="AQ681" s="27"/>
      <c r="AR681" s="27"/>
      <c r="AS681" s="27"/>
      <c r="AT681" s="27"/>
      <c r="AU681" s="27"/>
    </row>
    <row r="682" spans="43:47" x14ac:dyDescent="0.25">
      <c r="AQ682" s="27"/>
      <c r="AR682" s="27"/>
      <c r="AS682" s="27"/>
      <c r="AT682" s="27"/>
      <c r="AU682" s="27"/>
    </row>
    <row r="683" spans="43:47" x14ac:dyDescent="0.25">
      <c r="AQ683" s="27"/>
      <c r="AR683" s="27"/>
      <c r="AS683" s="27"/>
      <c r="AT683" s="27"/>
      <c r="AU683" s="27"/>
    </row>
    <row r="684" spans="43:47" x14ac:dyDescent="0.25">
      <c r="AQ684" s="27"/>
      <c r="AR684" s="27"/>
      <c r="AS684" s="27"/>
      <c r="AT684" s="27"/>
      <c r="AU684" s="27"/>
    </row>
    <row r="685" spans="43:47" x14ac:dyDescent="0.25">
      <c r="AQ685" s="27"/>
      <c r="AR685" s="27"/>
      <c r="AS685" s="27"/>
      <c r="AT685" s="27"/>
      <c r="AU685" s="27"/>
    </row>
    <row r="686" spans="43:47" x14ac:dyDescent="0.25">
      <c r="AQ686" s="27"/>
      <c r="AR686" s="27"/>
      <c r="AS686" s="27"/>
      <c r="AT686" s="27"/>
      <c r="AU686" s="27"/>
    </row>
    <row r="687" spans="43:47" x14ac:dyDescent="0.25">
      <c r="AQ687" s="27"/>
      <c r="AR687" s="27"/>
      <c r="AS687" s="27"/>
      <c r="AT687" s="27"/>
      <c r="AU687" s="27"/>
    </row>
    <row r="688" spans="43:47" x14ac:dyDescent="0.25">
      <c r="AQ688" s="27"/>
      <c r="AR688" s="27"/>
      <c r="AS688" s="27"/>
      <c r="AT688" s="27"/>
      <c r="AU688" s="27"/>
    </row>
    <row r="689" spans="43:47" x14ac:dyDescent="0.25">
      <c r="AQ689" s="27"/>
      <c r="AR689" s="27"/>
      <c r="AS689" s="27"/>
      <c r="AT689" s="27"/>
      <c r="AU689" s="27"/>
    </row>
    <row r="690" spans="43:47" x14ac:dyDescent="0.25">
      <c r="AQ690" s="27"/>
      <c r="AR690" s="27"/>
      <c r="AS690" s="27"/>
      <c r="AT690" s="27"/>
      <c r="AU690" s="27"/>
    </row>
    <row r="691" spans="43:47" x14ac:dyDescent="0.25">
      <c r="AQ691" s="27"/>
      <c r="AR691" s="27"/>
      <c r="AS691" s="27"/>
      <c r="AT691" s="27"/>
      <c r="AU691" s="27"/>
    </row>
    <row r="692" spans="43:47" x14ac:dyDescent="0.25">
      <c r="AQ692" s="27"/>
      <c r="AR692" s="27"/>
      <c r="AS692" s="27"/>
      <c r="AT692" s="27"/>
      <c r="AU692" s="27"/>
    </row>
    <row r="693" spans="43:47" x14ac:dyDescent="0.25">
      <c r="AQ693" s="27"/>
      <c r="AR693" s="27"/>
      <c r="AS693" s="27"/>
      <c r="AT693" s="27"/>
      <c r="AU693" s="27"/>
    </row>
    <row r="694" spans="43:47" x14ac:dyDescent="0.25">
      <c r="AQ694" s="27"/>
      <c r="AR694" s="27"/>
      <c r="AS694" s="27"/>
      <c r="AT694" s="27"/>
      <c r="AU694" s="27"/>
    </row>
    <row r="695" spans="43:47" x14ac:dyDescent="0.25">
      <c r="AQ695" s="27"/>
      <c r="AR695" s="27"/>
      <c r="AS695" s="27"/>
      <c r="AT695" s="27"/>
      <c r="AU695" s="27"/>
    </row>
    <row r="696" spans="43:47" x14ac:dyDescent="0.25">
      <c r="AQ696" s="27"/>
      <c r="AR696" s="27"/>
      <c r="AS696" s="27"/>
      <c r="AT696" s="27"/>
      <c r="AU696" s="27"/>
    </row>
    <row r="697" spans="43:47" x14ac:dyDescent="0.25">
      <c r="AQ697" s="27"/>
      <c r="AR697" s="27"/>
      <c r="AS697" s="27"/>
      <c r="AT697" s="27"/>
      <c r="AU697" s="27"/>
    </row>
    <row r="698" spans="43:47" x14ac:dyDescent="0.25">
      <c r="AQ698" s="27"/>
      <c r="AR698" s="27"/>
      <c r="AS698" s="27"/>
      <c r="AT698" s="27"/>
      <c r="AU698" s="27"/>
    </row>
    <row r="699" spans="43:47" x14ac:dyDescent="0.25">
      <c r="AQ699" s="27"/>
      <c r="AR699" s="27"/>
      <c r="AS699" s="27"/>
      <c r="AT699" s="27"/>
      <c r="AU699" s="27"/>
    </row>
    <row r="700" spans="43:47" x14ac:dyDescent="0.25">
      <c r="AQ700" s="27"/>
      <c r="AR700" s="27"/>
      <c r="AS700" s="27"/>
      <c r="AT700" s="27"/>
      <c r="AU700" s="27"/>
    </row>
    <row r="701" spans="43:47" x14ac:dyDescent="0.25">
      <c r="AQ701" s="27"/>
      <c r="AR701" s="27"/>
      <c r="AS701" s="27"/>
      <c r="AT701" s="27"/>
      <c r="AU701" s="27"/>
    </row>
    <row r="702" spans="43:47" x14ac:dyDescent="0.25">
      <c r="AQ702" s="27"/>
      <c r="AR702" s="27"/>
      <c r="AS702" s="27"/>
      <c r="AT702" s="27"/>
      <c r="AU702" s="27"/>
    </row>
    <row r="703" spans="43:47" x14ac:dyDescent="0.25">
      <c r="AQ703" s="27"/>
      <c r="AR703" s="27"/>
      <c r="AS703" s="27"/>
      <c r="AT703" s="27"/>
      <c r="AU703" s="27"/>
    </row>
    <row r="704" spans="43:47" x14ac:dyDescent="0.25">
      <c r="AQ704" s="27"/>
      <c r="AR704" s="27"/>
      <c r="AS704" s="27"/>
      <c r="AT704" s="27"/>
      <c r="AU704" s="27"/>
    </row>
    <row r="705" spans="43:47" x14ac:dyDescent="0.25">
      <c r="AQ705" s="27"/>
      <c r="AR705" s="27"/>
      <c r="AS705" s="27"/>
      <c r="AT705" s="27"/>
      <c r="AU705" s="27"/>
    </row>
    <row r="706" spans="43:47" x14ac:dyDescent="0.25">
      <c r="AQ706" s="27"/>
      <c r="AR706" s="27"/>
      <c r="AS706" s="27"/>
      <c r="AT706" s="27"/>
      <c r="AU706" s="27"/>
    </row>
    <row r="707" spans="43:47" x14ac:dyDescent="0.25">
      <c r="AQ707" s="27"/>
      <c r="AR707" s="27"/>
      <c r="AS707" s="27"/>
      <c r="AT707" s="27"/>
      <c r="AU707" s="27"/>
    </row>
    <row r="708" spans="43:47" x14ac:dyDescent="0.25">
      <c r="AQ708" s="27"/>
      <c r="AR708" s="27"/>
      <c r="AS708" s="27"/>
      <c r="AT708" s="27"/>
      <c r="AU708" s="27"/>
    </row>
    <row r="709" spans="43:47" x14ac:dyDescent="0.25">
      <c r="AQ709" s="27"/>
      <c r="AR709" s="27"/>
      <c r="AS709" s="27"/>
      <c r="AT709" s="27"/>
      <c r="AU709" s="27"/>
    </row>
    <row r="710" spans="43:47" x14ac:dyDescent="0.25">
      <c r="AQ710" s="27"/>
      <c r="AR710" s="27"/>
      <c r="AS710" s="27"/>
      <c r="AT710" s="27"/>
      <c r="AU710" s="27"/>
    </row>
    <row r="711" spans="43:47" x14ac:dyDescent="0.25">
      <c r="AQ711" s="27"/>
      <c r="AR711" s="27"/>
      <c r="AS711" s="27"/>
      <c r="AT711" s="27"/>
      <c r="AU711" s="27"/>
    </row>
    <row r="712" spans="43:47" x14ac:dyDescent="0.25">
      <c r="AQ712" s="27"/>
      <c r="AR712" s="27"/>
      <c r="AS712" s="27"/>
      <c r="AT712" s="27"/>
      <c r="AU712" s="27"/>
    </row>
    <row r="713" spans="43:47" x14ac:dyDescent="0.25">
      <c r="AQ713" s="27"/>
      <c r="AR713" s="27"/>
      <c r="AS713" s="27"/>
      <c r="AT713" s="27"/>
      <c r="AU713" s="27"/>
    </row>
    <row r="714" spans="43:47" x14ac:dyDescent="0.25">
      <c r="AQ714" s="27"/>
      <c r="AR714" s="27"/>
      <c r="AS714" s="27"/>
      <c r="AT714" s="27"/>
      <c r="AU714" s="27"/>
    </row>
    <row r="715" spans="43:47" x14ac:dyDescent="0.25">
      <c r="AQ715" s="27"/>
      <c r="AR715" s="27"/>
      <c r="AS715" s="27"/>
      <c r="AT715" s="27"/>
      <c r="AU715" s="27"/>
    </row>
    <row r="716" spans="43:47" x14ac:dyDescent="0.25">
      <c r="AQ716" s="27"/>
      <c r="AR716" s="27"/>
      <c r="AS716" s="27"/>
      <c r="AT716" s="27"/>
      <c r="AU716" s="27"/>
    </row>
    <row r="717" spans="43:47" x14ac:dyDescent="0.25">
      <c r="AQ717" s="27"/>
      <c r="AR717" s="27"/>
      <c r="AS717" s="27"/>
      <c r="AT717" s="27"/>
      <c r="AU717" s="27"/>
    </row>
    <row r="718" spans="43:47" x14ac:dyDescent="0.25">
      <c r="AQ718" s="27"/>
      <c r="AR718" s="27"/>
      <c r="AS718" s="27"/>
      <c r="AT718" s="27"/>
      <c r="AU718" s="27"/>
    </row>
    <row r="719" spans="43:47" x14ac:dyDescent="0.25">
      <c r="AQ719" s="27"/>
      <c r="AR719" s="27"/>
      <c r="AS719" s="27"/>
      <c r="AT719" s="27"/>
      <c r="AU719" s="27"/>
    </row>
    <row r="720" spans="43:47" x14ac:dyDescent="0.25">
      <c r="AQ720" s="27"/>
      <c r="AR720" s="27"/>
      <c r="AS720" s="27"/>
      <c r="AT720" s="27"/>
      <c r="AU720" s="27"/>
    </row>
    <row r="721" spans="43:47" x14ac:dyDescent="0.25">
      <c r="AQ721" s="27"/>
      <c r="AR721" s="27"/>
      <c r="AS721" s="27"/>
      <c r="AT721" s="27"/>
      <c r="AU721" s="27"/>
    </row>
    <row r="722" spans="43:47" x14ac:dyDescent="0.25">
      <c r="AQ722" s="27"/>
      <c r="AR722" s="27"/>
      <c r="AS722" s="27"/>
      <c r="AT722" s="27"/>
      <c r="AU722" s="27"/>
    </row>
    <row r="723" spans="43:47" x14ac:dyDescent="0.25">
      <c r="AQ723" s="27"/>
      <c r="AR723" s="27"/>
      <c r="AS723" s="27"/>
      <c r="AT723" s="27"/>
      <c r="AU723" s="27"/>
    </row>
    <row r="724" spans="43:47" x14ac:dyDescent="0.25">
      <c r="AQ724" s="27"/>
      <c r="AR724" s="27"/>
      <c r="AS724" s="27"/>
      <c r="AT724" s="27"/>
      <c r="AU724" s="27"/>
    </row>
    <row r="725" spans="43:47" x14ac:dyDescent="0.25">
      <c r="AQ725" s="27"/>
      <c r="AR725" s="27"/>
      <c r="AS725" s="27"/>
      <c r="AT725" s="27"/>
      <c r="AU725" s="27"/>
    </row>
    <row r="726" spans="43:47" x14ac:dyDescent="0.25">
      <c r="AQ726" s="27"/>
      <c r="AR726" s="27"/>
      <c r="AS726" s="27"/>
      <c r="AT726" s="27"/>
      <c r="AU726" s="27"/>
    </row>
    <row r="727" spans="43:47" x14ac:dyDescent="0.25">
      <c r="AQ727" s="27"/>
      <c r="AR727" s="27"/>
      <c r="AS727" s="27"/>
      <c r="AT727" s="27"/>
      <c r="AU727" s="27"/>
    </row>
    <row r="728" spans="43:47" x14ac:dyDescent="0.25">
      <c r="AQ728" s="27"/>
      <c r="AR728" s="27"/>
      <c r="AS728" s="27"/>
      <c r="AT728" s="27"/>
      <c r="AU728" s="27"/>
    </row>
    <row r="729" spans="43:47" x14ac:dyDescent="0.25">
      <c r="AQ729" s="27"/>
      <c r="AR729" s="27"/>
      <c r="AS729" s="27"/>
      <c r="AT729" s="27"/>
      <c r="AU729" s="27"/>
    </row>
    <row r="730" spans="43:47" x14ac:dyDescent="0.25">
      <c r="AQ730" s="27"/>
      <c r="AR730" s="27"/>
      <c r="AS730" s="27"/>
      <c r="AT730" s="27"/>
      <c r="AU730" s="27"/>
    </row>
    <row r="731" spans="43:47" x14ac:dyDescent="0.25">
      <c r="AQ731" s="27"/>
      <c r="AR731" s="27"/>
      <c r="AS731" s="27"/>
      <c r="AT731" s="27"/>
      <c r="AU731" s="27"/>
    </row>
    <row r="732" spans="43:47" x14ac:dyDescent="0.25">
      <c r="AQ732" s="27"/>
      <c r="AR732" s="27"/>
      <c r="AS732" s="27"/>
      <c r="AT732" s="27"/>
      <c r="AU732" s="27"/>
    </row>
    <row r="733" spans="43:47" x14ac:dyDescent="0.25">
      <c r="AQ733" s="27"/>
      <c r="AR733" s="27"/>
      <c r="AS733" s="27"/>
      <c r="AT733" s="27"/>
      <c r="AU733" s="27"/>
    </row>
    <row r="734" spans="43:47" x14ac:dyDescent="0.25">
      <c r="AQ734" s="27"/>
      <c r="AR734" s="27"/>
      <c r="AS734" s="27"/>
      <c r="AT734" s="27"/>
      <c r="AU734" s="27"/>
    </row>
    <row r="735" spans="43:47" x14ac:dyDescent="0.25">
      <c r="AQ735" s="27"/>
      <c r="AR735" s="27"/>
      <c r="AS735" s="27"/>
      <c r="AT735" s="27"/>
      <c r="AU735" s="27"/>
    </row>
    <row r="736" spans="43:47" x14ac:dyDescent="0.25">
      <c r="AQ736" s="27"/>
      <c r="AR736" s="27"/>
      <c r="AS736" s="27"/>
      <c r="AT736" s="27"/>
      <c r="AU736" s="27"/>
    </row>
    <row r="737" spans="43:47" x14ac:dyDescent="0.25">
      <c r="AQ737" s="27"/>
      <c r="AR737" s="27"/>
      <c r="AS737" s="27"/>
      <c r="AT737" s="27"/>
      <c r="AU737" s="27"/>
    </row>
    <row r="738" spans="43:47" x14ac:dyDescent="0.25">
      <c r="AQ738" s="27"/>
      <c r="AR738" s="27"/>
      <c r="AS738" s="27"/>
      <c r="AT738" s="27"/>
      <c r="AU738" s="27"/>
    </row>
    <row r="739" spans="43:47" x14ac:dyDescent="0.25">
      <c r="AQ739" s="27"/>
      <c r="AR739" s="27"/>
      <c r="AS739" s="27"/>
      <c r="AT739" s="27"/>
      <c r="AU739" s="27"/>
    </row>
    <row r="740" spans="43:47" x14ac:dyDescent="0.25">
      <c r="AQ740" s="27"/>
      <c r="AR740" s="27"/>
      <c r="AS740" s="27"/>
      <c r="AT740" s="27"/>
      <c r="AU740" s="27"/>
    </row>
    <row r="741" spans="43:47" x14ac:dyDescent="0.25">
      <c r="AQ741" s="27"/>
      <c r="AR741" s="27"/>
      <c r="AS741" s="27"/>
      <c r="AT741" s="27"/>
      <c r="AU741" s="27"/>
    </row>
    <row r="742" spans="43:47" x14ac:dyDescent="0.25">
      <c r="AQ742" s="27"/>
      <c r="AR742" s="27"/>
      <c r="AS742" s="27"/>
      <c r="AT742" s="27"/>
      <c r="AU742" s="27"/>
    </row>
    <row r="743" spans="43:47" x14ac:dyDescent="0.25">
      <c r="AQ743" s="27"/>
      <c r="AR743" s="27"/>
      <c r="AS743" s="27"/>
      <c r="AT743" s="27"/>
      <c r="AU743" s="27"/>
    </row>
    <row r="744" spans="43:47" x14ac:dyDescent="0.25">
      <c r="AQ744" s="27"/>
      <c r="AR744" s="27"/>
      <c r="AS744" s="27"/>
      <c r="AT744" s="27"/>
      <c r="AU744" s="27"/>
    </row>
    <row r="745" spans="43:47" x14ac:dyDescent="0.25">
      <c r="AQ745" s="27"/>
      <c r="AR745" s="27"/>
      <c r="AS745" s="27"/>
      <c r="AT745" s="27"/>
      <c r="AU745" s="27"/>
    </row>
    <row r="746" spans="43:47" x14ac:dyDescent="0.25">
      <c r="AQ746" s="27"/>
      <c r="AR746" s="27"/>
      <c r="AS746" s="27"/>
      <c r="AT746" s="27"/>
      <c r="AU746" s="27"/>
    </row>
    <row r="747" spans="43:47" x14ac:dyDescent="0.25">
      <c r="AQ747" s="27"/>
      <c r="AR747" s="27"/>
      <c r="AS747" s="27"/>
      <c r="AT747" s="27"/>
      <c r="AU747" s="27"/>
    </row>
    <row r="748" spans="43:47" x14ac:dyDescent="0.25">
      <c r="AQ748" s="27"/>
      <c r="AR748" s="27"/>
      <c r="AS748" s="27"/>
      <c r="AT748" s="27"/>
      <c r="AU748" s="27"/>
    </row>
    <row r="749" spans="43:47" x14ac:dyDescent="0.25">
      <c r="AQ749" s="27"/>
      <c r="AR749" s="27"/>
      <c r="AS749" s="27"/>
      <c r="AT749" s="27"/>
      <c r="AU749" s="27"/>
    </row>
    <row r="750" spans="43:47" x14ac:dyDescent="0.25">
      <c r="AQ750" s="27"/>
      <c r="AR750" s="27"/>
      <c r="AS750" s="27"/>
      <c r="AT750" s="27"/>
      <c r="AU750" s="27"/>
    </row>
    <row r="751" spans="43:47" x14ac:dyDescent="0.25">
      <c r="AQ751" s="27"/>
      <c r="AR751" s="27"/>
      <c r="AS751" s="27"/>
      <c r="AT751" s="27"/>
      <c r="AU751" s="27"/>
    </row>
    <row r="752" spans="43:47" x14ac:dyDescent="0.25">
      <c r="AQ752" s="27"/>
      <c r="AR752" s="27"/>
      <c r="AS752" s="27"/>
      <c r="AT752" s="27"/>
      <c r="AU752" s="27"/>
    </row>
    <row r="753" spans="43:47" x14ac:dyDescent="0.25">
      <c r="AQ753" s="27"/>
      <c r="AR753" s="27"/>
      <c r="AS753" s="27"/>
      <c r="AT753" s="27"/>
      <c r="AU753" s="27"/>
    </row>
    <row r="754" spans="43:47" x14ac:dyDescent="0.25">
      <c r="AQ754" s="27"/>
      <c r="AR754" s="27"/>
      <c r="AS754" s="27"/>
      <c r="AT754" s="27"/>
      <c r="AU754" s="27"/>
    </row>
    <row r="755" spans="43:47" x14ac:dyDescent="0.25">
      <c r="AQ755" s="27"/>
      <c r="AR755" s="27"/>
      <c r="AS755" s="27"/>
      <c r="AT755" s="27"/>
      <c r="AU755" s="27"/>
    </row>
    <row r="756" spans="43:47" x14ac:dyDescent="0.25">
      <c r="AQ756" s="27"/>
      <c r="AR756" s="27"/>
      <c r="AS756" s="27"/>
      <c r="AT756" s="27"/>
      <c r="AU756" s="27"/>
    </row>
    <row r="757" spans="43:47" x14ac:dyDescent="0.25">
      <c r="AQ757" s="27"/>
      <c r="AR757" s="27"/>
      <c r="AS757" s="27"/>
      <c r="AT757" s="27"/>
      <c r="AU757" s="27"/>
    </row>
    <row r="758" spans="43:47" x14ac:dyDescent="0.25">
      <c r="AQ758" s="27"/>
      <c r="AR758" s="27"/>
      <c r="AS758" s="27"/>
      <c r="AT758" s="27"/>
      <c r="AU758" s="27"/>
    </row>
    <row r="759" spans="43:47" x14ac:dyDescent="0.25">
      <c r="AQ759" s="27"/>
      <c r="AR759" s="27"/>
      <c r="AS759" s="27"/>
      <c r="AT759" s="27"/>
      <c r="AU759" s="27"/>
    </row>
    <row r="760" spans="43:47" x14ac:dyDescent="0.25">
      <c r="AQ760" s="27"/>
      <c r="AR760" s="27"/>
      <c r="AS760" s="27"/>
      <c r="AT760" s="27"/>
      <c r="AU760" s="27"/>
    </row>
    <row r="761" spans="43:47" x14ac:dyDescent="0.25">
      <c r="AQ761" s="27"/>
      <c r="AR761" s="27"/>
      <c r="AS761" s="27"/>
      <c r="AT761" s="27"/>
      <c r="AU761" s="27"/>
    </row>
    <row r="762" spans="43:47" x14ac:dyDescent="0.25">
      <c r="AQ762" s="27"/>
      <c r="AR762" s="27"/>
      <c r="AS762" s="27"/>
      <c r="AT762" s="27"/>
      <c r="AU762" s="27"/>
    </row>
    <row r="763" spans="43:47" x14ac:dyDescent="0.25">
      <c r="AQ763" s="27"/>
      <c r="AR763" s="27"/>
      <c r="AS763" s="27"/>
      <c r="AT763" s="27"/>
      <c r="AU763" s="27"/>
    </row>
    <row r="764" spans="43:47" x14ac:dyDescent="0.25">
      <c r="AQ764" s="27"/>
      <c r="AR764" s="27"/>
      <c r="AS764" s="27"/>
      <c r="AT764" s="27"/>
      <c r="AU764" s="27"/>
    </row>
    <row r="765" spans="43:47" x14ac:dyDescent="0.25">
      <c r="AQ765" s="27"/>
      <c r="AR765" s="27"/>
      <c r="AS765" s="27"/>
      <c r="AT765" s="27"/>
      <c r="AU765" s="27"/>
    </row>
    <row r="766" spans="43:47" x14ac:dyDescent="0.25">
      <c r="AQ766" s="27"/>
      <c r="AR766" s="27"/>
      <c r="AS766" s="27"/>
      <c r="AT766" s="27"/>
      <c r="AU766" s="27"/>
    </row>
    <row r="767" spans="43:47" x14ac:dyDescent="0.25">
      <c r="AQ767" s="27"/>
      <c r="AR767" s="27"/>
      <c r="AS767" s="27"/>
      <c r="AT767" s="27"/>
      <c r="AU767" s="27"/>
    </row>
    <row r="768" spans="43:47" x14ac:dyDescent="0.25">
      <c r="AQ768" s="27"/>
      <c r="AR768" s="27"/>
      <c r="AS768" s="27"/>
      <c r="AT768" s="27"/>
      <c r="AU768" s="27"/>
    </row>
    <row r="769" spans="43:47" x14ac:dyDescent="0.25">
      <c r="AQ769" s="27"/>
      <c r="AR769" s="27"/>
      <c r="AS769" s="27"/>
      <c r="AT769" s="27"/>
      <c r="AU769" s="27"/>
    </row>
    <row r="770" spans="43:47" x14ac:dyDescent="0.25">
      <c r="AQ770" s="27"/>
      <c r="AR770" s="27"/>
      <c r="AS770" s="27"/>
      <c r="AT770" s="27"/>
      <c r="AU770" s="27"/>
    </row>
    <row r="771" spans="43:47" x14ac:dyDescent="0.25">
      <c r="AQ771" s="27"/>
      <c r="AR771" s="27"/>
      <c r="AS771" s="27"/>
      <c r="AT771" s="27"/>
      <c r="AU771" s="27"/>
    </row>
    <row r="772" spans="43:47" x14ac:dyDescent="0.25">
      <c r="AQ772" s="27"/>
      <c r="AR772" s="27"/>
      <c r="AS772" s="27"/>
      <c r="AT772" s="27"/>
      <c r="AU772" s="27"/>
    </row>
    <row r="773" spans="43:47" x14ac:dyDescent="0.25">
      <c r="AQ773" s="27"/>
      <c r="AR773" s="27"/>
      <c r="AS773" s="27"/>
      <c r="AT773" s="27"/>
      <c r="AU773" s="27"/>
    </row>
    <row r="774" spans="43:47" x14ac:dyDescent="0.25">
      <c r="AQ774" s="27"/>
      <c r="AR774" s="27"/>
      <c r="AS774" s="27"/>
      <c r="AT774" s="27"/>
      <c r="AU774" s="27"/>
    </row>
    <row r="775" spans="43:47" x14ac:dyDescent="0.25">
      <c r="AQ775" s="27"/>
      <c r="AR775" s="27"/>
      <c r="AS775" s="27"/>
      <c r="AT775" s="27"/>
      <c r="AU775" s="27"/>
    </row>
    <row r="776" spans="43:47" x14ac:dyDescent="0.25">
      <c r="AQ776" s="27"/>
      <c r="AR776" s="27"/>
      <c r="AS776" s="27"/>
      <c r="AT776" s="27"/>
      <c r="AU776" s="27"/>
    </row>
    <row r="777" spans="43:47" x14ac:dyDescent="0.25">
      <c r="AQ777" s="27"/>
      <c r="AR777" s="27"/>
      <c r="AS777" s="27"/>
      <c r="AT777" s="27"/>
      <c r="AU777" s="27"/>
    </row>
    <row r="778" spans="43:47" x14ac:dyDescent="0.25">
      <c r="AQ778" s="27"/>
      <c r="AR778" s="27"/>
      <c r="AS778" s="27"/>
      <c r="AT778" s="27"/>
      <c r="AU778" s="27"/>
    </row>
    <row r="779" spans="43:47" x14ac:dyDescent="0.25">
      <c r="AQ779" s="27"/>
      <c r="AR779" s="27"/>
      <c r="AS779" s="27"/>
      <c r="AT779" s="27"/>
      <c r="AU779" s="27"/>
    </row>
    <row r="780" spans="43:47" x14ac:dyDescent="0.25">
      <c r="AQ780" s="27"/>
      <c r="AR780" s="27"/>
      <c r="AS780" s="27"/>
      <c r="AT780" s="27"/>
      <c r="AU780" s="27"/>
    </row>
    <row r="781" spans="43:47" x14ac:dyDescent="0.25">
      <c r="AQ781" s="27"/>
      <c r="AR781" s="27"/>
      <c r="AS781" s="27"/>
      <c r="AT781" s="27"/>
      <c r="AU781" s="27"/>
    </row>
    <row r="782" spans="43:47" x14ac:dyDescent="0.25">
      <c r="AQ782" s="27"/>
      <c r="AR782" s="27"/>
      <c r="AS782" s="27"/>
      <c r="AT782" s="27"/>
      <c r="AU782" s="27"/>
    </row>
    <row r="783" spans="43:47" x14ac:dyDescent="0.25">
      <c r="AQ783" s="27"/>
      <c r="AR783" s="27"/>
      <c r="AS783" s="27"/>
      <c r="AT783" s="27"/>
      <c r="AU783" s="27"/>
    </row>
    <row r="784" spans="43:47" x14ac:dyDescent="0.25">
      <c r="AQ784" s="27"/>
      <c r="AR784" s="27"/>
      <c r="AS784" s="27"/>
      <c r="AT784" s="27"/>
      <c r="AU784" s="27"/>
    </row>
    <row r="785" spans="43:47" x14ac:dyDescent="0.25">
      <c r="AQ785" s="27"/>
      <c r="AR785" s="27"/>
      <c r="AS785" s="27"/>
      <c r="AT785" s="27"/>
      <c r="AU785" s="27"/>
    </row>
    <row r="786" spans="43:47" x14ac:dyDescent="0.25">
      <c r="AQ786" s="27"/>
      <c r="AR786" s="27"/>
      <c r="AS786" s="27"/>
      <c r="AT786" s="27"/>
      <c r="AU786" s="27"/>
    </row>
    <row r="787" spans="43:47" x14ac:dyDescent="0.25">
      <c r="AQ787" s="27"/>
      <c r="AR787" s="27"/>
      <c r="AS787" s="27"/>
      <c r="AT787" s="27"/>
      <c r="AU787" s="27"/>
    </row>
    <row r="788" spans="43:47" x14ac:dyDescent="0.25">
      <c r="AQ788" s="27"/>
      <c r="AR788" s="27"/>
      <c r="AS788" s="27"/>
      <c r="AT788" s="27"/>
      <c r="AU788" s="27"/>
    </row>
    <row r="789" spans="43:47" x14ac:dyDescent="0.25">
      <c r="AQ789" s="27"/>
      <c r="AR789" s="27"/>
      <c r="AS789" s="27"/>
      <c r="AT789" s="27"/>
      <c r="AU789" s="27"/>
    </row>
    <row r="790" spans="43:47" x14ac:dyDescent="0.25">
      <c r="AQ790" s="27"/>
      <c r="AR790" s="27"/>
      <c r="AS790" s="27"/>
      <c r="AT790" s="27"/>
      <c r="AU790" s="27"/>
    </row>
    <row r="791" spans="43:47" x14ac:dyDescent="0.25">
      <c r="AQ791" s="27"/>
      <c r="AR791" s="27"/>
      <c r="AS791" s="27"/>
      <c r="AT791" s="27"/>
      <c r="AU791" s="27"/>
    </row>
    <row r="792" spans="43:47" x14ac:dyDescent="0.25">
      <c r="AQ792" s="27"/>
      <c r="AR792" s="27"/>
      <c r="AS792" s="27"/>
      <c r="AT792" s="27"/>
      <c r="AU792" s="27"/>
    </row>
    <row r="793" spans="43:47" x14ac:dyDescent="0.25">
      <c r="AQ793" s="27"/>
      <c r="AR793" s="27"/>
      <c r="AS793" s="27"/>
      <c r="AT793" s="27"/>
      <c r="AU793" s="27"/>
    </row>
    <row r="794" spans="43:47" x14ac:dyDescent="0.25">
      <c r="AQ794" s="27"/>
      <c r="AR794" s="27"/>
      <c r="AS794" s="27"/>
      <c r="AT794" s="27"/>
      <c r="AU794" s="27"/>
    </row>
    <row r="795" spans="43:47" x14ac:dyDescent="0.25">
      <c r="AQ795" s="27"/>
      <c r="AR795" s="27"/>
      <c r="AS795" s="27"/>
      <c r="AT795" s="27"/>
      <c r="AU795" s="27"/>
    </row>
    <row r="796" spans="43:47" x14ac:dyDescent="0.25">
      <c r="AQ796" s="27"/>
      <c r="AR796" s="27"/>
      <c r="AS796" s="27"/>
      <c r="AT796" s="27"/>
      <c r="AU796" s="27"/>
    </row>
    <row r="797" spans="43:47" x14ac:dyDescent="0.25">
      <c r="AQ797" s="27"/>
      <c r="AR797" s="27"/>
      <c r="AS797" s="27"/>
      <c r="AT797" s="27"/>
      <c r="AU797" s="27"/>
    </row>
    <row r="798" spans="43:47" x14ac:dyDescent="0.25">
      <c r="AQ798" s="27"/>
      <c r="AR798" s="27"/>
      <c r="AS798" s="27"/>
      <c r="AT798" s="27"/>
      <c r="AU798" s="27"/>
    </row>
    <row r="799" spans="43:47" x14ac:dyDescent="0.25">
      <c r="AQ799" s="27"/>
      <c r="AR799" s="27"/>
      <c r="AS799" s="27"/>
      <c r="AT799" s="27"/>
      <c r="AU799" s="27"/>
    </row>
    <row r="800" spans="43:47" x14ac:dyDescent="0.25">
      <c r="AQ800" s="27"/>
      <c r="AR800" s="27"/>
      <c r="AS800" s="27"/>
      <c r="AT800" s="27"/>
      <c r="AU800" s="27"/>
    </row>
    <row r="801" spans="43:47" x14ac:dyDescent="0.25">
      <c r="AQ801" s="27"/>
      <c r="AR801" s="27"/>
      <c r="AS801" s="27"/>
      <c r="AT801" s="27"/>
      <c r="AU801" s="27"/>
    </row>
    <row r="802" spans="43:47" x14ac:dyDescent="0.25">
      <c r="AQ802" s="27"/>
      <c r="AR802" s="27"/>
      <c r="AS802" s="27"/>
      <c r="AT802" s="27"/>
      <c r="AU802" s="27"/>
    </row>
    <row r="803" spans="43:47" x14ac:dyDescent="0.25">
      <c r="AQ803" s="27"/>
      <c r="AR803" s="27"/>
      <c r="AS803" s="27"/>
      <c r="AT803" s="27"/>
      <c r="AU803" s="27"/>
    </row>
    <row r="804" spans="43:47" x14ac:dyDescent="0.25">
      <c r="AQ804" s="27"/>
      <c r="AR804" s="27"/>
      <c r="AS804" s="27"/>
      <c r="AT804" s="27"/>
      <c r="AU804" s="27"/>
    </row>
    <row r="805" spans="43:47" x14ac:dyDescent="0.25">
      <c r="AQ805" s="27"/>
      <c r="AR805" s="27"/>
      <c r="AS805" s="27"/>
      <c r="AT805" s="27"/>
      <c r="AU805" s="27"/>
    </row>
    <row r="806" spans="43:47" x14ac:dyDescent="0.25">
      <c r="AQ806" s="27"/>
      <c r="AR806" s="27"/>
      <c r="AS806" s="27"/>
      <c r="AT806" s="27"/>
      <c r="AU806" s="27"/>
    </row>
    <row r="807" spans="43:47" x14ac:dyDescent="0.25">
      <c r="AQ807" s="27"/>
      <c r="AR807" s="27"/>
      <c r="AS807" s="27"/>
      <c r="AT807" s="27"/>
      <c r="AU807" s="27"/>
    </row>
    <row r="808" spans="43:47" x14ac:dyDescent="0.25">
      <c r="AQ808" s="27"/>
      <c r="AR808" s="27"/>
      <c r="AS808" s="27"/>
      <c r="AT808" s="27"/>
      <c r="AU808" s="27"/>
    </row>
    <row r="809" spans="43:47" x14ac:dyDescent="0.25">
      <c r="AQ809" s="27"/>
      <c r="AR809" s="27"/>
      <c r="AS809" s="27"/>
      <c r="AT809" s="27"/>
      <c r="AU809" s="27"/>
    </row>
    <row r="810" spans="43:47" x14ac:dyDescent="0.25">
      <c r="AQ810" s="27"/>
      <c r="AR810" s="27"/>
      <c r="AS810" s="27"/>
      <c r="AT810" s="27"/>
      <c r="AU810" s="27"/>
    </row>
    <row r="811" spans="43:47" x14ac:dyDescent="0.25">
      <c r="AQ811" s="27"/>
      <c r="AR811" s="27"/>
      <c r="AS811" s="27"/>
      <c r="AT811" s="27"/>
      <c r="AU811" s="27"/>
    </row>
    <row r="812" spans="43:47" x14ac:dyDescent="0.25">
      <c r="AQ812" s="27"/>
      <c r="AR812" s="27"/>
      <c r="AS812" s="27"/>
      <c r="AT812" s="27"/>
      <c r="AU812" s="27"/>
    </row>
    <row r="813" spans="43:47" x14ac:dyDescent="0.25">
      <c r="AQ813" s="27"/>
      <c r="AR813" s="27"/>
      <c r="AS813" s="27"/>
      <c r="AT813" s="27"/>
      <c r="AU813" s="27"/>
    </row>
    <row r="814" spans="43:47" x14ac:dyDescent="0.25">
      <c r="AQ814" s="27"/>
      <c r="AR814" s="27"/>
      <c r="AS814" s="27"/>
      <c r="AT814" s="27"/>
      <c r="AU814" s="27"/>
    </row>
    <row r="815" spans="43:47" x14ac:dyDescent="0.25">
      <c r="AQ815" s="27"/>
      <c r="AR815" s="27"/>
      <c r="AS815" s="27"/>
      <c r="AT815" s="27"/>
      <c r="AU815" s="27"/>
    </row>
    <row r="816" spans="43:47" x14ac:dyDescent="0.25">
      <c r="AQ816" s="27"/>
      <c r="AR816" s="27"/>
      <c r="AS816" s="27"/>
      <c r="AT816" s="27"/>
      <c r="AU816" s="27"/>
    </row>
    <row r="817" spans="43:47" x14ac:dyDescent="0.25">
      <c r="AQ817" s="27"/>
      <c r="AR817" s="27"/>
      <c r="AS817" s="27"/>
      <c r="AT817" s="27"/>
      <c r="AU817" s="27"/>
    </row>
    <row r="818" spans="43:47" x14ac:dyDescent="0.25">
      <c r="AQ818" s="27"/>
      <c r="AR818" s="27"/>
      <c r="AS818" s="27"/>
      <c r="AT818" s="27"/>
      <c r="AU818" s="27"/>
    </row>
    <row r="819" spans="43:47" x14ac:dyDescent="0.25">
      <c r="AQ819" s="27"/>
      <c r="AR819" s="27"/>
      <c r="AS819" s="27"/>
      <c r="AT819" s="27"/>
      <c r="AU819" s="27"/>
    </row>
    <row r="820" spans="43:47" x14ac:dyDescent="0.25">
      <c r="AQ820" s="27"/>
      <c r="AR820" s="27"/>
      <c r="AS820" s="27"/>
      <c r="AT820" s="27"/>
      <c r="AU820" s="27"/>
    </row>
    <row r="821" spans="43:47" x14ac:dyDescent="0.25">
      <c r="AQ821" s="27"/>
      <c r="AR821" s="27"/>
      <c r="AS821" s="27"/>
      <c r="AT821" s="27"/>
      <c r="AU821" s="27"/>
    </row>
    <row r="822" spans="43:47" x14ac:dyDescent="0.25">
      <c r="AQ822" s="27"/>
      <c r="AR822" s="27"/>
      <c r="AS822" s="27"/>
      <c r="AT822" s="27"/>
      <c r="AU822" s="27"/>
    </row>
    <row r="823" spans="43:47" x14ac:dyDescent="0.25">
      <c r="AQ823" s="27"/>
      <c r="AR823" s="27"/>
      <c r="AS823" s="27"/>
      <c r="AT823" s="27"/>
      <c r="AU823" s="27"/>
    </row>
    <row r="824" spans="43:47" x14ac:dyDescent="0.25">
      <c r="AQ824" s="27"/>
      <c r="AR824" s="27"/>
      <c r="AS824" s="27"/>
      <c r="AT824" s="27"/>
      <c r="AU824" s="27"/>
    </row>
    <row r="825" spans="43:47" x14ac:dyDescent="0.25">
      <c r="AQ825" s="27"/>
      <c r="AR825" s="27"/>
      <c r="AS825" s="27"/>
      <c r="AT825" s="27"/>
      <c r="AU825" s="27"/>
    </row>
    <row r="826" spans="43:47" x14ac:dyDescent="0.25">
      <c r="AQ826" s="27"/>
      <c r="AR826" s="27"/>
      <c r="AS826" s="27"/>
      <c r="AT826" s="27"/>
      <c r="AU826" s="27"/>
    </row>
    <row r="827" spans="43:47" x14ac:dyDescent="0.25">
      <c r="AQ827" s="27"/>
      <c r="AR827" s="27"/>
      <c r="AS827" s="27"/>
      <c r="AT827" s="27"/>
      <c r="AU827" s="27"/>
    </row>
    <row r="828" spans="43:47" x14ac:dyDescent="0.25">
      <c r="AQ828" s="27"/>
      <c r="AR828" s="27"/>
      <c r="AS828" s="27"/>
      <c r="AT828" s="27"/>
      <c r="AU828" s="27"/>
    </row>
    <row r="829" spans="43:47" x14ac:dyDescent="0.25">
      <c r="AQ829" s="27"/>
      <c r="AR829" s="27"/>
      <c r="AS829" s="27"/>
      <c r="AT829" s="27"/>
      <c r="AU829" s="27"/>
    </row>
    <row r="830" spans="43:47" x14ac:dyDescent="0.25">
      <c r="AQ830" s="27"/>
      <c r="AR830" s="27"/>
      <c r="AS830" s="27"/>
      <c r="AT830" s="27"/>
      <c r="AU830" s="27"/>
    </row>
    <row r="831" spans="43:47" x14ac:dyDescent="0.25">
      <c r="AQ831" s="27"/>
      <c r="AR831" s="27"/>
      <c r="AS831" s="27"/>
      <c r="AT831" s="27"/>
      <c r="AU831" s="27"/>
    </row>
    <row r="832" spans="43:47" x14ac:dyDescent="0.25">
      <c r="AQ832" s="27"/>
      <c r="AR832" s="27"/>
      <c r="AS832" s="27"/>
      <c r="AT832" s="27"/>
      <c r="AU832" s="27"/>
    </row>
    <row r="833" spans="43:47" x14ac:dyDescent="0.25">
      <c r="AQ833" s="27"/>
      <c r="AR833" s="27"/>
      <c r="AS833" s="27"/>
      <c r="AT833" s="27"/>
      <c r="AU833" s="27"/>
    </row>
    <row r="834" spans="43:47" x14ac:dyDescent="0.25">
      <c r="AQ834" s="27"/>
      <c r="AR834" s="27"/>
      <c r="AS834" s="27"/>
      <c r="AT834" s="27"/>
      <c r="AU834" s="27"/>
    </row>
    <row r="835" spans="43:47" x14ac:dyDescent="0.25">
      <c r="AQ835" s="27"/>
      <c r="AR835" s="27"/>
      <c r="AS835" s="27"/>
      <c r="AT835" s="27"/>
      <c r="AU835" s="27"/>
    </row>
    <row r="836" spans="43:47" x14ac:dyDescent="0.25">
      <c r="AQ836" s="27"/>
      <c r="AR836" s="27"/>
      <c r="AS836" s="27"/>
      <c r="AT836" s="27"/>
      <c r="AU836" s="27"/>
    </row>
    <row r="837" spans="43:47" x14ac:dyDescent="0.25">
      <c r="AQ837" s="27"/>
      <c r="AR837" s="27"/>
      <c r="AS837" s="27"/>
      <c r="AT837" s="27"/>
      <c r="AU837" s="27"/>
    </row>
    <row r="838" spans="43:47" x14ac:dyDescent="0.25">
      <c r="AQ838" s="27"/>
      <c r="AR838" s="27"/>
      <c r="AS838" s="27"/>
      <c r="AT838" s="27"/>
      <c r="AU838" s="27"/>
    </row>
    <row r="839" spans="43:47" x14ac:dyDescent="0.25">
      <c r="AQ839" s="27"/>
      <c r="AR839" s="27"/>
      <c r="AS839" s="27"/>
      <c r="AT839" s="27"/>
      <c r="AU839" s="27"/>
    </row>
    <row r="840" spans="43:47" x14ac:dyDescent="0.25">
      <c r="AQ840" s="27"/>
      <c r="AR840" s="27"/>
      <c r="AS840" s="27"/>
      <c r="AT840" s="27"/>
      <c r="AU840" s="27"/>
    </row>
    <row r="841" spans="43:47" x14ac:dyDescent="0.25">
      <c r="AQ841" s="27"/>
      <c r="AR841" s="27"/>
      <c r="AS841" s="27"/>
      <c r="AT841" s="27"/>
      <c r="AU841" s="27"/>
    </row>
    <row r="842" spans="43:47" x14ac:dyDescent="0.25">
      <c r="AQ842" s="27"/>
      <c r="AR842" s="27"/>
      <c r="AS842" s="27"/>
      <c r="AT842" s="27"/>
      <c r="AU842" s="27"/>
    </row>
    <row r="843" spans="43:47" x14ac:dyDescent="0.25">
      <c r="AQ843" s="27"/>
      <c r="AR843" s="27"/>
      <c r="AS843" s="27"/>
      <c r="AT843" s="27"/>
      <c r="AU843" s="27"/>
    </row>
    <row r="844" spans="43:47" x14ac:dyDescent="0.25">
      <c r="AQ844" s="27"/>
      <c r="AR844" s="27"/>
      <c r="AS844" s="27"/>
      <c r="AT844" s="27"/>
      <c r="AU844" s="27"/>
    </row>
    <row r="845" spans="43:47" x14ac:dyDescent="0.25">
      <c r="AQ845" s="27"/>
      <c r="AR845" s="27"/>
      <c r="AS845" s="27"/>
      <c r="AT845" s="27"/>
      <c r="AU845" s="27"/>
    </row>
    <row r="846" spans="43:47" x14ac:dyDescent="0.25">
      <c r="AQ846" s="27"/>
      <c r="AR846" s="27"/>
      <c r="AS846" s="27"/>
      <c r="AT846" s="27"/>
      <c r="AU846" s="27"/>
    </row>
    <row r="847" spans="43:47" x14ac:dyDescent="0.25">
      <c r="AQ847" s="27"/>
      <c r="AR847" s="27"/>
      <c r="AS847" s="27"/>
      <c r="AT847" s="27"/>
      <c r="AU847" s="27"/>
    </row>
    <row r="848" spans="43:47" x14ac:dyDescent="0.25">
      <c r="AQ848" s="27"/>
      <c r="AR848" s="27"/>
      <c r="AS848" s="27"/>
      <c r="AT848" s="27"/>
      <c r="AU848" s="27"/>
    </row>
    <row r="849" spans="43:47" x14ac:dyDescent="0.25">
      <c r="AQ849" s="27"/>
      <c r="AR849" s="27"/>
      <c r="AS849" s="27"/>
      <c r="AT849" s="27"/>
      <c r="AU849" s="27"/>
    </row>
    <row r="850" spans="43:47" x14ac:dyDescent="0.25">
      <c r="AQ850" s="27"/>
      <c r="AR850" s="27"/>
      <c r="AS850" s="27"/>
      <c r="AT850" s="27"/>
      <c r="AU850" s="27"/>
    </row>
    <row r="851" spans="43:47" x14ac:dyDescent="0.25">
      <c r="AQ851" s="27"/>
      <c r="AR851" s="27"/>
      <c r="AS851" s="27"/>
      <c r="AT851" s="27"/>
      <c r="AU851" s="27"/>
    </row>
    <row r="852" spans="43:47" x14ac:dyDescent="0.25">
      <c r="AQ852" s="27"/>
      <c r="AR852" s="27"/>
      <c r="AS852" s="27"/>
      <c r="AT852" s="27"/>
      <c r="AU852" s="27"/>
    </row>
    <row r="853" spans="43:47" x14ac:dyDescent="0.25">
      <c r="AQ853" s="27"/>
      <c r="AR853" s="27"/>
      <c r="AS853" s="27"/>
      <c r="AT853" s="27"/>
      <c r="AU853" s="27"/>
    </row>
    <row r="854" spans="43:47" x14ac:dyDescent="0.25">
      <c r="AQ854" s="27"/>
      <c r="AR854" s="27"/>
      <c r="AS854" s="27"/>
      <c r="AT854" s="27"/>
      <c r="AU854" s="27"/>
    </row>
    <row r="855" spans="43:47" x14ac:dyDescent="0.25">
      <c r="AQ855" s="27"/>
      <c r="AR855" s="27"/>
      <c r="AS855" s="27"/>
      <c r="AT855" s="27"/>
      <c r="AU855" s="27"/>
    </row>
    <row r="856" spans="43:47" x14ac:dyDescent="0.25">
      <c r="AQ856" s="27"/>
      <c r="AR856" s="27"/>
      <c r="AS856" s="27"/>
      <c r="AT856" s="27"/>
      <c r="AU856" s="27"/>
    </row>
    <row r="857" spans="43:47" x14ac:dyDescent="0.25">
      <c r="AQ857" s="27"/>
      <c r="AR857" s="27"/>
      <c r="AS857" s="27"/>
      <c r="AT857" s="27"/>
      <c r="AU857" s="27"/>
    </row>
    <row r="858" spans="43:47" x14ac:dyDescent="0.25">
      <c r="AQ858" s="27"/>
      <c r="AR858" s="27"/>
      <c r="AS858" s="27"/>
      <c r="AT858" s="27"/>
      <c r="AU858" s="27"/>
    </row>
    <row r="859" spans="43:47" x14ac:dyDescent="0.25">
      <c r="AQ859" s="27"/>
      <c r="AR859" s="27"/>
      <c r="AS859" s="27"/>
      <c r="AT859" s="27"/>
      <c r="AU859" s="27"/>
    </row>
    <row r="860" spans="43:47" x14ac:dyDescent="0.25">
      <c r="AQ860" s="27"/>
      <c r="AR860" s="27"/>
      <c r="AS860" s="27"/>
      <c r="AT860" s="27"/>
      <c r="AU860" s="27"/>
    </row>
    <row r="861" spans="43:47" x14ac:dyDescent="0.25">
      <c r="AQ861" s="27"/>
      <c r="AR861" s="27"/>
      <c r="AS861" s="27"/>
      <c r="AT861" s="27"/>
      <c r="AU861" s="27"/>
    </row>
    <row r="862" spans="43:47" x14ac:dyDescent="0.25">
      <c r="AQ862" s="27"/>
      <c r="AR862" s="27"/>
      <c r="AS862" s="27"/>
      <c r="AT862" s="27"/>
      <c r="AU862" s="27"/>
    </row>
    <row r="863" spans="43:47" x14ac:dyDescent="0.25">
      <c r="AQ863" s="27"/>
      <c r="AR863" s="27"/>
      <c r="AS863" s="27"/>
      <c r="AT863" s="27"/>
      <c r="AU863" s="27"/>
    </row>
    <row r="864" spans="43:47" x14ac:dyDescent="0.25">
      <c r="AQ864" s="27"/>
      <c r="AR864" s="27"/>
      <c r="AS864" s="27"/>
      <c r="AT864" s="27"/>
      <c r="AU864" s="27"/>
    </row>
    <row r="865" spans="43:47" x14ac:dyDescent="0.25">
      <c r="AQ865" s="27"/>
      <c r="AR865" s="27"/>
      <c r="AS865" s="27"/>
      <c r="AT865" s="27"/>
      <c r="AU865" s="27"/>
    </row>
    <row r="866" spans="43:47" x14ac:dyDescent="0.25">
      <c r="AQ866" s="27"/>
      <c r="AR866" s="27"/>
      <c r="AS866" s="27"/>
      <c r="AT866" s="27"/>
      <c r="AU866" s="27"/>
    </row>
    <row r="867" spans="43:47" x14ac:dyDescent="0.25">
      <c r="AQ867" s="27"/>
      <c r="AR867" s="27"/>
      <c r="AS867" s="27"/>
      <c r="AT867" s="27"/>
      <c r="AU867" s="27"/>
    </row>
    <row r="868" spans="43:47" x14ac:dyDescent="0.25">
      <c r="AQ868" s="27"/>
      <c r="AR868" s="27"/>
      <c r="AS868" s="27"/>
      <c r="AT868" s="27"/>
      <c r="AU868" s="27"/>
    </row>
    <row r="869" spans="43:47" x14ac:dyDescent="0.25">
      <c r="AQ869" s="27"/>
      <c r="AR869" s="27"/>
      <c r="AS869" s="27"/>
      <c r="AT869" s="27"/>
      <c r="AU869" s="27"/>
    </row>
    <row r="870" spans="43:47" x14ac:dyDescent="0.25">
      <c r="AQ870" s="27"/>
      <c r="AR870" s="27"/>
      <c r="AS870" s="27"/>
      <c r="AT870" s="27"/>
      <c r="AU870" s="27"/>
    </row>
    <row r="871" spans="43:47" x14ac:dyDescent="0.25">
      <c r="AQ871" s="27"/>
      <c r="AR871" s="27"/>
      <c r="AS871" s="27"/>
      <c r="AT871" s="27"/>
      <c r="AU871" s="27"/>
    </row>
    <row r="872" spans="43:47" x14ac:dyDescent="0.25">
      <c r="AQ872" s="27"/>
      <c r="AR872" s="27"/>
      <c r="AS872" s="27"/>
      <c r="AT872" s="27"/>
      <c r="AU872" s="27"/>
    </row>
    <row r="873" spans="43:47" x14ac:dyDescent="0.25">
      <c r="AQ873" s="27"/>
      <c r="AR873" s="27"/>
      <c r="AS873" s="27"/>
      <c r="AT873" s="27"/>
      <c r="AU873" s="27"/>
    </row>
    <row r="874" spans="43:47" x14ac:dyDescent="0.25">
      <c r="AQ874" s="27"/>
      <c r="AR874" s="27"/>
      <c r="AS874" s="27"/>
      <c r="AT874" s="27"/>
      <c r="AU874" s="27"/>
    </row>
    <row r="875" spans="43:47" x14ac:dyDescent="0.25">
      <c r="AQ875" s="27"/>
      <c r="AR875" s="27"/>
      <c r="AS875" s="27"/>
      <c r="AT875" s="27"/>
      <c r="AU875" s="27"/>
    </row>
    <row r="876" spans="43:47" x14ac:dyDescent="0.25">
      <c r="AQ876" s="27"/>
      <c r="AR876" s="27"/>
      <c r="AS876" s="27"/>
      <c r="AT876" s="27"/>
      <c r="AU876" s="27"/>
    </row>
    <row r="877" spans="43:47" x14ac:dyDescent="0.25">
      <c r="AQ877" s="27"/>
      <c r="AR877" s="27"/>
      <c r="AS877" s="27"/>
      <c r="AT877" s="27"/>
      <c r="AU877" s="27"/>
    </row>
    <row r="878" spans="43:47" x14ac:dyDescent="0.25">
      <c r="AQ878" s="27"/>
      <c r="AR878" s="27"/>
      <c r="AS878" s="27"/>
      <c r="AT878" s="27"/>
      <c r="AU878" s="27"/>
    </row>
    <row r="879" spans="43:47" x14ac:dyDescent="0.25">
      <c r="AQ879" s="27"/>
      <c r="AR879" s="27"/>
      <c r="AS879" s="27"/>
      <c r="AT879" s="27"/>
      <c r="AU879" s="27"/>
    </row>
    <row r="880" spans="43:47" x14ac:dyDescent="0.25">
      <c r="AQ880" s="27"/>
      <c r="AR880" s="27"/>
      <c r="AS880" s="27"/>
      <c r="AT880" s="27"/>
      <c r="AU880" s="27"/>
    </row>
    <row r="881" spans="43:47" x14ac:dyDescent="0.25">
      <c r="AQ881" s="27"/>
      <c r="AR881" s="27"/>
      <c r="AS881" s="27"/>
      <c r="AT881" s="27"/>
      <c r="AU881" s="27"/>
    </row>
    <row r="882" spans="43:47" x14ac:dyDescent="0.25">
      <c r="AQ882" s="27"/>
      <c r="AR882" s="27"/>
      <c r="AS882" s="27"/>
      <c r="AT882" s="27"/>
      <c r="AU882" s="27"/>
    </row>
    <row r="883" spans="43:47" x14ac:dyDescent="0.25">
      <c r="AQ883" s="27"/>
      <c r="AR883" s="27"/>
      <c r="AS883" s="27"/>
      <c r="AT883" s="27"/>
      <c r="AU883" s="27"/>
    </row>
    <row r="884" spans="43:47" x14ac:dyDescent="0.25">
      <c r="AQ884" s="27"/>
      <c r="AR884" s="27"/>
      <c r="AS884" s="27"/>
      <c r="AT884" s="27"/>
      <c r="AU884" s="27"/>
    </row>
    <row r="885" spans="43:47" x14ac:dyDescent="0.25">
      <c r="AQ885" s="27"/>
      <c r="AR885" s="27"/>
      <c r="AS885" s="27"/>
      <c r="AT885" s="27"/>
      <c r="AU885" s="27"/>
    </row>
    <row r="886" spans="43:47" x14ac:dyDescent="0.25">
      <c r="AQ886" s="27"/>
      <c r="AR886" s="27"/>
      <c r="AS886" s="27"/>
      <c r="AT886" s="27"/>
      <c r="AU886" s="27"/>
    </row>
    <row r="887" spans="43:47" x14ac:dyDescent="0.25">
      <c r="AQ887" s="27"/>
      <c r="AR887" s="27"/>
      <c r="AS887" s="27"/>
      <c r="AT887" s="27"/>
      <c r="AU887" s="27"/>
    </row>
    <row r="888" spans="43:47" x14ac:dyDescent="0.25">
      <c r="AQ888" s="27"/>
      <c r="AR888" s="27"/>
      <c r="AS888" s="27"/>
      <c r="AT888" s="27"/>
      <c r="AU888" s="27"/>
    </row>
    <row r="889" spans="43:47" x14ac:dyDescent="0.25">
      <c r="AQ889" s="27"/>
      <c r="AR889" s="27"/>
      <c r="AS889" s="27"/>
      <c r="AT889" s="27"/>
      <c r="AU889" s="27"/>
    </row>
    <row r="890" spans="43:47" x14ac:dyDescent="0.25">
      <c r="AQ890" s="27"/>
      <c r="AR890" s="27"/>
      <c r="AS890" s="27"/>
      <c r="AT890" s="27"/>
      <c r="AU890" s="27"/>
    </row>
    <row r="891" spans="43:47" x14ac:dyDescent="0.25">
      <c r="AQ891" s="27"/>
      <c r="AR891" s="27"/>
      <c r="AS891" s="27"/>
      <c r="AT891" s="27"/>
      <c r="AU891" s="27"/>
    </row>
    <row r="892" spans="43:47" x14ac:dyDescent="0.25">
      <c r="AQ892" s="27"/>
      <c r="AR892" s="27"/>
      <c r="AS892" s="27"/>
      <c r="AT892" s="27"/>
      <c r="AU892" s="27"/>
    </row>
    <row r="893" spans="43:47" x14ac:dyDescent="0.25">
      <c r="AQ893" s="27"/>
      <c r="AR893" s="27"/>
      <c r="AS893" s="27"/>
      <c r="AT893" s="27"/>
      <c r="AU893" s="27"/>
    </row>
    <row r="894" spans="43:47" x14ac:dyDescent="0.25">
      <c r="AQ894" s="27"/>
      <c r="AR894" s="27"/>
      <c r="AS894" s="27"/>
      <c r="AT894" s="27"/>
      <c r="AU894" s="27"/>
    </row>
    <row r="895" spans="43:47" x14ac:dyDescent="0.25">
      <c r="AQ895" s="27"/>
      <c r="AR895" s="27"/>
      <c r="AS895" s="27"/>
      <c r="AT895" s="27"/>
      <c r="AU895" s="27"/>
    </row>
    <row r="896" spans="43:47" x14ac:dyDescent="0.25">
      <c r="AQ896" s="27"/>
      <c r="AR896" s="27"/>
      <c r="AS896" s="27"/>
      <c r="AT896" s="27"/>
      <c r="AU896" s="27"/>
    </row>
    <row r="897" spans="43:47" x14ac:dyDescent="0.25">
      <c r="AQ897" s="27"/>
      <c r="AR897" s="27"/>
      <c r="AS897" s="27"/>
      <c r="AT897" s="27"/>
      <c r="AU897" s="27"/>
    </row>
    <row r="898" spans="43:47" x14ac:dyDescent="0.25">
      <c r="AQ898" s="27"/>
      <c r="AR898" s="27"/>
      <c r="AS898" s="27"/>
      <c r="AT898" s="27"/>
      <c r="AU898" s="27"/>
    </row>
    <row r="899" spans="43:47" x14ac:dyDescent="0.25">
      <c r="AQ899" s="27"/>
      <c r="AR899" s="27"/>
      <c r="AS899" s="27"/>
      <c r="AT899" s="27"/>
      <c r="AU899" s="27"/>
    </row>
    <row r="900" spans="43:47" x14ac:dyDescent="0.25">
      <c r="AQ900" s="27"/>
      <c r="AR900" s="27"/>
      <c r="AS900" s="27"/>
      <c r="AT900" s="27"/>
      <c r="AU900" s="27"/>
    </row>
    <row r="901" spans="43:47" x14ac:dyDescent="0.25">
      <c r="AQ901" s="27"/>
      <c r="AR901" s="27"/>
      <c r="AS901" s="27"/>
      <c r="AT901" s="27"/>
      <c r="AU901" s="27"/>
    </row>
    <row r="902" spans="43:47" x14ac:dyDescent="0.25">
      <c r="AQ902" s="27"/>
      <c r="AR902" s="27"/>
      <c r="AS902" s="27"/>
      <c r="AT902" s="27"/>
      <c r="AU902" s="27"/>
    </row>
    <row r="903" spans="43:47" x14ac:dyDescent="0.25">
      <c r="AQ903" s="27"/>
      <c r="AR903" s="27"/>
      <c r="AS903" s="27"/>
      <c r="AT903" s="27"/>
      <c r="AU903" s="27"/>
    </row>
    <row r="904" spans="43:47" x14ac:dyDescent="0.25">
      <c r="AQ904" s="27"/>
      <c r="AR904" s="27"/>
      <c r="AS904" s="27"/>
      <c r="AT904" s="27"/>
      <c r="AU904" s="27"/>
    </row>
    <row r="905" spans="43:47" x14ac:dyDescent="0.25">
      <c r="AQ905" s="27"/>
      <c r="AR905" s="27"/>
      <c r="AS905" s="27"/>
      <c r="AT905" s="27"/>
      <c r="AU905" s="27"/>
    </row>
    <row r="906" spans="43:47" x14ac:dyDescent="0.25">
      <c r="AQ906" s="27"/>
      <c r="AR906" s="27"/>
      <c r="AS906" s="27"/>
      <c r="AT906" s="27"/>
      <c r="AU906" s="27"/>
    </row>
    <row r="907" spans="43:47" x14ac:dyDescent="0.25">
      <c r="AQ907" s="27"/>
      <c r="AR907" s="27"/>
      <c r="AS907" s="27"/>
      <c r="AT907" s="27"/>
      <c r="AU907" s="27"/>
    </row>
    <row r="908" spans="43:47" x14ac:dyDescent="0.25">
      <c r="AQ908" s="27"/>
      <c r="AR908" s="27"/>
      <c r="AS908" s="27"/>
      <c r="AT908" s="27"/>
      <c r="AU908" s="27"/>
    </row>
    <row r="909" spans="43:47" x14ac:dyDescent="0.25">
      <c r="AQ909" s="27"/>
      <c r="AR909" s="27"/>
      <c r="AS909" s="27"/>
      <c r="AT909" s="27"/>
      <c r="AU909" s="27"/>
    </row>
    <row r="910" spans="43:47" x14ac:dyDescent="0.25">
      <c r="AQ910" s="27"/>
      <c r="AR910" s="27"/>
      <c r="AS910" s="27"/>
      <c r="AT910" s="27"/>
      <c r="AU910" s="27"/>
    </row>
    <row r="911" spans="43:47" x14ac:dyDescent="0.25">
      <c r="AQ911" s="27"/>
      <c r="AR911" s="27"/>
      <c r="AS911" s="27"/>
      <c r="AT911" s="27"/>
      <c r="AU911" s="27"/>
    </row>
    <row r="912" spans="43:47" x14ac:dyDescent="0.25">
      <c r="AQ912" s="27"/>
      <c r="AR912" s="27"/>
      <c r="AS912" s="27"/>
      <c r="AT912" s="27"/>
      <c r="AU912" s="27"/>
    </row>
    <row r="913" spans="43:47" x14ac:dyDescent="0.25">
      <c r="AQ913" s="27"/>
      <c r="AR913" s="27"/>
      <c r="AS913" s="27"/>
      <c r="AT913" s="27"/>
      <c r="AU913" s="27"/>
    </row>
    <row r="914" spans="43:47" x14ac:dyDescent="0.25">
      <c r="AQ914" s="27"/>
      <c r="AR914" s="27"/>
      <c r="AS914" s="27"/>
      <c r="AT914" s="27"/>
      <c r="AU914" s="27"/>
    </row>
    <row r="915" spans="43:47" x14ac:dyDescent="0.25">
      <c r="AQ915" s="27"/>
      <c r="AR915" s="27"/>
      <c r="AS915" s="27"/>
      <c r="AT915" s="27"/>
      <c r="AU915" s="27"/>
    </row>
    <row r="916" spans="43:47" x14ac:dyDescent="0.25">
      <c r="AQ916" s="27"/>
      <c r="AR916" s="27"/>
      <c r="AS916" s="27"/>
      <c r="AT916" s="27"/>
      <c r="AU916" s="27"/>
    </row>
    <row r="917" spans="43:47" x14ac:dyDescent="0.25">
      <c r="AQ917" s="27"/>
      <c r="AR917" s="27"/>
      <c r="AS917" s="27"/>
      <c r="AT917" s="27"/>
      <c r="AU917" s="27"/>
    </row>
    <row r="918" spans="43:47" x14ac:dyDescent="0.25">
      <c r="AQ918" s="27"/>
      <c r="AR918" s="27"/>
      <c r="AS918" s="27"/>
      <c r="AT918" s="27"/>
      <c r="AU918" s="27"/>
    </row>
    <row r="919" spans="43:47" x14ac:dyDescent="0.25">
      <c r="AQ919" s="27"/>
      <c r="AR919" s="27"/>
      <c r="AS919" s="27"/>
      <c r="AT919" s="27"/>
      <c r="AU919" s="27"/>
    </row>
    <row r="920" spans="43:47" x14ac:dyDescent="0.25">
      <c r="AQ920" s="27"/>
      <c r="AR920" s="27"/>
      <c r="AS920" s="27"/>
      <c r="AT920" s="27"/>
      <c r="AU920" s="27"/>
    </row>
    <row r="921" spans="43:47" x14ac:dyDescent="0.25">
      <c r="AQ921" s="27"/>
      <c r="AR921" s="27"/>
      <c r="AS921" s="27"/>
      <c r="AT921" s="27"/>
      <c r="AU921" s="27"/>
    </row>
    <row r="922" spans="43:47" x14ac:dyDescent="0.25">
      <c r="AQ922" s="27"/>
      <c r="AR922" s="27"/>
      <c r="AS922" s="27"/>
      <c r="AT922" s="27"/>
      <c r="AU922" s="27"/>
    </row>
    <row r="923" spans="43:47" x14ac:dyDescent="0.25">
      <c r="AQ923" s="27"/>
      <c r="AR923" s="27"/>
      <c r="AS923" s="27"/>
      <c r="AT923" s="27"/>
      <c r="AU923" s="27"/>
    </row>
    <row r="924" spans="43:47" x14ac:dyDescent="0.25">
      <c r="AQ924" s="27"/>
      <c r="AR924" s="27"/>
      <c r="AS924" s="27"/>
      <c r="AT924" s="27"/>
      <c r="AU924" s="27"/>
    </row>
    <row r="925" spans="43:47" x14ac:dyDescent="0.25">
      <c r="AQ925" s="27"/>
      <c r="AR925" s="27"/>
      <c r="AS925" s="27"/>
      <c r="AT925" s="27"/>
      <c r="AU925" s="27"/>
    </row>
    <row r="926" spans="43:47" x14ac:dyDescent="0.25">
      <c r="AQ926" s="27"/>
      <c r="AR926" s="27"/>
      <c r="AS926" s="27"/>
      <c r="AT926" s="27"/>
      <c r="AU926" s="27"/>
    </row>
    <row r="927" spans="43:47" x14ac:dyDescent="0.25">
      <c r="AQ927" s="27"/>
      <c r="AR927" s="27"/>
      <c r="AS927" s="27"/>
      <c r="AT927" s="27"/>
      <c r="AU927" s="27"/>
    </row>
    <row r="928" spans="43:47" x14ac:dyDescent="0.25">
      <c r="AQ928" s="27"/>
      <c r="AR928" s="27"/>
      <c r="AS928" s="27"/>
      <c r="AT928" s="27"/>
      <c r="AU928" s="27"/>
    </row>
    <row r="929" spans="43:47" x14ac:dyDescent="0.25">
      <c r="AQ929" s="27"/>
      <c r="AR929" s="27"/>
      <c r="AS929" s="27"/>
      <c r="AT929" s="27"/>
      <c r="AU929" s="27"/>
    </row>
    <row r="930" spans="43:47" x14ac:dyDescent="0.25">
      <c r="AQ930" s="27"/>
      <c r="AR930" s="27"/>
      <c r="AS930" s="27"/>
      <c r="AT930" s="27"/>
      <c r="AU930" s="27"/>
    </row>
    <row r="931" spans="43:47" x14ac:dyDescent="0.25">
      <c r="AQ931" s="27"/>
      <c r="AR931" s="27"/>
      <c r="AS931" s="27"/>
      <c r="AT931" s="27"/>
      <c r="AU931" s="27"/>
    </row>
    <row r="932" spans="43:47" x14ac:dyDescent="0.25">
      <c r="AQ932" s="27"/>
      <c r="AR932" s="27"/>
      <c r="AS932" s="27"/>
      <c r="AT932" s="27"/>
      <c r="AU932" s="27"/>
    </row>
    <row r="933" spans="43:47" x14ac:dyDescent="0.25">
      <c r="AQ933" s="27"/>
      <c r="AR933" s="27"/>
      <c r="AS933" s="27"/>
      <c r="AT933" s="27"/>
      <c r="AU933" s="27"/>
    </row>
    <row r="934" spans="43:47" x14ac:dyDescent="0.25">
      <c r="AQ934" s="27"/>
      <c r="AR934" s="27"/>
      <c r="AS934" s="27"/>
      <c r="AT934" s="27"/>
      <c r="AU934" s="27"/>
    </row>
    <row r="935" spans="43:47" x14ac:dyDescent="0.25">
      <c r="AQ935" s="27"/>
      <c r="AR935" s="27"/>
      <c r="AS935" s="27"/>
      <c r="AT935" s="27"/>
      <c r="AU935" s="27"/>
    </row>
    <row r="936" spans="43:47" x14ac:dyDescent="0.25">
      <c r="AQ936" s="27"/>
      <c r="AR936" s="27"/>
      <c r="AS936" s="27"/>
      <c r="AT936" s="27"/>
      <c r="AU936" s="27"/>
    </row>
    <row r="937" spans="43:47" x14ac:dyDescent="0.25">
      <c r="AQ937" s="27"/>
      <c r="AR937" s="27"/>
      <c r="AS937" s="27"/>
      <c r="AT937" s="27"/>
      <c r="AU937" s="27"/>
    </row>
    <row r="938" spans="43:47" x14ac:dyDescent="0.25">
      <c r="AQ938" s="27"/>
      <c r="AR938" s="27"/>
      <c r="AS938" s="27"/>
      <c r="AT938" s="27"/>
      <c r="AU938" s="27"/>
    </row>
    <row r="939" spans="43:47" x14ac:dyDescent="0.25">
      <c r="AQ939" s="27"/>
      <c r="AR939" s="27"/>
      <c r="AS939" s="27"/>
      <c r="AT939" s="27"/>
      <c r="AU939" s="27"/>
    </row>
    <row r="940" spans="43:47" x14ac:dyDescent="0.25">
      <c r="AQ940" s="27"/>
      <c r="AR940" s="27"/>
      <c r="AS940" s="27"/>
      <c r="AT940" s="27"/>
      <c r="AU940" s="27"/>
    </row>
    <row r="941" spans="43:47" x14ac:dyDescent="0.25">
      <c r="AQ941" s="27"/>
      <c r="AR941" s="27"/>
      <c r="AS941" s="27"/>
      <c r="AT941" s="27"/>
      <c r="AU941" s="27"/>
    </row>
    <row r="942" spans="43:47" x14ac:dyDescent="0.25">
      <c r="AQ942" s="27"/>
      <c r="AR942" s="27"/>
      <c r="AS942" s="27"/>
      <c r="AT942" s="27"/>
      <c r="AU942" s="27"/>
    </row>
    <row r="943" spans="43:47" x14ac:dyDescent="0.25">
      <c r="AQ943" s="27"/>
      <c r="AR943" s="27"/>
      <c r="AS943" s="27"/>
      <c r="AT943" s="27"/>
      <c r="AU943" s="27"/>
    </row>
    <row r="944" spans="43:47" x14ac:dyDescent="0.25">
      <c r="AQ944" s="27"/>
      <c r="AR944" s="27"/>
      <c r="AS944" s="27"/>
      <c r="AT944" s="27"/>
      <c r="AU944" s="27"/>
    </row>
    <row r="945" spans="43:47" x14ac:dyDescent="0.25">
      <c r="AQ945" s="27"/>
      <c r="AR945" s="27"/>
      <c r="AS945" s="27"/>
      <c r="AT945" s="27"/>
      <c r="AU945" s="27"/>
    </row>
    <row r="946" spans="43:47" x14ac:dyDescent="0.25">
      <c r="AQ946" s="27"/>
      <c r="AR946" s="27"/>
      <c r="AS946" s="27"/>
      <c r="AT946" s="27"/>
      <c r="AU946" s="27"/>
    </row>
    <row r="947" spans="43:47" x14ac:dyDescent="0.25">
      <c r="AQ947" s="27"/>
      <c r="AR947" s="27"/>
      <c r="AS947" s="27"/>
      <c r="AT947" s="27"/>
      <c r="AU947" s="27"/>
    </row>
    <row r="948" spans="43:47" x14ac:dyDescent="0.25">
      <c r="AQ948" s="27"/>
      <c r="AR948" s="27"/>
      <c r="AS948" s="27"/>
      <c r="AT948" s="27"/>
      <c r="AU948" s="27"/>
    </row>
    <row r="949" spans="43:47" x14ac:dyDescent="0.25">
      <c r="AQ949" s="27"/>
      <c r="AR949" s="27"/>
      <c r="AS949" s="27"/>
      <c r="AT949" s="27"/>
      <c r="AU949" s="27"/>
    </row>
    <row r="950" spans="43:47" x14ac:dyDescent="0.25">
      <c r="AQ950" s="27"/>
      <c r="AR950" s="27"/>
      <c r="AS950" s="27"/>
      <c r="AT950" s="27"/>
      <c r="AU950" s="27"/>
    </row>
    <row r="951" spans="43:47" x14ac:dyDescent="0.25">
      <c r="AQ951" s="27"/>
      <c r="AR951" s="27"/>
      <c r="AS951" s="27"/>
      <c r="AT951" s="27"/>
      <c r="AU951" s="27"/>
    </row>
    <row r="952" spans="43:47" x14ac:dyDescent="0.25">
      <c r="AQ952" s="27"/>
      <c r="AR952" s="27"/>
      <c r="AS952" s="27"/>
      <c r="AT952" s="27"/>
      <c r="AU952" s="27"/>
    </row>
    <row r="953" spans="43:47" x14ac:dyDescent="0.25">
      <c r="AQ953" s="27"/>
      <c r="AR953" s="27"/>
      <c r="AS953" s="27"/>
      <c r="AT953" s="27"/>
      <c r="AU953" s="27"/>
    </row>
    <row r="954" spans="43:47" x14ac:dyDescent="0.25">
      <c r="AQ954" s="27"/>
      <c r="AR954" s="27"/>
      <c r="AS954" s="27"/>
      <c r="AT954" s="27"/>
      <c r="AU954" s="27"/>
    </row>
    <row r="955" spans="43:47" x14ac:dyDescent="0.25">
      <c r="AQ955" s="27"/>
      <c r="AR955" s="27"/>
      <c r="AS955" s="27"/>
      <c r="AT955" s="27"/>
      <c r="AU955" s="27"/>
    </row>
    <row r="956" spans="43:47" x14ac:dyDescent="0.25">
      <c r="AQ956" s="27"/>
      <c r="AR956" s="27"/>
      <c r="AS956" s="27"/>
      <c r="AT956" s="27"/>
      <c r="AU956" s="27"/>
    </row>
    <row r="957" spans="43:47" x14ac:dyDescent="0.25">
      <c r="AQ957" s="27"/>
      <c r="AR957" s="27"/>
      <c r="AS957" s="27"/>
      <c r="AT957" s="27"/>
      <c r="AU957" s="27"/>
    </row>
    <row r="958" spans="43:47" x14ac:dyDescent="0.25">
      <c r="AQ958" s="27"/>
      <c r="AR958" s="27"/>
      <c r="AS958" s="27"/>
      <c r="AT958" s="27"/>
      <c r="AU958" s="27"/>
    </row>
    <row r="959" spans="43:47" x14ac:dyDescent="0.25">
      <c r="AQ959" s="27"/>
      <c r="AR959" s="27"/>
      <c r="AS959" s="27"/>
      <c r="AT959" s="27"/>
      <c r="AU959" s="27"/>
    </row>
    <row r="960" spans="43:47" x14ac:dyDescent="0.25">
      <c r="AQ960" s="27"/>
      <c r="AR960" s="27"/>
      <c r="AS960" s="27"/>
      <c r="AT960" s="27"/>
      <c r="AU960" s="27"/>
    </row>
    <row r="961" spans="43:47" x14ac:dyDescent="0.25">
      <c r="AQ961" s="27"/>
      <c r="AR961" s="27"/>
      <c r="AS961" s="27"/>
      <c r="AT961" s="27"/>
      <c r="AU961" s="27"/>
    </row>
    <row r="962" spans="43:47" x14ac:dyDescent="0.25">
      <c r="AQ962" s="27"/>
      <c r="AR962" s="27"/>
      <c r="AS962" s="27"/>
      <c r="AT962" s="27"/>
      <c r="AU962" s="27"/>
    </row>
    <row r="963" spans="43:47" x14ac:dyDescent="0.25">
      <c r="AQ963" s="27"/>
      <c r="AR963" s="27"/>
      <c r="AS963" s="27"/>
      <c r="AT963" s="27"/>
      <c r="AU963" s="27"/>
    </row>
    <row r="964" spans="43:47" x14ac:dyDescent="0.25">
      <c r="AQ964" s="27"/>
      <c r="AR964" s="27"/>
      <c r="AS964" s="27"/>
      <c r="AT964" s="27"/>
      <c r="AU964" s="27"/>
    </row>
    <row r="965" spans="43:47" x14ac:dyDescent="0.25">
      <c r="AQ965" s="27"/>
      <c r="AR965" s="27"/>
      <c r="AS965" s="27"/>
      <c r="AT965" s="27"/>
      <c r="AU965" s="27"/>
    </row>
    <row r="966" spans="43:47" x14ac:dyDescent="0.25">
      <c r="AQ966" s="27"/>
      <c r="AR966" s="27"/>
      <c r="AS966" s="27"/>
      <c r="AT966" s="27"/>
      <c r="AU966" s="27"/>
    </row>
    <row r="967" spans="43:47" x14ac:dyDescent="0.25">
      <c r="AQ967" s="27"/>
      <c r="AR967" s="27"/>
      <c r="AS967" s="27"/>
      <c r="AT967" s="27"/>
      <c r="AU967" s="27"/>
    </row>
    <row r="968" spans="43:47" x14ac:dyDescent="0.25">
      <c r="AQ968" s="27"/>
      <c r="AR968" s="27"/>
      <c r="AS968" s="27"/>
      <c r="AT968" s="27"/>
      <c r="AU968" s="27"/>
    </row>
    <row r="969" spans="43:47" x14ac:dyDescent="0.25">
      <c r="AQ969" s="27"/>
      <c r="AR969" s="27"/>
      <c r="AS969" s="27"/>
      <c r="AT969" s="27"/>
      <c r="AU969" s="27"/>
    </row>
    <row r="970" spans="43:47" x14ac:dyDescent="0.25">
      <c r="AQ970" s="27"/>
      <c r="AR970" s="27"/>
      <c r="AS970" s="27"/>
      <c r="AT970" s="27"/>
      <c r="AU970" s="27"/>
    </row>
    <row r="971" spans="43:47" x14ac:dyDescent="0.25">
      <c r="AQ971" s="27"/>
      <c r="AR971" s="27"/>
      <c r="AS971" s="27"/>
      <c r="AT971" s="27"/>
      <c r="AU971" s="27"/>
    </row>
    <row r="972" spans="43:47" x14ac:dyDescent="0.25">
      <c r="AQ972" s="27"/>
      <c r="AR972" s="27"/>
      <c r="AS972" s="27"/>
      <c r="AT972" s="27"/>
      <c r="AU972" s="27"/>
    </row>
    <row r="973" spans="43:47" x14ac:dyDescent="0.25">
      <c r="AQ973" s="27"/>
      <c r="AR973" s="27"/>
      <c r="AS973" s="27"/>
      <c r="AT973" s="27"/>
      <c r="AU973" s="27"/>
    </row>
    <row r="974" spans="43:47" x14ac:dyDescent="0.25">
      <c r="AQ974" s="27"/>
      <c r="AR974" s="27"/>
      <c r="AS974" s="27"/>
      <c r="AT974" s="27"/>
      <c r="AU974" s="27"/>
    </row>
    <row r="975" spans="43:47" x14ac:dyDescent="0.25">
      <c r="AQ975" s="27"/>
      <c r="AR975" s="27"/>
      <c r="AS975" s="27"/>
      <c r="AT975" s="27"/>
      <c r="AU975" s="27"/>
    </row>
    <row r="976" spans="43:47" x14ac:dyDescent="0.25">
      <c r="AQ976" s="27"/>
      <c r="AR976" s="27"/>
      <c r="AS976" s="27"/>
      <c r="AT976" s="27"/>
      <c r="AU976" s="27"/>
    </row>
    <row r="977" spans="43:47" x14ac:dyDescent="0.25">
      <c r="AQ977" s="27"/>
      <c r="AR977" s="27"/>
      <c r="AS977" s="27"/>
      <c r="AT977" s="27"/>
      <c r="AU977" s="27"/>
    </row>
    <row r="978" spans="43:47" x14ac:dyDescent="0.25">
      <c r="AQ978" s="27"/>
      <c r="AR978" s="27"/>
      <c r="AS978" s="27"/>
      <c r="AT978" s="27"/>
      <c r="AU978" s="27"/>
    </row>
    <row r="979" spans="43:47" x14ac:dyDescent="0.25">
      <c r="AQ979" s="27"/>
      <c r="AR979" s="27"/>
      <c r="AS979" s="27"/>
      <c r="AT979" s="27"/>
      <c r="AU979" s="27"/>
    </row>
    <row r="980" spans="43:47" x14ac:dyDescent="0.25">
      <c r="AQ980" s="27"/>
      <c r="AR980" s="27"/>
      <c r="AS980" s="27"/>
      <c r="AT980" s="27"/>
      <c r="AU980" s="27"/>
    </row>
    <row r="981" spans="43:47" x14ac:dyDescent="0.25">
      <c r="AQ981" s="27"/>
      <c r="AR981" s="27"/>
      <c r="AS981" s="27"/>
      <c r="AT981" s="27"/>
      <c r="AU981" s="27"/>
    </row>
    <row r="982" spans="43:47" x14ac:dyDescent="0.25">
      <c r="AQ982" s="27"/>
      <c r="AR982" s="27"/>
      <c r="AS982" s="27"/>
      <c r="AT982" s="27"/>
      <c r="AU982" s="27"/>
    </row>
    <row r="983" spans="43:47" x14ac:dyDescent="0.25">
      <c r="AQ983" s="27"/>
      <c r="AR983" s="27"/>
      <c r="AS983" s="27"/>
      <c r="AT983" s="27"/>
      <c r="AU983" s="27"/>
    </row>
    <row r="984" spans="43:47" x14ac:dyDescent="0.25">
      <c r="AQ984" s="27"/>
      <c r="AR984" s="27"/>
      <c r="AS984" s="27"/>
      <c r="AT984" s="27"/>
      <c r="AU984" s="27"/>
    </row>
    <row r="985" spans="43:47" x14ac:dyDescent="0.25">
      <c r="AQ985" s="27"/>
      <c r="AR985" s="27"/>
      <c r="AS985" s="27"/>
      <c r="AT985" s="27"/>
      <c r="AU985" s="27"/>
    </row>
    <row r="986" spans="43:47" x14ac:dyDescent="0.25">
      <c r="AQ986" s="27"/>
      <c r="AR986" s="27"/>
      <c r="AS986" s="27"/>
      <c r="AT986" s="27"/>
      <c r="AU986" s="27"/>
    </row>
    <row r="987" spans="43:47" x14ac:dyDescent="0.25">
      <c r="AQ987" s="27"/>
      <c r="AR987" s="27"/>
      <c r="AS987" s="27"/>
      <c r="AT987" s="27"/>
      <c r="AU987" s="27"/>
    </row>
    <row r="988" spans="43:47" x14ac:dyDescent="0.25">
      <c r="AQ988" s="27"/>
      <c r="AR988" s="27"/>
      <c r="AS988" s="27"/>
      <c r="AT988" s="27"/>
      <c r="AU988" s="27"/>
    </row>
    <row r="989" spans="43:47" x14ac:dyDescent="0.25">
      <c r="AQ989" s="27"/>
      <c r="AR989" s="27"/>
      <c r="AS989" s="27"/>
      <c r="AT989" s="27"/>
      <c r="AU989" s="27"/>
    </row>
    <row r="990" spans="43:47" x14ac:dyDescent="0.25">
      <c r="AQ990" s="27"/>
      <c r="AR990" s="27"/>
      <c r="AS990" s="27"/>
      <c r="AT990" s="27"/>
      <c r="AU990" s="27"/>
    </row>
    <row r="991" spans="43:47" x14ac:dyDescent="0.25">
      <c r="AQ991" s="27"/>
      <c r="AR991" s="27"/>
      <c r="AS991" s="27"/>
      <c r="AT991" s="27"/>
      <c r="AU991" s="27"/>
    </row>
    <row r="992" spans="43:47" x14ac:dyDescent="0.25">
      <c r="AQ992" s="27"/>
      <c r="AR992" s="27"/>
      <c r="AS992" s="27"/>
      <c r="AT992" s="27"/>
      <c r="AU992" s="27"/>
    </row>
    <row r="993" spans="43:47" x14ac:dyDescent="0.25">
      <c r="AQ993" s="27"/>
      <c r="AR993" s="27"/>
      <c r="AS993" s="27"/>
      <c r="AT993" s="27"/>
      <c r="AU993" s="27"/>
    </row>
    <row r="994" spans="43:47" x14ac:dyDescent="0.25">
      <c r="AQ994" s="27"/>
      <c r="AR994" s="27"/>
      <c r="AS994" s="27"/>
      <c r="AT994" s="27"/>
      <c r="AU994" s="27"/>
    </row>
    <row r="995" spans="43:47" x14ac:dyDescent="0.25">
      <c r="AQ995" s="27"/>
      <c r="AR995" s="27"/>
      <c r="AS995" s="27"/>
      <c r="AT995" s="27"/>
      <c r="AU995" s="27"/>
    </row>
    <row r="996" spans="43:47" x14ac:dyDescent="0.25">
      <c r="AQ996" s="27"/>
      <c r="AR996" s="27"/>
      <c r="AS996" s="27"/>
      <c r="AT996" s="27"/>
      <c r="AU996" s="27"/>
    </row>
    <row r="997" spans="43:47" x14ac:dyDescent="0.25">
      <c r="AQ997" s="27"/>
      <c r="AR997" s="27"/>
      <c r="AS997" s="27"/>
      <c r="AT997" s="27"/>
      <c r="AU997" s="27"/>
    </row>
    <row r="998" spans="43:47" x14ac:dyDescent="0.25">
      <c r="AQ998" s="27"/>
      <c r="AR998" s="27"/>
      <c r="AS998" s="27"/>
      <c r="AT998" s="27"/>
      <c r="AU998" s="27"/>
    </row>
    <row r="999" spans="43:47" x14ac:dyDescent="0.25">
      <c r="AQ999" s="27"/>
      <c r="AR999" s="27"/>
      <c r="AS999" s="27"/>
      <c r="AT999" s="27"/>
      <c r="AU999" s="27"/>
    </row>
    <row r="1000" spans="43:47" x14ac:dyDescent="0.25">
      <c r="AQ1000" s="27"/>
      <c r="AR1000" s="27"/>
      <c r="AS1000" s="27"/>
      <c r="AT1000" s="27"/>
      <c r="AU1000" s="27"/>
    </row>
    <row r="1001" spans="43:47" x14ac:dyDescent="0.25">
      <c r="AQ1001" s="27"/>
      <c r="AR1001" s="27"/>
      <c r="AS1001" s="27"/>
      <c r="AT1001" s="27"/>
      <c r="AU1001" s="27"/>
    </row>
    <row r="1002" spans="43:47" x14ac:dyDescent="0.25">
      <c r="AQ1002" s="27"/>
      <c r="AR1002" s="27"/>
      <c r="AS1002" s="27"/>
      <c r="AT1002" s="27"/>
      <c r="AU1002" s="27"/>
    </row>
    <row r="1003" spans="43:47" x14ac:dyDescent="0.25">
      <c r="AQ1003" s="27"/>
      <c r="AR1003" s="27"/>
      <c r="AS1003" s="27"/>
      <c r="AT1003" s="27"/>
      <c r="AU1003" s="27"/>
    </row>
    <row r="1004" spans="43:47" x14ac:dyDescent="0.25">
      <c r="AQ1004" s="27"/>
      <c r="AR1004" s="27"/>
      <c r="AS1004" s="27"/>
      <c r="AT1004" s="27"/>
      <c r="AU1004" s="27"/>
    </row>
    <row r="1005" spans="43:47" x14ac:dyDescent="0.25">
      <c r="AQ1005" s="27"/>
      <c r="AR1005" s="27"/>
      <c r="AS1005" s="27"/>
      <c r="AT1005" s="27"/>
      <c r="AU1005" s="27"/>
    </row>
    <row r="1006" spans="43:47" x14ac:dyDescent="0.25">
      <c r="AQ1006" s="27"/>
      <c r="AR1006" s="27"/>
      <c r="AS1006" s="27"/>
      <c r="AT1006" s="27"/>
      <c r="AU1006" s="27"/>
    </row>
    <row r="1007" spans="43:47" x14ac:dyDescent="0.25">
      <c r="AQ1007" s="27"/>
      <c r="AR1007" s="27"/>
      <c r="AS1007" s="27"/>
      <c r="AT1007" s="27"/>
      <c r="AU1007" s="27"/>
    </row>
    <row r="1008" spans="43:47" x14ac:dyDescent="0.25">
      <c r="AQ1008" s="27"/>
      <c r="AR1008" s="27"/>
      <c r="AS1008" s="27"/>
      <c r="AT1008" s="27"/>
      <c r="AU1008" s="27"/>
    </row>
    <row r="1009" spans="43:47" x14ac:dyDescent="0.25">
      <c r="AQ1009" s="27"/>
      <c r="AR1009" s="27"/>
      <c r="AS1009" s="27"/>
      <c r="AT1009" s="27"/>
      <c r="AU1009" s="27"/>
    </row>
    <row r="1010" spans="43:47" x14ac:dyDescent="0.25">
      <c r="AQ1010" s="27"/>
      <c r="AR1010" s="27"/>
      <c r="AS1010" s="27"/>
      <c r="AT1010" s="27"/>
      <c r="AU1010" s="27"/>
    </row>
    <row r="1011" spans="43:47" x14ac:dyDescent="0.25">
      <c r="AQ1011" s="27"/>
      <c r="AR1011" s="27"/>
      <c r="AS1011" s="27"/>
      <c r="AT1011" s="27"/>
      <c r="AU1011" s="27"/>
    </row>
    <row r="1012" spans="43:47" x14ac:dyDescent="0.25">
      <c r="AQ1012" s="27"/>
      <c r="AR1012" s="27"/>
      <c r="AS1012" s="27"/>
      <c r="AT1012" s="27"/>
      <c r="AU1012" s="27"/>
    </row>
    <row r="1013" spans="43:47" x14ac:dyDescent="0.25">
      <c r="AQ1013" s="27"/>
      <c r="AR1013" s="27"/>
      <c r="AS1013" s="27"/>
      <c r="AT1013" s="27"/>
      <c r="AU1013" s="27"/>
    </row>
    <row r="1014" spans="43:47" x14ac:dyDescent="0.25">
      <c r="AQ1014" s="27"/>
      <c r="AR1014" s="27"/>
      <c r="AS1014" s="27"/>
      <c r="AT1014" s="27"/>
      <c r="AU1014" s="27"/>
    </row>
    <row r="1015" spans="43:47" x14ac:dyDescent="0.25">
      <c r="AQ1015" s="27"/>
      <c r="AR1015" s="27"/>
      <c r="AS1015" s="27"/>
      <c r="AT1015" s="27"/>
      <c r="AU1015" s="27"/>
    </row>
    <row r="1016" spans="43:47" x14ac:dyDescent="0.25">
      <c r="AQ1016" s="27"/>
      <c r="AR1016" s="27"/>
      <c r="AS1016" s="27"/>
      <c r="AT1016" s="27"/>
      <c r="AU1016" s="27"/>
    </row>
    <row r="1017" spans="43:47" x14ac:dyDescent="0.25">
      <c r="AQ1017" s="27"/>
      <c r="AR1017" s="27"/>
      <c r="AS1017" s="27"/>
      <c r="AT1017" s="27"/>
      <c r="AU1017" s="27"/>
    </row>
    <row r="1018" spans="43:47" x14ac:dyDescent="0.25">
      <c r="AQ1018" s="27"/>
      <c r="AR1018" s="27"/>
      <c r="AS1018" s="27"/>
      <c r="AT1018" s="27"/>
      <c r="AU1018" s="27"/>
    </row>
    <row r="1019" spans="43:47" x14ac:dyDescent="0.25">
      <c r="AQ1019" s="27"/>
      <c r="AR1019" s="27"/>
      <c r="AS1019" s="27"/>
      <c r="AT1019" s="27"/>
      <c r="AU1019" s="27"/>
    </row>
    <row r="1020" spans="43:47" x14ac:dyDescent="0.25">
      <c r="AQ1020" s="27"/>
      <c r="AR1020" s="27"/>
      <c r="AS1020" s="27"/>
      <c r="AT1020" s="27"/>
      <c r="AU1020" s="27"/>
    </row>
    <row r="1021" spans="43:47" x14ac:dyDescent="0.25">
      <c r="AQ1021" s="27"/>
      <c r="AR1021" s="27"/>
      <c r="AS1021" s="27"/>
      <c r="AT1021" s="27"/>
      <c r="AU1021" s="27"/>
    </row>
    <row r="1022" spans="43:47" x14ac:dyDescent="0.25">
      <c r="AQ1022" s="27"/>
      <c r="AR1022" s="27"/>
      <c r="AS1022" s="27"/>
      <c r="AT1022" s="27"/>
      <c r="AU1022" s="27"/>
    </row>
    <row r="1023" spans="43:47" x14ac:dyDescent="0.25">
      <c r="AQ1023" s="27"/>
      <c r="AR1023" s="27"/>
      <c r="AS1023" s="27"/>
      <c r="AT1023" s="27"/>
      <c r="AU1023" s="27"/>
    </row>
    <row r="1024" spans="43:47" x14ac:dyDescent="0.25">
      <c r="AQ1024" s="27"/>
      <c r="AR1024" s="27"/>
      <c r="AS1024" s="27"/>
      <c r="AT1024" s="27"/>
      <c r="AU1024" s="27"/>
    </row>
    <row r="1025" spans="43:47" x14ac:dyDescent="0.25">
      <c r="AQ1025" s="27"/>
      <c r="AR1025" s="27"/>
      <c r="AS1025" s="27"/>
      <c r="AT1025" s="27"/>
      <c r="AU1025" s="27"/>
    </row>
    <row r="1026" spans="43:47" x14ac:dyDescent="0.25">
      <c r="AQ1026" s="27"/>
      <c r="AR1026" s="27"/>
      <c r="AS1026" s="27"/>
      <c r="AT1026" s="27"/>
      <c r="AU1026" s="27"/>
    </row>
    <row r="1027" spans="43:47" x14ac:dyDescent="0.25">
      <c r="AQ1027" s="27"/>
      <c r="AR1027" s="27"/>
      <c r="AS1027" s="27"/>
      <c r="AT1027" s="27"/>
      <c r="AU1027" s="27"/>
    </row>
    <row r="1028" spans="43:47" x14ac:dyDescent="0.25">
      <c r="AQ1028" s="27"/>
      <c r="AR1028" s="27"/>
      <c r="AS1028" s="27"/>
      <c r="AT1028" s="27"/>
      <c r="AU1028" s="27"/>
    </row>
    <row r="1029" spans="43:47" x14ac:dyDescent="0.25">
      <c r="AQ1029" s="27"/>
      <c r="AR1029" s="27"/>
      <c r="AS1029" s="27"/>
      <c r="AT1029" s="27"/>
      <c r="AU1029" s="27"/>
    </row>
    <row r="1030" spans="43:47" x14ac:dyDescent="0.25">
      <c r="AQ1030" s="27"/>
      <c r="AR1030" s="27"/>
      <c r="AS1030" s="27"/>
      <c r="AT1030" s="27"/>
      <c r="AU1030" s="27"/>
    </row>
    <row r="1031" spans="43:47" x14ac:dyDescent="0.25">
      <c r="AQ1031" s="27"/>
      <c r="AR1031" s="27"/>
      <c r="AS1031" s="27"/>
      <c r="AT1031" s="27"/>
      <c r="AU1031" s="27"/>
    </row>
    <row r="1032" spans="43:47" x14ac:dyDescent="0.25">
      <c r="AQ1032" s="27"/>
      <c r="AR1032" s="27"/>
      <c r="AS1032" s="27"/>
      <c r="AT1032" s="27"/>
      <c r="AU1032" s="27"/>
    </row>
    <row r="1033" spans="43:47" x14ac:dyDescent="0.25">
      <c r="AQ1033" s="27"/>
      <c r="AR1033" s="27"/>
      <c r="AS1033" s="27"/>
      <c r="AT1033" s="27"/>
      <c r="AU1033" s="27"/>
    </row>
    <row r="1034" spans="43:47" x14ac:dyDescent="0.25">
      <c r="AQ1034" s="27"/>
      <c r="AR1034" s="27"/>
      <c r="AS1034" s="27"/>
      <c r="AT1034" s="27"/>
      <c r="AU1034" s="27"/>
    </row>
    <row r="1035" spans="43:47" x14ac:dyDescent="0.25">
      <c r="AQ1035" s="27"/>
      <c r="AR1035" s="27"/>
      <c r="AS1035" s="27"/>
      <c r="AT1035" s="27"/>
      <c r="AU1035" s="27"/>
    </row>
    <row r="1036" spans="43:47" x14ac:dyDescent="0.25">
      <c r="AQ1036" s="27"/>
      <c r="AR1036" s="27"/>
      <c r="AS1036" s="27"/>
      <c r="AT1036" s="27"/>
      <c r="AU1036" s="27"/>
    </row>
    <row r="1037" spans="43:47" x14ac:dyDescent="0.25">
      <c r="AQ1037" s="27"/>
      <c r="AR1037" s="27"/>
      <c r="AS1037" s="27"/>
      <c r="AT1037" s="27"/>
      <c r="AU1037" s="27"/>
    </row>
    <row r="1038" spans="43:47" x14ac:dyDescent="0.25">
      <c r="AQ1038" s="27"/>
      <c r="AR1038" s="27"/>
      <c r="AS1038" s="27"/>
      <c r="AT1038" s="27"/>
      <c r="AU1038" s="27"/>
    </row>
    <row r="1039" spans="43:47" x14ac:dyDescent="0.25">
      <c r="AQ1039" s="27"/>
      <c r="AR1039" s="27"/>
      <c r="AS1039" s="27"/>
      <c r="AT1039" s="27"/>
      <c r="AU1039" s="27"/>
    </row>
    <row r="1040" spans="43:47" x14ac:dyDescent="0.25">
      <c r="AQ1040" s="27"/>
      <c r="AR1040" s="27"/>
      <c r="AS1040" s="27"/>
      <c r="AT1040" s="27"/>
      <c r="AU1040" s="27"/>
    </row>
    <row r="1041" spans="43:47" x14ac:dyDescent="0.25">
      <c r="AQ1041" s="27"/>
      <c r="AR1041" s="27"/>
      <c r="AS1041" s="27"/>
      <c r="AT1041" s="27"/>
      <c r="AU1041" s="27"/>
    </row>
    <row r="1042" spans="43:47" x14ac:dyDescent="0.25">
      <c r="AQ1042" s="27"/>
      <c r="AR1042" s="27"/>
      <c r="AS1042" s="27"/>
      <c r="AT1042" s="27"/>
      <c r="AU1042" s="27"/>
    </row>
    <row r="1043" spans="43:47" x14ac:dyDescent="0.25">
      <c r="AQ1043" s="27"/>
      <c r="AR1043" s="27"/>
      <c r="AS1043" s="27"/>
      <c r="AT1043" s="27"/>
      <c r="AU1043" s="27"/>
    </row>
    <row r="1044" spans="43:47" x14ac:dyDescent="0.25">
      <c r="AQ1044" s="27"/>
      <c r="AR1044" s="27"/>
      <c r="AS1044" s="27"/>
      <c r="AT1044" s="27"/>
      <c r="AU1044" s="27"/>
    </row>
    <row r="1045" spans="43:47" x14ac:dyDescent="0.25">
      <c r="AQ1045" s="27"/>
      <c r="AR1045" s="27"/>
      <c r="AS1045" s="27"/>
      <c r="AT1045" s="27"/>
      <c r="AU1045" s="27"/>
    </row>
    <row r="1046" spans="43:47" x14ac:dyDescent="0.25">
      <c r="AQ1046" s="27"/>
      <c r="AR1046" s="27"/>
      <c r="AS1046" s="27"/>
      <c r="AT1046" s="27"/>
      <c r="AU1046" s="27"/>
    </row>
    <row r="1047" spans="43:47" x14ac:dyDescent="0.25">
      <c r="AQ1047" s="27"/>
      <c r="AR1047" s="27"/>
      <c r="AS1047" s="27"/>
      <c r="AT1047" s="27"/>
      <c r="AU1047" s="27"/>
    </row>
    <row r="1048" spans="43:47" x14ac:dyDescent="0.25">
      <c r="AQ1048" s="27"/>
      <c r="AR1048" s="27"/>
      <c r="AS1048" s="27"/>
      <c r="AT1048" s="27"/>
      <c r="AU1048" s="27"/>
    </row>
    <row r="1049" spans="43:47" x14ac:dyDescent="0.25">
      <c r="AQ1049" s="27"/>
      <c r="AR1049" s="27"/>
      <c r="AS1049" s="27"/>
      <c r="AT1049" s="27"/>
      <c r="AU1049" s="27"/>
    </row>
    <row r="1050" spans="43:47" x14ac:dyDescent="0.25">
      <c r="AQ1050" s="27"/>
      <c r="AR1050" s="27"/>
      <c r="AS1050" s="27"/>
      <c r="AT1050" s="27"/>
      <c r="AU1050" s="27"/>
    </row>
    <row r="1051" spans="43:47" x14ac:dyDescent="0.25">
      <c r="AQ1051" s="27"/>
      <c r="AR1051" s="27"/>
      <c r="AS1051" s="27"/>
      <c r="AT1051" s="27"/>
      <c r="AU1051" s="27"/>
    </row>
    <row r="1052" spans="43:47" x14ac:dyDescent="0.25">
      <c r="AQ1052" s="27"/>
      <c r="AR1052" s="27"/>
      <c r="AS1052" s="27"/>
      <c r="AT1052" s="27"/>
      <c r="AU1052" s="27"/>
    </row>
    <row r="1053" spans="43:47" x14ac:dyDescent="0.25">
      <c r="AQ1053" s="27"/>
      <c r="AR1053" s="27"/>
      <c r="AS1053" s="27"/>
      <c r="AT1053" s="27"/>
      <c r="AU1053" s="27"/>
    </row>
    <row r="1054" spans="43:47" x14ac:dyDescent="0.25">
      <c r="AQ1054" s="27"/>
      <c r="AR1054" s="27"/>
      <c r="AS1054" s="27"/>
      <c r="AT1054" s="27"/>
      <c r="AU1054" s="27"/>
    </row>
    <row r="1055" spans="43:47" x14ac:dyDescent="0.25">
      <c r="AQ1055" s="27"/>
      <c r="AR1055" s="27"/>
      <c r="AS1055" s="27"/>
      <c r="AT1055" s="27"/>
      <c r="AU1055" s="27"/>
    </row>
    <row r="1056" spans="43:47" x14ac:dyDescent="0.25">
      <c r="AQ1056" s="27"/>
      <c r="AR1056" s="27"/>
      <c r="AS1056" s="27"/>
      <c r="AT1056" s="27"/>
      <c r="AU1056" s="27"/>
    </row>
    <row r="1057" spans="43:47" x14ac:dyDescent="0.25">
      <c r="AQ1057" s="27"/>
      <c r="AR1057" s="27"/>
      <c r="AS1057" s="27"/>
      <c r="AT1057" s="27"/>
      <c r="AU1057" s="27"/>
    </row>
    <row r="1058" spans="43:47" x14ac:dyDescent="0.25">
      <c r="AQ1058" s="27"/>
      <c r="AR1058" s="27"/>
      <c r="AS1058" s="27"/>
      <c r="AT1058" s="27"/>
      <c r="AU1058" s="27"/>
    </row>
    <row r="1059" spans="43:47" x14ac:dyDescent="0.25">
      <c r="AQ1059" s="27"/>
      <c r="AR1059" s="27"/>
      <c r="AS1059" s="27"/>
      <c r="AT1059" s="27"/>
      <c r="AU1059" s="27"/>
    </row>
    <row r="1060" spans="43:47" x14ac:dyDescent="0.25">
      <c r="AQ1060" s="27"/>
      <c r="AR1060" s="27"/>
      <c r="AS1060" s="27"/>
      <c r="AT1060" s="27"/>
      <c r="AU1060" s="27"/>
    </row>
    <row r="1061" spans="43:47" x14ac:dyDescent="0.25">
      <c r="AQ1061" s="27"/>
      <c r="AR1061" s="27"/>
      <c r="AS1061" s="27"/>
      <c r="AT1061" s="27"/>
      <c r="AU1061" s="27"/>
    </row>
    <row r="1062" spans="43:47" x14ac:dyDescent="0.25">
      <c r="AQ1062" s="27"/>
      <c r="AR1062" s="27"/>
      <c r="AS1062" s="27"/>
      <c r="AT1062" s="27"/>
      <c r="AU1062" s="27"/>
    </row>
    <row r="1063" spans="43:47" x14ac:dyDescent="0.25">
      <c r="AQ1063" s="27"/>
      <c r="AR1063" s="27"/>
      <c r="AS1063" s="27"/>
      <c r="AT1063" s="27"/>
      <c r="AU1063" s="27"/>
    </row>
    <row r="1064" spans="43:47" x14ac:dyDescent="0.25">
      <c r="AQ1064" s="27"/>
      <c r="AR1064" s="27"/>
      <c r="AS1064" s="27"/>
      <c r="AT1064" s="27"/>
      <c r="AU1064" s="27"/>
    </row>
    <row r="1065" spans="43:47" x14ac:dyDescent="0.25">
      <c r="AQ1065" s="27"/>
      <c r="AR1065" s="27"/>
      <c r="AS1065" s="27"/>
      <c r="AT1065" s="27"/>
      <c r="AU1065" s="27"/>
    </row>
    <row r="1066" spans="43:47" x14ac:dyDescent="0.25">
      <c r="AQ1066" s="27"/>
      <c r="AR1066" s="27"/>
      <c r="AS1066" s="27"/>
      <c r="AT1066" s="27"/>
      <c r="AU1066" s="27"/>
    </row>
    <row r="1067" spans="43:47" x14ac:dyDescent="0.25">
      <c r="AQ1067" s="27"/>
      <c r="AR1067" s="27"/>
      <c r="AS1067" s="27"/>
      <c r="AT1067" s="27"/>
      <c r="AU1067" s="27"/>
    </row>
    <row r="1068" spans="43:47" x14ac:dyDescent="0.25">
      <c r="AQ1068" s="27"/>
      <c r="AR1068" s="27"/>
      <c r="AS1068" s="27"/>
      <c r="AT1068" s="27"/>
      <c r="AU1068" s="27"/>
    </row>
    <row r="1069" spans="43:47" x14ac:dyDescent="0.25">
      <c r="AQ1069" s="27"/>
      <c r="AR1069" s="27"/>
      <c r="AS1069" s="27"/>
      <c r="AT1069" s="27"/>
      <c r="AU1069" s="27"/>
    </row>
    <row r="1070" spans="43:47" x14ac:dyDescent="0.25">
      <c r="AQ1070" s="27"/>
      <c r="AR1070" s="27"/>
      <c r="AS1070" s="27"/>
      <c r="AT1070" s="27"/>
      <c r="AU1070" s="27"/>
    </row>
    <row r="1071" spans="43:47" x14ac:dyDescent="0.25">
      <c r="AQ1071" s="27"/>
      <c r="AR1071" s="27"/>
      <c r="AS1071" s="27"/>
      <c r="AT1071" s="27"/>
      <c r="AU1071" s="27"/>
    </row>
    <row r="1072" spans="43:47" x14ac:dyDescent="0.25">
      <c r="AQ1072" s="27"/>
      <c r="AR1072" s="27"/>
      <c r="AS1072" s="27"/>
      <c r="AT1072" s="27"/>
      <c r="AU1072" s="27"/>
    </row>
    <row r="1073" spans="43:47" x14ac:dyDescent="0.25">
      <c r="AQ1073" s="27"/>
      <c r="AR1073" s="27"/>
      <c r="AS1073" s="27"/>
      <c r="AT1073" s="27"/>
      <c r="AU1073" s="27"/>
    </row>
    <row r="1074" spans="43:47" x14ac:dyDescent="0.25">
      <c r="AQ1074" s="27"/>
      <c r="AR1074" s="27"/>
      <c r="AS1074" s="27"/>
      <c r="AT1074" s="27"/>
      <c r="AU1074" s="27"/>
    </row>
    <row r="1075" spans="43:47" x14ac:dyDescent="0.25">
      <c r="AQ1075" s="27"/>
      <c r="AR1075" s="27"/>
      <c r="AS1075" s="27"/>
      <c r="AT1075" s="27"/>
      <c r="AU1075" s="27"/>
    </row>
    <row r="1076" spans="43:47" x14ac:dyDescent="0.25">
      <c r="AQ1076" s="27"/>
      <c r="AR1076" s="27"/>
      <c r="AS1076" s="27"/>
      <c r="AT1076" s="27"/>
      <c r="AU1076" s="27"/>
    </row>
    <row r="1077" spans="43:47" x14ac:dyDescent="0.25">
      <c r="AQ1077" s="27"/>
      <c r="AR1077" s="27"/>
      <c r="AS1077" s="27"/>
      <c r="AT1077" s="27"/>
      <c r="AU1077" s="27"/>
    </row>
    <row r="1078" spans="43:47" x14ac:dyDescent="0.25">
      <c r="AQ1078" s="27"/>
      <c r="AR1078" s="27"/>
      <c r="AS1078" s="27"/>
      <c r="AT1078" s="27"/>
      <c r="AU1078" s="27"/>
    </row>
    <row r="1079" spans="43:47" x14ac:dyDescent="0.25">
      <c r="AQ1079" s="27"/>
      <c r="AR1079" s="27"/>
      <c r="AS1079" s="27"/>
      <c r="AT1079" s="27"/>
      <c r="AU1079" s="27"/>
    </row>
    <row r="1080" spans="43:47" x14ac:dyDescent="0.25">
      <c r="AQ1080" s="27"/>
      <c r="AR1080" s="27"/>
      <c r="AS1080" s="27"/>
      <c r="AT1080" s="27"/>
      <c r="AU1080" s="27"/>
    </row>
    <row r="1081" spans="43:47" x14ac:dyDescent="0.25">
      <c r="AQ1081" s="27"/>
      <c r="AR1081" s="27"/>
      <c r="AS1081" s="27"/>
      <c r="AT1081" s="27"/>
      <c r="AU1081" s="27"/>
    </row>
    <row r="1082" spans="43:47" x14ac:dyDescent="0.25">
      <c r="AQ1082" s="27"/>
      <c r="AR1082" s="27"/>
      <c r="AS1082" s="27"/>
      <c r="AT1082" s="27"/>
      <c r="AU1082" s="27"/>
    </row>
    <row r="1083" spans="43:47" x14ac:dyDescent="0.25">
      <c r="AQ1083" s="27"/>
      <c r="AR1083" s="27"/>
      <c r="AS1083" s="27"/>
      <c r="AT1083" s="27"/>
      <c r="AU1083" s="27"/>
    </row>
    <row r="1084" spans="43:47" x14ac:dyDescent="0.25">
      <c r="AQ1084" s="27"/>
      <c r="AR1084" s="27"/>
      <c r="AS1084" s="27"/>
      <c r="AT1084" s="27"/>
      <c r="AU1084" s="27"/>
    </row>
    <row r="1085" spans="43:47" x14ac:dyDescent="0.25">
      <c r="AQ1085" s="27"/>
      <c r="AR1085" s="27"/>
      <c r="AS1085" s="27"/>
      <c r="AT1085" s="27"/>
      <c r="AU1085" s="27"/>
    </row>
    <row r="1086" spans="43:47" x14ac:dyDescent="0.25">
      <c r="AQ1086" s="27"/>
      <c r="AR1086" s="27"/>
      <c r="AS1086" s="27"/>
      <c r="AT1086" s="27"/>
      <c r="AU1086" s="27"/>
    </row>
    <row r="1087" spans="43:47" x14ac:dyDescent="0.25">
      <c r="AQ1087" s="27"/>
      <c r="AR1087" s="27"/>
      <c r="AS1087" s="27"/>
      <c r="AT1087" s="27"/>
      <c r="AU1087" s="27"/>
    </row>
    <row r="1088" spans="43:47" x14ac:dyDescent="0.25">
      <c r="AQ1088" s="27"/>
      <c r="AR1088" s="27"/>
      <c r="AS1088" s="27"/>
      <c r="AT1088" s="27"/>
      <c r="AU1088" s="27"/>
    </row>
    <row r="1089" spans="43:47" x14ac:dyDescent="0.25">
      <c r="AQ1089" s="27"/>
      <c r="AR1089" s="27"/>
      <c r="AS1089" s="27"/>
      <c r="AT1089" s="27"/>
      <c r="AU1089" s="27"/>
    </row>
    <row r="1090" spans="43:47" x14ac:dyDescent="0.25">
      <c r="AQ1090" s="27"/>
      <c r="AR1090" s="27"/>
      <c r="AS1090" s="27"/>
      <c r="AT1090" s="27"/>
      <c r="AU1090" s="27"/>
    </row>
    <row r="1091" spans="43:47" x14ac:dyDescent="0.25">
      <c r="AQ1091" s="27"/>
      <c r="AR1091" s="27"/>
      <c r="AS1091" s="27"/>
      <c r="AT1091" s="27"/>
      <c r="AU1091" s="27"/>
    </row>
    <row r="1092" spans="43:47" x14ac:dyDescent="0.25">
      <c r="AQ1092" s="27"/>
      <c r="AR1092" s="27"/>
      <c r="AS1092" s="27"/>
      <c r="AT1092" s="27"/>
      <c r="AU1092" s="27"/>
    </row>
    <row r="1093" spans="43:47" x14ac:dyDescent="0.25">
      <c r="AQ1093" s="27"/>
      <c r="AR1093" s="27"/>
      <c r="AS1093" s="27"/>
      <c r="AT1093" s="27"/>
      <c r="AU1093" s="27"/>
    </row>
    <row r="1094" spans="43:47" x14ac:dyDescent="0.25">
      <c r="AQ1094" s="27"/>
      <c r="AR1094" s="27"/>
      <c r="AS1094" s="27"/>
      <c r="AT1094" s="27"/>
      <c r="AU1094" s="27"/>
    </row>
    <row r="1095" spans="43:47" x14ac:dyDescent="0.25">
      <c r="AQ1095" s="27"/>
      <c r="AR1095" s="27"/>
      <c r="AS1095" s="27"/>
      <c r="AT1095" s="27"/>
      <c r="AU1095" s="27"/>
    </row>
    <row r="1096" spans="43:47" x14ac:dyDescent="0.25">
      <c r="AQ1096" s="27"/>
      <c r="AR1096" s="27"/>
      <c r="AS1096" s="27"/>
      <c r="AT1096" s="27"/>
      <c r="AU1096" s="27"/>
    </row>
    <row r="1097" spans="43:47" x14ac:dyDescent="0.25">
      <c r="AQ1097" s="27"/>
      <c r="AR1097" s="27"/>
      <c r="AS1097" s="27"/>
      <c r="AT1097" s="27"/>
      <c r="AU1097" s="27"/>
    </row>
    <row r="1098" spans="43:47" x14ac:dyDescent="0.25">
      <c r="AQ1098" s="27"/>
      <c r="AR1098" s="27"/>
      <c r="AS1098" s="27"/>
      <c r="AT1098" s="27"/>
      <c r="AU1098" s="27"/>
    </row>
    <row r="1099" spans="43:47" x14ac:dyDescent="0.25">
      <c r="AQ1099" s="27"/>
      <c r="AR1099" s="27"/>
      <c r="AS1099" s="27"/>
      <c r="AT1099" s="27"/>
      <c r="AU1099" s="27"/>
    </row>
    <row r="1100" spans="43:47" x14ac:dyDescent="0.25">
      <c r="AQ1100" s="27"/>
      <c r="AR1100" s="27"/>
      <c r="AS1100" s="27"/>
      <c r="AT1100" s="27"/>
      <c r="AU1100" s="27"/>
    </row>
    <row r="1101" spans="43:47" x14ac:dyDescent="0.25">
      <c r="AQ1101" s="27"/>
      <c r="AR1101" s="27"/>
      <c r="AS1101" s="27"/>
      <c r="AT1101" s="27"/>
      <c r="AU1101" s="27"/>
    </row>
    <row r="1102" spans="43:47" x14ac:dyDescent="0.25">
      <c r="AQ1102" s="27"/>
      <c r="AR1102" s="27"/>
      <c r="AS1102" s="27"/>
      <c r="AT1102" s="27"/>
      <c r="AU1102" s="27"/>
    </row>
    <row r="1103" spans="43:47" x14ac:dyDescent="0.25">
      <c r="AQ1103" s="27"/>
      <c r="AR1103" s="27"/>
      <c r="AS1103" s="27"/>
      <c r="AT1103" s="27"/>
      <c r="AU1103" s="27"/>
    </row>
    <row r="1104" spans="43:47" x14ac:dyDescent="0.25">
      <c r="AQ1104" s="27"/>
      <c r="AR1104" s="27"/>
      <c r="AS1104" s="27"/>
      <c r="AT1104" s="27"/>
      <c r="AU1104" s="27"/>
    </row>
    <row r="1105" spans="43:47" x14ac:dyDescent="0.25">
      <c r="AQ1105" s="27"/>
      <c r="AR1105" s="27"/>
      <c r="AS1105" s="27"/>
      <c r="AT1105" s="27"/>
      <c r="AU1105" s="27"/>
    </row>
    <row r="1106" spans="43:47" x14ac:dyDescent="0.25">
      <c r="AQ1106" s="27"/>
      <c r="AR1106" s="27"/>
      <c r="AS1106" s="27"/>
      <c r="AT1106" s="27"/>
      <c r="AU1106" s="27"/>
    </row>
    <row r="1107" spans="43:47" x14ac:dyDescent="0.25">
      <c r="AQ1107" s="27"/>
      <c r="AR1107" s="27"/>
      <c r="AS1107" s="27"/>
      <c r="AT1107" s="27"/>
      <c r="AU1107" s="27"/>
    </row>
    <row r="1108" spans="43:47" x14ac:dyDescent="0.25">
      <c r="AQ1108" s="27"/>
      <c r="AR1108" s="27"/>
      <c r="AS1108" s="27"/>
      <c r="AT1108" s="27"/>
      <c r="AU1108" s="27"/>
    </row>
    <row r="1109" spans="43:47" x14ac:dyDescent="0.25">
      <c r="AQ1109" s="27"/>
      <c r="AR1109" s="27"/>
      <c r="AS1109" s="27"/>
      <c r="AT1109" s="27"/>
      <c r="AU1109" s="27"/>
    </row>
    <row r="1110" spans="43:47" x14ac:dyDescent="0.25">
      <c r="AQ1110" s="27"/>
      <c r="AR1110" s="27"/>
      <c r="AS1110" s="27"/>
      <c r="AT1110" s="27"/>
      <c r="AU1110" s="27"/>
    </row>
    <row r="1111" spans="43:47" x14ac:dyDescent="0.25">
      <c r="AQ1111" s="27"/>
      <c r="AR1111" s="27"/>
      <c r="AS1111" s="27"/>
      <c r="AT1111" s="27"/>
      <c r="AU1111" s="27"/>
    </row>
    <row r="1112" spans="43:47" x14ac:dyDescent="0.25">
      <c r="AQ1112" s="27"/>
      <c r="AR1112" s="27"/>
      <c r="AS1112" s="27"/>
      <c r="AT1112" s="27"/>
      <c r="AU1112" s="27"/>
    </row>
    <row r="1113" spans="43:47" x14ac:dyDescent="0.25">
      <c r="AQ1113" s="27"/>
      <c r="AR1113" s="27"/>
      <c r="AS1113" s="27"/>
      <c r="AT1113" s="27"/>
      <c r="AU1113" s="27"/>
    </row>
    <row r="1114" spans="43:47" x14ac:dyDescent="0.25">
      <c r="AQ1114" s="27"/>
      <c r="AR1114" s="27"/>
      <c r="AS1114" s="27"/>
      <c r="AT1114" s="27"/>
      <c r="AU1114" s="27"/>
    </row>
    <row r="1115" spans="43:47" x14ac:dyDescent="0.25">
      <c r="AQ1115" s="27"/>
      <c r="AR1115" s="27"/>
      <c r="AS1115" s="27"/>
      <c r="AT1115" s="27"/>
      <c r="AU1115" s="27"/>
    </row>
    <row r="1116" spans="43:47" x14ac:dyDescent="0.25">
      <c r="AQ1116" s="27"/>
      <c r="AR1116" s="27"/>
      <c r="AS1116" s="27"/>
      <c r="AT1116" s="27"/>
      <c r="AU1116" s="27"/>
    </row>
    <row r="1117" spans="43:47" x14ac:dyDescent="0.25">
      <c r="AQ1117" s="27"/>
      <c r="AR1117" s="27"/>
      <c r="AS1117" s="27"/>
      <c r="AT1117" s="27"/>
      <c r="AU1117" s="27"/>
    </row>
    <row r="1118" spans="43:47" x14ac:dyDescent="0.25">
      <c r="AQ1118" s="27"/>
      <c r="AR1118" s="27"/>
      <c r="AS1118" s="27"/>
      <c r="AT1118" s="27"/>
      <c r="AU1118" s="27"/>
    </row>
    <row r="1119" spans="43:47" x14ac:dyDescent="0.25">
      <c r="AQ1119" s="27"/>
      <c r="AR1119" s="27"/>
      <c r="AS1119" s="27"/>
      <c r="AT1119" s="27"/>
      <c r="AU1119" s="27"/>
    </row>
    <row r="1120" spans="43:47" x14ac:dyDescent="0.25">
      <c r="AQ1120" s="27"/>
      <c r="AR1120" s="27"/>
      <c r="AS1120" s="27"/>
      <c r="AT1120" s="27"/>
      <c r="AU1120" s="27"/>
    </row>
    <row r="1121" spans="43:47" x14ac:dyDescent="0.25">
      <c r="AQ1121" s="27"/>
      <c r="AR1121" s="27"/>
      <c r="AS1121" s="27"/>
      <c r="AT1121" s="27"/>
      <c r="AU1121" s="27"/>
    </row>
    <row r="1122" spans="43:47" x14ac:dyDescent="0.25">
      <c r="AQ1122" s="27"/>
      <c r="AR1122" s="27"/>
      <c r="AS1122" s="27"/>
      <c r="AT1122" s="27"/>
      <c r="AU1122" s="27"/>
    </row>
    <row r="1123" spans="43:47" x14ac:dyDescent="0.25">
      <c r="AQ1123" s="27"/>
      <c r="AR1123" s="27"/>
      <c r="AS1123" s="27"/>
      <c r="AT1123" s="27"/>
      <c r="AU1123" s="27"/>
    </row>
    <row r="1124" spans="43:47" x14ac:dyDescent="0.25">
      <c r="AQ1124" s="27"/>
      <c r="AR1124" s="27"/>
      <c r="AS1124" s="27"/>
      <c r="AT1124" s="27"/>
      <c r="AU1124" s="27"/>
    </row>
    <row r="1125" spans="43:47" x14ac:dyDescent="0.25">
      <c r="AQ1125" s="27"/>
      <c r="AR1125" s="27"/>
      <c r="AS1125" s="27"/>
      <c r="AT1125" s="27"/>
      <c r="AU1125" s="27"/>
    </row>
    <row r="1126" spans="43:47" x14ac:dyDescent="0.25">
      <c r="AQ1126" s="27"/>
      <c r="AR1126" s="27"/>
      <c r="AS1126" s="27"/>
      <c r="AT1126" s="27"/>
      <c r="AU1126" s="27"/>
    </row>
    <row r="1127" spans="43:47" x14ac:dyDescent="0.25">
      <c r="AQ1127" s="27"/>
      <c r="AR1127" s="27"/>
      <c r="AS1127" s="27"/>
      <c r="AT1127" s="27"/>
      <c r="AU1127" s="27"/>
    </row>
    <row r="1128" spans="43:47" x14ac:dyDescent="0.25">
      <c r="AQ1128" s="27"/>
      <c r="AR1128" s="27"/>
      <c r="AS1128" s="27"/>
      <c r="AT1128" s="27"/>
      <c r="AU1128" s="27"/>
    </row>
    <row r="1129" spans="43:47" x14ac:dyDescent="0.25">
      <c r="AQ1129" s="27"/>
      <c r="AR1129" s="27"/>
      <c r="AS1129" s="27"/>
      <c r="AT1129" s="27"/>
      <c r="AU1129" s="27"/>
    </row>
    <row r="1130" spans="43:47" x14ac:dyDescent="0.25">
      <c r="AQ1130" s="27"/>
      <c r="AR1130" s="27"/>
      <c r="AS1130" s="27"/>
      <c r="AT1130" s="27"/>
      <c r="AU1130" s="27"/>
    </row>
    <row r="1131" spans="43:47" x14ac:dyDescent="0.25">
      <c r="AQ1131" s="27"/>
      <c r="AR1131" s="27"/>
      <c r="AS1131" s="27"/>
      <c r="AT1131" s="27"/>
      <c r="AU1131" s="27"/>
    </row>
    <row r="1132" spans="43:47" x14ac:dyDescent="0.25">
      <c r="AQ1132" s="27"/>
      <c r="AR1132" s="27"/>
      <c r="AS1132" s="27"/>
      <c r="AT1132" s="27"/>
      <c r="AU1132" s="27"/>
    </row>
    <row r="1133" spans="43:47" x14ac:dyDescent="0.25">
      <c r="AQ1133" s="27"/>
      <c r="AR1133" s="27"/>
      <c r="AS1133" s="27"/>
      <c r="AT1133" s="27"/>
      <c r="AU1133" s="27"/>
    </row>
    <row r="1134" spans="43:47" x14ac:dyDescent="0.25">
      <c r="AQ1134" s="27"/>
      <c r="AR1134" s="27"/>
      <c r="AS1134" s="27"/>
      <c r="AT1134" s="27"/>
      <c r="AU1134" s="27"/>
    </row>
    <row r="1135" spans="43:47" x14ac:dyDescent="0.25">
      <c r="AQ1135" s="27"/>
      <c r="AR1135" s="27"/>
      <c r="AS1135" s="27"/>
      <c r="AT1135" s="27"/>
      <c r="AU1135" s="27"/>
    </row>
    <row r="1136" spans="43:47" x14ac:dyDescent="0.25">
      <c r="AQ1136" s="27"/>
      <c r="AR1136" s="27"/>
      <c r="AS1136" s="27"/>
      <c r="AT1136" s="27"/>
      <c r="AU1136" s="27"/>
    </row>
    <row r="1137" spans="43:47" x14ac:dyDescent="0.25">
      <c r="AQ1137" s="27"/>
      <c r="AR1137" s="27"/>
      <c r="AS1137" s="27"/>
      <c r="AT1137" s="27"/>
      <c r="AU1137" s="27"/>
    </row>
    <row r="1138" spans="43:47" x14ac:dyDescent="0.25">
      <c r="AQ1138" s="27"/>
      <c r="AR1138" s="27"/>
      <c r="AS1138" s="27"/>
      <c r="AT1138" s="27"/>
      <c r="AU1138" s="27"/>
    </row>
    <row r="1139" spans="43:47" x14ac:dyDescent="0.25">
      <c r="AQ1139" s="27"/>
      <c r="AR1139" s="27"/>
      <c r="AS1139" s="27"/>
      <c r="AT1139" s="27"/>
      <c r="AU1139" s="27"/>
    </row>
    <row r="1140" spans="43:47" x14ac:dyDescent="0.25">
      <c r="AQ1140" s="27"/>
      <c r="AR1140" s="27"/>
      <c r="AS1140" s="27"/>
      <c r="AT1140" s="27"/>
      <c r="AU1140" s="27"/>
    </row>
    <row r="1141" spans="43:47" x14ac:dyDescent="0.25">
      <c r="AQ1141" s="27"/>
      <c r="AR1141" s="27"/>
      <c r="AS1141" s="27"/>
      <c r="AT1141" s="27"/>
      <c r="AU1141" s="27"/>
    </row>
    <row r="1142" spans="43:47" x14ac:dyDescent="0.25">
      <c r="AQ1142" s="27"/>
      <c r="AR1142" s="27"/>
      <c r="AS1142" s="27"/>
      <c r="AT1142" s="27"/>
      <c r="AU1142" s="27"/>
    </row>
    <row r="1143" spans="43:47" x14ac:dyDescent="0.25">
      <c r="AQ1143" s="27"/>
      <c r="AR1143" s="27"/>
      <c r="AS1143" s="27"/>
      <c r="AT1143" s="27"/>
      <c r="AU1143" s="27"/>
    </row>
    <row r="1144" spans="43:47" x14ac:dyDescent="0.25">
      <c r="AQ1144" s="27"/>
      <c r="AR1144" s="27"/>
      <c r="AS1144" s="27"/>
      <c r="AT1144" s="27"/>
      <c r="AU1144" s="27"/>
    </row>
    <row r="1145" spans="43:47" x14ac:dyDescent="0.25">
      <c r="AQ1145" s="27"/>
      <c r="AR1145" s="27"/>
      <c r="AS1145" s="27"/>
      <c r="AT1145" s="27"/>
      <c r="AU1145" s="27"/>
    </row>
    <row r="1146" spans="43:47" x14ac:dyDescent="0.25">
      <c r="AQ1146" s="27"/>
      <c r="AR1146" s="27"/>
      <c r="AS1146" s="27"/>
      <c r="AT1146" s="27"/>
      <c r="AU1146" s="27"/>
    </row>
    <row r="1147" spans="43:47" x14ac:dyDescent="0.25">
      <c r="AQ1147" s="27"/>
      <c r="AR1147" s="27"/>
      <c r="AS1147" s="27"/>
      <c r="AT1147" s="27"/>
      <c r="AU1147" s="27"/>
    </row>
    <row r="1148" spans="43:47" x14ac:dyDescent="0.25">
      <c r="AQ1148" s="27"/>
      <c r="AR1148" s="27"/>
      <c r="AS1148" s="27"/>
      <c r="AT1148" s="27"/>
      <c r="AU1148" s="27"/>
    </row>
    <row r="1149" spans="43:47" x14ac:dyDescent="0.25">
      <c r="AQ1149" s="27"/>
      <c r="AR1149" s="27"/>
      <c r="AS1149" s="27"/>
      <c r="AT1149" s="27"/>
      <c r="AU1149" s="27"/>
    </row>
    <row r="1150" spans="43:47" x14ac:dyDescent="0.25">
      <c r="AQ1150" s="27"/>
      <c r="AR1150" s="27"/>
      <c r="AS1150" s="27"/>
      <c r="AT1150" s="27"/>
      <c r="AU1150" s="27"/>
    </row>
    <row r="1151" spans="43:47" x14ac:dyDescent="0.25">
      <c r="AQ1151" s="27"/>
      <c r="AR1151" s="27"/>
      <c r="AS1151" s="27"/>
      <c r="AT1151" s="27"/>
      <c r="AU1151" s="27"/>
    </row>
    <row r="1152" spans="43:47" x14ac:dyDescent="0.25">
      <c r="AQ1152" s="27"/>
      <c r="AR1152" s="27"/>
      <c r="AS1152" s="27"/>
      <c r="AT1152" s="27"/>
      <c r="AU1152" s="27"/>
    </row>
    <row r="1153" spans="43:47" x14ac:dyDescent="0.25">
      <c r="AQ1153" s="27"/>
      <c r="AR1153" s="27"/>
      <c r="AS1153" s="27"/>
      <c r="AT1153" s="27"/>
      <c r="AU1153" s="27"/>
    </row>
    <row r="1154" spans="43:47" x14ac:dyDescent="0.25">
      <c r="AQ1154" s="27"/>
      <c r="AR1154" s="27"/>
      <c r="AS1154" s="27"/>
      <c r="AT1154" s="27"/>
      <c r="AU1154" s="27"/>
    </row>
    <row r="1155" spans="43:47" x14ac:dyDescent="0.25">
      <c r="AQ1155" s="27"/>
      <c r="AR1155" s="27"/>
      <c r="AS1155" s="27"/>
      <c r="AT1155" s="27"/>
      <c r="AU1155" s="27"/>
    </row>
    <row r="1156" spans="43:47" x14ac:dyDescent="0.25">
      <c r="AQ1156" s="27"/>
      <c r="AR1156" s="27"/>
      <c r="AS1156" s="27"/>
      <c r="AT1156" s="27"/>
      <c r="AU1156" s="27"/>
    </row>
    <row r="1157" spans="43:47" x14ac:dyDescent="0.25">
      <c r="AQ1157" s="27"/>
      <c r="AR1157" s="27"/>
      <c r="AS1157" s="27"/>
      <c r="AT1157" s="27"/>
      <c r="AU1157" s="27"/>
    </row>
    <row r="1158" spans="43:47" x14ac:dyDescent="0.25">
      <c r="AQ1158" s="27"/>
      <c r="AR1158" s="27"/>
      <c r="AS1158" s="27"/>
      <c r="AT1158" s="27"/>
      <c r="AU1158" s="27"/>
    </row>
    <row r="1159" spans="43:47" x14ac:dyDescent="0.25">
      <c r="AQ1159" s="27"/>
      <c r="AR1159" s="27"/>
      <c r="AS1159" s="27"/>
      <c r="AT1159" s="27"/>
      <c r="AU1159" s="27"/>
    </row>
    <row r="1160" spans="43:47" x14ac:dyDescent="0.25">
      <c r="AQ1160" s="27"/>
      <c r="AR1160" s="27"/>
      <c r="AS1160" s="27"/>
      <c r="AT1160" s="27"/>
      <c r="AU1160" s="27"/>
    </row>
    <row r="1161" spans="43:47" x14ac:dyDescent="0.25">
      <c r="AQ1161" s="27"/>
      <c r="AR1161" s="27"/>
      <c r="AS1161" s="27"/>
      <c r="AT1161" s="27"/>
      <c r="AU1161" s="27"/>
    </row>
    <row r="1162" spans="43:47" x14ac:dyDescent="0.25">
      <c r="AQ1162" s="27"/>
      <c r="AR1162" s="27"/>
      <c r="AS1162" s="27"/>
      <c r="AT1162" s="27"/>
      <c r="AU1162" s="27"/>
    </row>
    <row r="1163" spans="43:47" x14ac:dyDescent="0.25">
      <c r="AQ1163" s="27"/>
      <c r="AR1163" s="27"/>
      <c r="AS1163" s="27"/>
      <c r="AT1163" s="27"/>
      <c r="AU1163" s="27"/>
    </row>
    <row r="1164" spans="43:47" x14ac:dyDescent="0.25">
      <c r="AQ1164" s="27"/>
      <c r="AR1164" s="27"/>
      <c r="AS1164" s="27"/>
      <c r="AT1164" s="27"/>
      <c r="AU1164" s="27"/>
    </row>
    <row r="1165" spans="43:47" x14ac:dyDescent="0.25">
      <c r="AQ1165" s="27"/>
      <c r="AR1165" s="27"/>
      <c r="AS1165" s="27"/>
      <c r="AT1165" s="27"/>
      <c r="AU1165" s="27"/>
    </row>
    <row r="1166" spans="43:47" x14ac:dyDescent="0.25">
      <c r="AQ1166" s="27"/>
      <c r="AR1166" s="27"/>
      <c r="AS1166" s="27"/>
      <c r="AT1166" s="27"/>
      <c r="AU1166" s="27"/>
    </row>
    <row r="1167" spans="43:47" x14ac:dyDescent="0.25">
      <c r="AQ1167" s="27"/>
      <c r="AR1167" s="27"/>
      <c r="AS1167" s="27"/>
      <c r="AT1167" s="27"/>
      <c r="AU1167" s="27"/>
    </row>
    <row r="1168" spans="43:47" x14ac:dyDescent="0.25">
      <c r="AQ1168" s="27"/>
      <c r="AR1168" s="27"/>
      <c r="AS1168" s="27"/>
      <c r="AT1168" s="27"/>
      <c r="AU1168" s="27"/>
    </row>
    <row r="1169" spans="43:47" x14ac:dyDescent="0.25">
      <c r="AQ1169" s="27"/>
      <c r="AR1169" s="27"/>
      <c r="AS1169" s="27"/>
      <c r="AT1169" s="27"/>
      <c r="AU1169" s="27"/>
    </row>
    <row r="1170" spans="43:47" x14ac:dyDescent="0.25">
      <c r="AQ1170" s="27"/>
      <c r="AR1170" s="27"/>
      <c r="AS1170" s="27"/>
      <c r="AT1170" s="27"/>
      <c r="AU1170" s="27"/>
    </row>
    <row r="1171" spans="43:47" x14ac:dyDescent="0.25">
      <c r="AQ1171" s="27"/>
      <c r="AR1171" s="27"/>
      <c r="AS1171" s="27"/>
      <c r="AT1171" s="27"/>
      <c r="AU1171" s="27"/>
    </row>
    <row r="1172" spans="43:47" x14ac:dyDescent="0.25">
      <c r="AQ1172" s="27"/>
      <c r="AR1172" s="27"/>
      <c r="AS1172" s="27"/>
      <c r="AT1172" s="27"/>
      <c r="AU1172" s="27"/>
    </row>
    <row r="1173" spans="43:47" x14ac:dyDescent="0.25">
      <c r="AQ1173" s="27"/>
      <c r="AR1173" s="27"/>
      <c r="AS1173" s="27"/>
      <c r="AT1173" s="27"/>
      <c r="AU1173" s="27"/>
    </row>
    <row r="1174" spans="43:47" x14ac:dyDescent="0.25">
      <c r="AQ1174" s="27"/>
      <c r="AR1174" s="27"/>
      <c r="AS1174" s="27"/>
      <c r="AT1174" s="27"/>
      <c r="AU1174" s="27"/>
    </row>
    <row r="1175" spans="43:47" x14ac:dyDescent="0.25">
      <c r="AQ1175" s="27"/>
      <c r="AR1175" s="27"/>
      <c r="AS1175" s="27"/>
      <c r="AT1175" s="27"/>
      <c r="AU1175" s="27"/>
    </row>
    <row r="1176" spans="43:47" x14ac:dyDescent="0.25">
      <c r="AQ1176" s="27"/>
      <c r="AR1176" s="27"/>
      <c r="AS1176" s="27"/>
      <c r="AT1176" s="27"/>
      <c r="AU1176" s="27"/>
    </row>
    <row r="1177" spans="43:47" x14ac:dyDescent="0.25">
      <c r="AQ1177" s="27"/>
      <c r="AR1177" s="27"/>
      <c r="AS1177" s="27"/>
      <c r="AT1177" s="27"/>
      <c r="AU1177" s="27"/>
    </row>
    <row r="1178" spans="43:47" x14ac:dyDescent="0.25">
      <c r="AQ1178" s="27"/>
      <c r="AR1178" s="27"/>
      <c r="AS1178" s="27"/>
      <c r="AT1178" s="27"/>
      <c r="AU1178" s="27"/>
    </row>
    <row r="1179" spans="43:47" x14ac:dyDescent="0.25">
      <c r="AQ1179" s="27"/>
      <c r="AR1179" s="27"/>
      <c r="AS1179" s="27"/>
      <c r="AT1179" s="27"/>
      <c r="AU1179" s="27"/>
    </row>
    <row r="1180" spans="43:47" x14ac:dyDescent="0.25">
      <c r="AQ1180" s="27"/>
      <c r="AR1180" s="27"/>
      <c r="AS1180" s="27"/>
      <c r="AT1180" s="27"/>
      <c r="AU1180" s="27"/>
    </row>
    <row r="1181" spans="43:47" x14ac:dyDescent="0.25">
      <c r="AQ1181" s="27"/>
      <c r="AR1181" s="27"/>
      <c r="AS1181" s="27"/>
      <c r="AT1181" s="27"/>
      <c r="AU1181" s="27"/>
    </row>
    <row r="1182" spans="43:47" x14ac:dyDescent="0.25">
      <c r="AQ1182" s="27"/>
      <c r="AR1182" s="27"/>
      <c r="AS1182" s="27"/>
      <c r="AT1182" s="27"/>
      <c r="AU1182" s="27"/>
    </row>
    <row r="1183" spans="43:47" x14ac:dyDescent="0.25">
      <c r="AQ1183" s="27"/>
      <c r="AR1183" s="27"/>
      <c r="AS1183" s="27"/>
      <c r="AT1183" s="27"/>
      <c r="AU1183" s="27"/>
    </row>
    <row r="1184" spans="43:47" x14ac:dyDescent="0.25">
      <c r="AQ1184" s="27"/>
      <c r="AR1184" s="27"/>
      <c r="AS1184" s="27"/>
      <c r="AT1184" s="27"/>
      <c r="AU1184" s="27"/>
    </row>
    <row r="1185" spans="43:47" x14ac:dyDescent="0.25">
      <c r="AQ1185" s="27"/>
      <c r="AR1185" s="27"/>
      <c r="AS1185" s="27"/>
      <c r="AT1185" s="27"/>
      <c r="AU1185" s="27"/>
    </row>
    <row r="1186" spans="43:47" x14ac:dyDescent="0.25">
      <c r="AQ1186" s="27"/>
      <c r="AR1186" s="27"/>
      <c r="AS1186" s="27"/>
      <c r="AT1186" s="27"/>
      <c r="AU1186" s="27"/>
    </row>
    <row r="1187" spans="43:47" x14ac:dyDescent="0.25">
      <c r="AQ1187" s="27"/>
      <c r="AR1187" s="27"/>
      <c r="AS1187" s="27"/>
      <c r="AT1187" s="27"/>
      <c r="AU1187" s="27"/>
    </row>
    <row r="1188" spans="43:47" x14ac:dyDescent="0.25">
      <c r="AQ1188" s="27"/>
      <c r="AR1188" s="27"/>
      <c r="AS1188" s="27"/>
      <c r="AT1188" s="27"/>
      <c r="AU1188" s="27"/>
    </row>
    <row r="1189" spans="43:47" x14ac:dyDescent="0.25">
      <c r="AQ1189" s="27"/>
      <c r="AR1189" s="27"/>
      <c r="AS1189" s="27"/>
      <c r="AT1189" s="27"/>
      <c r="AU1189" s="27"/>
    </row>
    <row r="1190" spans="43:47" x14ac:dyDescent="0.25">
      <c r="AQ1190" s="27"/>
      <c r="AR1190" s="27"/>
      <c r="AS1190" s="27"/>
      <c r="AT1190" s="27"/>
      <c r="AU1190" s="27"/>
    </row>
    <row r="1191" spans="43:47" x14ac:dyDescent="0.25">
      <c r="AQ1191" s="27"/>
      <c r="AR1191" s="27"/>
      <c r="AS1191" s="27"/>
      <c r="AT1191" s="27"/>
      <c r="AU1191" s="27"/>
    </row>
    <row r="1192" spans="43:47" x14ac:dyDescent="0.25">
      <c r="AQ1192" s="27"/>
      <c r="AR1192" s="27"/>
      <c r="AS1192" s="27"/>
      <c r="AT1192" s="27"/>
      <c r="AU1192" s="27"/>
    </row>
    <row r="1193" spans="43:47" x14ac:dyDescent="0.25">
      <c r="AQ1193" s="27"/>
      <c r="AR1193" s="27"/>
      <c r="AS1193" s="27"/>
      <c r="AT1193" s="27"/>
      <c r="AU1193" s="27"/>
    </row>
    <row r="1194" spans="43:47" x14ac:dyDescent="0.25">
      <c r="AQ1194" s="27"/>
      <c r="AR1194" s="27"/>
      <c r="AS1194" s="27"/>
      <c r="AT1194" s="27"/>
      <c r="AU1194" s="27"/>
    </row>
    <row r="1195" spans="43:47" x14ac:dyDescent="0.25">
      <c r="AQ1195" s="27"/>
      <c r="AR1195" s="27"/>
      <c r="AS1195" s="27"/>
      <c r="AT1195" s="27"/>
      <c r="AU1195" s="27"/>
    </row>
    <row r="1196" spans="43:47" x14ac:dyDescent="0.25">
      <c r="AQ1196" s="27"/>
      <c r="AR1196" s="27"/>
      <c r="AS1196" s="27"/>
      <c r="AT1196" s="27"/>
      <c r="AU1196" s="27"/>
    </row>
    <row r="1197" spans="43:47" x14ac:dyDescent="0.25">
      <c r="AQ1197" s="27"/>
      <c r="AR1197" s="27"/>
      <c r="AS1197" s="27"/>
      <c r="AT1197" s="27"/>
      <c r="AU1197" s="27"/>
    </row>
    <row r="1198" spans="43:47" x14ac:dyDescent="0.25">
      <c r="AQ1198" s="27"/>
      <c r="AR1198" s="27"/>
      <c r="AS1198" s="27"/>
      <c r="AT1198" s="27"/>
      <c r="AU1198" s="27"/>
    </row>
    <row r="1199" spans="43:47" x14ac:dyDescent="0.25">
      <c r="AQ1199" s="27"/>
      <c r="AR1199" s="27"/>
      <c r="AS1199" s="27"/>
      <c r="AT1199" s="27"/>
      <c r="AU1199" s="27"/>
    </row>
    <row r="1200" spans="43:47" x14ac:dyDescent="0.25">
      <c r="AQ1200" s="27"/>
      <c r="AR1200" s="27"/>
      <c r="AS1200" s="27"/>
      <c r="AT1200" s="27"/>
      <c r="AU1200" s="27"/>
    </row>
    <row r="1201" spans="43:47" x14ac:dyDescent="0.25">
      <c r="AQ1201" s="27"/>
      <c r="AR1201" s="27"/>
      <c r="AS1201" s="27"/>
      <c r="AT1201" s="27"/>
      <c r="AU1201" s="27"/>
    </row>
    <row r="1202" spans="43:47" x14ac:dyDescent="0.25">
      <c r="AQ1202" s="27"/>
      <c r="AR1202" s="27"/>
      <c r="AS1202" s="27"/>
      <c r="AT1202" s="27"/>
      <c r="AU1202" s="27"/>
    </row>
    <row r="1203" spans="43:47" x14ac:dyDescent="0.25">
      <c r="AQ1203" s="27"/>
      <c r="AR1203" s="27"/>
      <c r="AS1203" s="27"/>
      <c r="AT1203" s="27"/>
      <c r="AU1203" s="27"/>
    </row>
    <row r="1204" spans="43:47" x14ac:dyDescent="0.25">
      <c r="AQ1204" s="27"/>
      <c r="AR1204" s="27"/>
      <c r="AS1204" s="27"/>
      <c r="AT1204" s="27"/>
      <c r="AU1204" s="27"/>
    </row>
    <row r="1205" spans="43:47" x14ac:dyDescent="0.25">
      <c r="AQ1205" s="27"/>
      <c r="AR1205" s="27"/>
      <c r="AS1205" s="27"/>
      <c r="AT1205" s="27"/>
      <c r="AU1205" s="27"/>
    </row>
    <row r="1206" spans="43:47" x14ac:dyDescent="0.25">
      <c r="AQ1206" s="27"/>
      <c r="AR1206" s="27"/>
      <c r="AS1206" s="27"/>
      <c r="AT1206" s="27"/>
      <c r="AU1206" s="27"/>
    </row>
    <row r="1207" spans="43:47" x14ac:dyDescent="0.25">
      <c r="AQ1207" s="27"/>
      <c r="AR1207" s="27"/>
      <c r="AS1207" s="27"/>
      <c r="AT1207" s="27"/>
      <c r="AU1207" s="27"/>
    </row>
    <row r="1208" spans="43:47" x14ac:dyDescent="0.25">
      <c r="AQ1208" s="27"/>
      <c r="AR1208" s="27"/>
      <c r="AS1208" s="27"/>
      <c r="AT1208" s="27"/>
      <c r="AU1208" s="27"/>
    </row>
    <row r="1209" spans="43:47" x14ac:dyDescent="0.25">
      <c r="AQ1209" s="27"/>
      <c r="AR1209" s="27"/>
      <c r="AS1209" s="27"/>
      <c r="AT1209" s="27"/>
      <c r="AU1209" s="27"/>
    </row>
    <row r="1210" spans="43:47" x14ac:dyDescent="0.25">
      <c r="AQ1210" s="27"/>
      <c r="AR1210" s="27"/>
      <c r="AS1210" s="27"/>
      <c r="AT1210" s="27"/>
      <c r="AU1210" s="27"/>
    </row>
    <row r="1211" spans="43:47" x14ac:dyDescent="0.25">
      <c r="AQ1211" s="27"/>
      <c r="AR1211" s="27"/>
      <c r="AS1211" s="27"/>
      <c r="AT1211" s="27"/>
      <c r="AU1211" s="27"/>
    </row>
    <row r="1212" spans="43:47" x14ac:dyDescent="0.25">
      <c r="AQ1212" s="27"/>
      <c r="AR1212" s="27"/>
      <c r="AS1212" s="27"/>
      <c r="AT1212" s="27"/>
      <c r="AU1212" s="27"/>
    </row>
    <row r="1213" spans="43:47" x14ac:dyDescent="0.25">
      <c r="AQ1213" s="27"/>
      <c r="AR1213" s="27"/>
      <c r="AS1213" s="27"/>
      <c r="AT1213" s="27"/>
      <c r="AU1213" s="27"/>
    </row>
    <row r="1214" spans="43:47" x14ac:dyDescent="0.25">
      <c r="AQ1214" s="27"/>
      <c r="AR1214" s="27"/>
      <c r="AS1214" s="27"/>
      <c r="AT1214" s="27"/>
      <c r="AU1214" s="27"/>
    </row>
    <row r="1215" spans="43:47" x14ac:dyDescent="0.25">
      <c r="AQ1215" s="27"/>
      <c r="AR1215" s="27"/>
      <c r="AS1215" s="27"/>
      <c r="AT1215" s="27"/>
      <c r="AU1215" s="27"/>
    </row>
    <row r="1216" spans="43:47" x14ac:dyDescent="0.25">
      <c r="AQ1216" s="27"/>
      <c r="AR1216" s="27"/>
      <c r="AS1216" s="27"/>
      <c r="AT1216" s="27"/>
      <c r="AU1216" s="27"/>
    </row>
    <row r="1217" spans="43:47" x14ac:dyDescent="0.25">
      <c r="AQ1217" s="27"/>
      <c r="AR1217" s="27"/>
      <c r="AS1217" s="27"/>
      <c r="AT1217" s="27"/>
      <c r="AU1217" s="27"/>
    </row>
    <row r="1218" spans="43:47" x14ac:dyDescent="0.25">
      <c r="AQ1218" s="27"/>
      <c r="AR1218" s="27"/>
      <c r="AS1218" s="27"/>
      <c r="AT1218" s="27"/>
      <c r="AU1218" s="27"/>
    </row>
    <row r="1219" spans="43:47" x14ac:dyDescent="0.25">
      <c r="AQ1219" s="27"/>
      <c r="AR1219" s="27"/>
      <c r="AS1219" s="27"/>
      <c r="AT1219" s="27"/>
      <c r="AU1219" s="27"/>
    </row>
    <row r="1220" spans="43:47" x14ac:dyDescent="0.25">
      <c r="AQ1220" s="27"/>
      <c r="AR1220" s="27"/>
      <c r="AS1220" s="27"/>
      <c r="AT1220" s="27"/>
      <c r="AU1220" s="27"/>
    </row>
    <row r="1221" spans="43:47" x14ac:dyDescent="0.25">
      <c r="AQ1221" s="27"/>
      <c r="AR1221" s="27"/>
      <c r="AS1221" s="27"/>
      <c r="AT1221" s="27"/>
      <c r="AU1221" s="27"/>
    </row>
    <row r="1222" spans="43:47" x14ac:dyDescent="0.25">
      <c r="AQ1222" s="27"/>
      <c r="AR1222" s="27"/>
      <c r="AS1222" s="27"/>
      <c r="AT1222" s="27"/>
      <c r="AU1222" s="27"/>
    </row>
    <row r="1223" spans="43:47" x14ac:dyDescent="0.25">
      <c r="AQ1223" s="27"/>
      <c r="AR1223" s="27"/>
      <c r="AS1223" s="27"/>
      <c r="AT1223" s="27"/>
      <c r="AU1223" s="27"/>
    </row>
    <row r="1224" spans="43:47" x14ac:dyDescent="0.25">
      <c r="AQ1224" s="27"/>
      <c r="AR1224" s="27"/>
      <c r="AS1224" s="27"/>
      <c r="AT1224" s="27"/>
      <c r="AU1224" s="27"/>
    </row>
    <row r="1225" spans="43:47" x14ac:dyDescent="0.25">
      <c r="AQ1225" s="27"/>
      <c r="AR1225" s="27"/>
      <c r="AS1225" s="27"/>
      <c r="AT1225" s="27"/>
      <c r="AU1225" s="27"/>
    </row>
    <row r="1226" spans="43:47" x14ac:dyDescent="0.25">
      <c r="AQ1226" s="27"/>
      <c r="AR1226" s="27"/>
      <c r="AS1226" s="27"/>
      <c r="AT1226" s="27"/>
      <c r="AU1226" s="27"/>
    </row>
    <row r="1227" spans="43:47" x14ac:dyDescent="0.25">
      <c r="AQ1227" s="27"/>
      <c r="AR1227" s="27"/>
      <c r="AS1227" s="27"/>
      <c r="AT1227" s="27"/>
      <c r="AU1227" s="27"/>
    </row>
    <row r="1228" spans="43:47" x14ac:dyDescent="0.25">
      <c r="AQ1228" s="27"/>
      <c r="AR1228" s="27"/>
      <c r="AS1228" s="27"/>
      <c r="AT1228" s="27"/>
      <c r="AU1228" s="27"/>
    </row>
    <row r="1229" spans="43:47" x14ac:dyDescent="0.25">
      <c r="AQ1229" s="27"/>
      <c r="AR1229" s="27"/>
      <c r="AS1229" s="27"/>
      <c r="AT1229" s="27"/>
      <c r="AU1229" s="27"/>
    </row>
    <row r="1230" spans="43:47" x14ac:dyDescent="0.25">
      <c r="AQ1230" s="27"/>
      <c r="AR1230" s="27"/>
      <c r="AS1230" s="27"/>
      <c r="AT1230" s="27"/>
      <c r="AU1230" s="27"/>
    </row>
    <row r="1231" spans="43:47" x14ac:dyDescent="0.25">
      <c r="AQ1231" s="27"/>
      <c r="AR1231" s="27"/>
      <c r="AS1231" s="27"/>
      <c r="AT1231" s="27"/>
      <c r="AU1231" s="27"/>
    </row>
    <row r="1232" spans="43:47" x14ac:dyDescent="0.25">
      <c r="AQ1232" s="27"/>
      <c r="AR1232" s="27"/>
      <c r="AS1232" s="27"/>
      <c r="AT1232" s="27"/>
      <c r="AU1232" s="27"/>
    </row>
    <row r="1233" spans="43:47" x14ac:dyDescent="0.25">
      <c r="AQ1233" s="27"/>
      <c r="AR1233" s="27"/>
      <c r="AS1233" s="27"/>
      <c r="AT1233" s="27"/>
      <c r="AU1233" s="27"/>
    </row>
    <row r="1234" spans="43:47" x14ac:dyDescent="0.25">
      <c r="AQ1234" s="27"/>
      <c r="AR1234" s="27"/>
      <c r="AS1234" s="27"/>
      <c r="AT1234" s="27"/>
      <c r="AU1234" s="27"/>
    </row>
    <row r="1235" spans="43:47" x14ac:dyDescent="0.25">
      <c r="AQ1235" s="27"/>
      <c r="AR1235" s="27"/>
      <c r="AS1235" s="27"/>
      <c r="AT1235" s="27"/>
      <c r="AU1235" s="27"/>
    </row>
    <row r="1236" spans="43:47" x14ac:dyDescent="0.25">
      <c r="AQ1236" s="27"/>
      <c r="AR1236" s="27"/>
      <c r="AS1236" s="27"/>
      <c r="AT1236" s="27"/>
      <c r="AU1236" s="27"/>
    </row>
    <row r="1237" spans="43:47" x14ac:dyDescent="0.25">
      <c r="AQ1237" s="27"/>
      <c r="AR1237" s="27"/>
      <c r="AS1237" s="27"/>
      <c r="AT1237" s="27"/>
      <c r="AU1237" s="27"/>
    </row>
    <row r="1238" spans="43:47" x14ac:dyDescent="0.25">
      <c r="AQ1238" s="27"/>
      <c r="AR1238" s="27"/>
      <c r="AS1238" s="27"/>
      <c r="AT1238" s="27"/>
      <c r="AU1238" s="27"/>
    </row>
    <row r="1239" spans="43:47" x14ac:dyDescent="0.25">
      <c r="AQ1239" s="27"/>
      <c r="AR1239" s="27"/>
      <c r="AS1239" s="27"/>
      <c r="AT1239" s="27"/>
      <c r="AU1239" s="27"/>
    </row>
    <row r="1240" spans="43:47" x14ac:dyDescent="0.25">
      <c r="AQ1240" s="27"/>
      <c r="AR1240" s="27"/>
      <c r="AS1240" s="27"/>
      <c r="AT1240" s="27"/>
      <c r="AU1240" s="27"/>
    </row>
    <row r="1241" spans="43:47" x14ac:dyDescent="0.25">
      <c r="AQ1241" s="27"/>
      <c r="AR1241" s="27"/>
      <c r="AS1241" s="27"/>
      <c r="AT1241" s="27"/>
      <c r="AU1241" s="27"/>
    </row>
    <row r="1242" spans="43:47" x14ac:dyDescent="0.25">
      <c r="AQ1242" s="27"/>
      <c r="AR1242" s="27"/>
      <c r="AS1242" s="27"/>
      <c r="AT1242" s="27"/>
      <c r="AU1242" s="27"/>
    </row>
    <row r="1243" spans="43:47" x14ac:dyDescent="0.25">
      <c r="AQ1243" s="27"/>
      <c r="AR1243" s="27"/>
      <c r="AS1243" s="27"/>
      <c r="AT1243" s="27"/>
      <c r="AU1243" s="27"/>
    </row>
    <row r="1244" spans="43:47" x14ac:dyDescent="0.25">
      <c r="AQ1244" s="27"/>
      <c r="AR1244" s="27"/>
      <c r="AS1244" s="27"/>
      <c r="AT1244" s="27"/>
      <c r="AU1244" s="27"/>
    </row>
    <row r="1245" spans="43:47" x14ac:dyDescent="0.25">
      <c r="AQ1245" s="27"/>
      <c r="AR1245" s="27"/>
      <c r="AS1245" s="27"/>
      <c r="AT1245" s="27"/>
      <c r="AU1245" s="27"/>
    </row>
    <row r="1246" spans="43:47" x14ac:dyDescent="0.25">
      <c r="AQ1246" s="27"/>
      <c r="AR1246" s="27"/>
      <c r="AS1246" s="27"/>
      <c r="AT1246" s="27"/>
      <c r="AU1246" s="27"/>
    </row>
    <row r="1247" spans="43:47" x14ac:dyDescent="0.25">
      <c r="AQ1247" s="27"/>
      <c r="AR1247" s="27"/>
      <c r="AS1247" s="27"/>
      <c r="AT1247" s="27"/>
      <c r="AU1247" s="27"/>
    </row>
    <row r="1248" spans="43:47" x14ac:dyDescent="0.25">
      <c r="AQ1248" s="27"/>
      <c r="AR1248" s="27"/>
      <c r="AS1248" s="27"/>
      <c r="AT1248" s="27"/>
      <c r="AU1248" s="27"/>
    </row>
    <row r="1249" spans="43:47" x14ac:dyDescent="0.25">
      <c r="AQ1249" s="27"/>
      <c r="AR1249" s="27"/>
      <c r="AS1249" s="27"/>
      <c r="AT1249" s="27"/>
      <c r="AU1249" s="27"/>
    </row>
    <row r="1250" spans="43:47" x14ac:dyDescent="0.25">
      <c r="AQ1250" s="27"/>
      <c r="AR1250" s="27"/>
      <c r="AS1250" s="27"/>
      <c r="AT1250" s="27"/>
      <c r="AU1250" s="27"/>
    </row>
    <row r="1251" spans="43:47" x14ac:dyDescent="0.25">
      <c r="AQ1251" s="27"/>
      <c r="AR1251" s="27"/>
      <c r="AS1251" s="27"/>
      <c r="AT1251" s="27"/>
      <c r="AU1251" s="27"/>
    </row>
    <row r="1252" spans="43:47" x14ac:dyDescent="0.25">
      <c r="AQ1252" s="27"/>
      <c r="AR1252" s="27"/>
      <c r="AS1252" s="27"/>
      <c r="AT1252" s="27"/>
      <c r="AU1252" s="27"/>
    </row>
    <row r="1253" spans="43:47" x14ac:dyDescent="0.25">
      <c r="AQ1253" s="27"/>
      <c r="AR1253" s="27"/>
      <c r="AS1253" s="27"/>
      <c r="AT1253" s="27"/>
      <c r="AU1253" s="27"/>
    </row>
    <row r="1254" spans="43:47" x14ac:dyDescent="0.25">
      <c r="AQ1254" s="27"/>
      <c r="AR1254" s="27"/>
      <c r="AS1254" s="27"/>
      <c r="AT1254" s="27"/>
      <c r="AU1254" s="27"/>
    </row>
    <row r="1255" spans="43:47" x14ac:dyDescent="0.25">
      <c r="AQ1255" s="27"/>
      <c r="AR1255" s="27"/>
      <c r="AS1255" s="27"/>
      <c r="AT1255" s="27"/>
      <c r="AU1255" s="27"/>
    </row>
    <row r="1256" spans="43:47" x14ac:dyDescent="0.25">
      <c r="AQ1256" s="27"/>
      <c r="AR1256" s="27"/>
      <c r="AS1256" s="27"/>
      <c r="AT1256" s="27"/>
      <c r="AU1256" s="27"/>
    </row>
    <row r="1257" spans="43:47" x14ac:dyDescent="0.25">
      <c r="AQ1257" s="27"/>
      <c r="AR1257" s="27"/>
      <c r="AS1257" s="27"/>
      <c r="AT1257" s="27"/>
      <c r="AU1257" s="27"/>
    </row>
    <row r="1258" spans="43:47" x14ac:dyDescent="0.25">
      <c r="AQ1258" s="27"/>
      <c r="AR1258" s="27"/>
      <c r="AS1258" s="27"/>
      <c r="AT1258" s="27"/>
      <c r="AU1258" s="27"/>
    </row>
    <row r="1259" spans="43:47" x14ac:dyDescent="0.25">
      <c r="AQ1259" s="27"/>
      <c r="AR1259" s="27"/>
      <c r="AS1259" s="27"/>
      <c r="AT1259" s="27"/>
      <c r="AU1259" s="27"/>
    </row>
    <row r="1260" spans="43:47" x14ac:dyDescent="0.25">
      <c r="AQ1260" s="27"/>
      <c r="AR1260" s="27"/>
      <c r="AS1260" s="27"/>
      <c r="AT1260" s="27"/>
      <c r="AU1260" s="27"/>
    </row>
    <row r="1261" spans="43:47" x14ac:dyDescent="0.25">
      <c r="AQ1261" s="27"/>
      <c r="AR1261" s="27"/>
      <c r="AS1261" s="27"/>
      <c r="AT1261" s="27"/>
      <c r="AU1261" s="27"/>
    </row>
    <row r="1262" spans="43:47" x14ac:dyDescent="0.25">
      <c r="AQ1262" s="27"/>
      <c r="AR1262" s="27"/>
      <c r="AS1262" s="27"/>
      <c r="AT1262" s="27"/>
      <c r="AU1262" s="27"/>
    </row>
    <row r="1263" spans="43:47" x14ac:dyDescent="0.25">
      <c r="AQ1263" s="27"/>
      <c r="AR1263" s="27"/>
      <c r="AS1263" s="27"/>
      <c r="AT1263" s="27"/>
      <c r="AU1263" s="27"/>
    </row>
    <row r="1264" spans="43:47" x14ac:dyDescent="0.25">
      <c r="AQ1264" s="27"/>
      <c r="AR1264" s="27"/>
      <c r="AS1264" s="27"/>
      <c r="AT1264" s="27"/>
      <c r="AU1264" s="27"/>
    </row>
    <row r="1265" spans="43:47" x14ac:dyDescent="0.25">
      <c r="AQ1265" s="27"/>
      <c r="AR1265" s="27"/>
      <c r="AS1265" s="27"/>
      <c r="AT1265" s="27"/>
      <c r="AU1265" s="27"/>
    </row>
    <row r="1266" spans="43:47" x14ac:dyDescent="0.25">
      <c r="AQ1266" s="27"/>
      <c r="AR1266" s="27"/>
      <c r="AS1266" s="27"/>
      <c r="AT1266" s="27"/>
      <c r="AU1266" s="27"/>
    </row>
    <row r="1267" spans="43:47" x14ac:dyDescent="0.25">
      <c r="AQ1267" s="27"/>
      <c r="AR1267" s="27"/>
      <c r="AS1267" s="27"/>
      <c r="AT1267" s="27"/>
      <c r="AU1267" s="27"/>
    </row>
    <row r="1268" spans="43:47" x14ac:dyDescent="0.25">
      <c r="AQ1268" s="27"/>
      <c r="AR1268" s="27"/>
      <c r="AS1268" s="27"/>
      <c r="AT1268" s="27"/>
      <c r="AU1268" s="27"/>
    </row>
    <row r="1269" spans="43:47" x14ac:dyDescent="0.25">
      <c r="AQ1269" s="27"/>
      <c r="AR1269" s="27"/>
      <c r="AS1269" s="27"/>
      <c r="AT1269" s="27"/>
      <c r="AU1269" s="27"/>
    </row>
    <row r="1270" spans="43:47" x14ac:dyDescent="0.25">
      <c r="AQ1270" s="27"/>
      <c r="AR1270" s="27"/>
      <c r="AS1270" s="27"/>
      <c r="AT1270" s="27"/>
      <c r="AU1270" s="27"/>
    </row>
    <row r="1271" spans="43:47" x14ac:dyDescent="0.25">
      <c r="AQ1271" s="27"/>
      <c r="AR1271" s="27"/>
      <c r="AS1271" s="27"/>
      <c r="AT1271" s="27"/>
      <c r="AU1271" s="27"/>
    </row>
    <row r="1272" spans="43:47" x14ac:dyDescent="0.25">
      <c r="AQ1272" s="27"/>
      <c r="AR1272" s="27"/>
      <c r="AS1272" s="27"/>
      <c r="AT1272" s="27"/>
      <c r="AU1272" s="27"/>
    </row>
    <row r="1273" spans="43:47" x14ac:dyDescent="0.25">
      <c r="AQ1273" s="27"/>
      <c r="AR1273" s="27"/>
      <c r="AS1273" s="27"/>
      <c r="AT1273" s="27"/>
      <c r="AU1273" s="27"/>
    </row>
    <row r="1274" spans="43:47" x14ac:dyDescent="0.25">
      <c r="AQ1274" s="27"/>
      <c r="AR1274" s="27"/>
      <c r="AS1274" s="27"/>
      <c r="AT1274" s="27"/>
      <c r="AU1274" s="27"/>
    </row>
    <row r="1275" spans="43:47" x14ac:dyDescent="0.25">
      <c r="AQ1275" s="27"/>
      <c r="AR1275" s="27"/>
      <c r="AS1275" s="27"/>
      <c r="AT1275" s="27"/>
      <c r="AU1275" s="27"/>
    </row>
    <row r="1276" spans="43:47" x14ac:dyDescent="0.25">
      <c r="AQ1276" s="27"/>
      <c r="AR1276" s="27"/>
      <c r="AS1276" s="27"/>
      <c r="AT1276" s="27"/>
      <c r="AU1276" s="27"/>
    </row>
    <row r="1277" spans="43:47" x14ac:dyDescent="0.25">
      <c r="AQ1277" s="27"/>
      <c r="AR1277" s="27"/>
      <c r="AS1277" s="27"/>
      <c r="AT1277" s="27"/>
      <c r="AU1277" s="27"/>
    </row>
    <row r="1278" spans="43:47" x14ac:dyDescent="0.25">
      <c r="AQ1278" s="27"/>
      <c r="AR1278" s="27"/>
      <c r="AS1278" s="27"/>
      <c r="AT1278" s="27"/>
      <c r="AU1278" s="27"/>
    </row>
    <row r="1279" spans="43:47" x14ac:dyDescent="0.25">
      <c r="AQ1279" s="27"/>
      <c r="AR1279" s="27"/>
      <c r="AS1279" s="27"/>
      <c r="AT1279" s="27"/>
      <c r="AU1279" s="27"/>
    </row>
    <row r="1280" spans="43:47" x14ac:dyDescent="0.25">
      <c r="AQ1280" s="27"/>
      <c r="AR1280" s="27"/>
      <c r="AS1280" s="27"/>
      <c r="AT1280" s="27"/>
      <c r="AU1280" s="27"/>
    </row>
    <row r="1281" spans="43:47" x14ac:dyDescent="0.25">
      <c r="AQ1281" s="27"/>
      <c r="AR1281" s="27"/>
      <c r="AS1281" s="27"/>
      <c r="AT1281" s="27"/>
      <c r="AU1281" s="27"/>
    </row>
    <row r="1282" spans="43:47" x14ac:dyDescent="0.25">
      <c r="AQ1282" s="27"/>
      <c r="AR1282" s="27"/>
      <c r="AS1282" s="27"/>
      <c r="AT1282" s="27"/>
      <c r="AU1282" s="27"/>
    </row>
    <row r="1283" spans="43:47" x14ac:dyDescent="0.25">
      <c r="AQ1283" s="27"/>
      <c r="AR1283" s="27"/>
      <c r="AS1283" s="27"/>
      <c r="AT1283" s="27"/>
      <c r="AU1283" s="27"/>
    </row>
    <row r="1284" spans="43:47" x14ac:dyDescent="0.25">
      <c r="AQ1284" s="27"/>
      <c r="AR1284" s="27"/>
      <c r="AS1284" s="27"/>
      <c r="AT1284" s="27"/>
      <c r="AU1284" s="27"/>
    </row>
    <row r="1285" spans="43:47" x14ac:dyDescent="0.25">
      <c r="AQ1285" s="27"/>
      <c r="AR1285" s="27"/>
      <c r="AS1285" s="27"/>
      <c r="AT1285" s="27"/>
      <c r="AU1285" s="27"/>
    </row>
    <row r="1286" spans="43:47" x14ac:dyDescent="0.25">
      <c r="AQ1286" s="27"/>
      <c r="AR1286" s="27"/>
      <c r="AS1286" s="27"/>
      <c r="AT1286" s="27"/>
      <c r="AU1286" s="27"/>
    </row>
    <row r="1287" spans="43:47" x14ac:dyDescent="0.25">
      <c r="AQ1287" s="27"/>
      <c r="AR1287" s="27"/>
      <c r="AS1287" s="27"/>
      <c r="AT1287" s="27"/>
      <c r="AU1287" s="27"/>
    </row>
    <row r="1288" spans="43:47" x14ac:dyDescent="0.25">
      <c r="AQ1288" s="27"/>
      <c r="AR1288" s="27"/>
      <c r="AS1288" s="27"/>
      <c r="AT1288" s="27"/>
      <c r="AU1288" s="27"/>
    </row>
    <row r="1289" spans="43:47" x14ac:dyDescent="0.25">
      <c r="AQ1289" s="27"/>
      <c r="AR1289" s="27"/>
      <c r="AS1289" s="27"/>
      <c r="AT1289" s="27"/>
      <c r="AU1289" s="27"/>
    </row>
    <row r="1290" spans="43:47" x14ac:dyDescent="0.25">
      <c r="AQ1290" s="27"/>
      <c r="AR1290" s="27"/>
      <c r="AS1290" s="27"/>
      <c r="AT1290" s="27"/>
      <c r="AU1290" s="27"/>
    </row>
    <row r="1291" spans="43:47" x14ac:dyDescent="0.25">
      <c r="AQ1291" s="27"/>
      <c r="AR1291" s="27"/>
      <c r="AS1291" s="27"/>
      <c r="AT1291" s="27"/>
      <c r="AU1291" s="27"/>
    </row>
    <row r="1292" spans="43:47" x14ac:dyDescent="0.25">
      <c r="AQ1292" s="27"/>
      <c r="AR1292" s="27"/>
      <c r="AS1292" s="27"/>
      <c r="AT1292" s="27"/>
      <c r="AU1292" s="27"/>
    </row>
    <row r="1293" spans="43:47" x14ac:dyDescent="0.25">
      <c r="AQ1293" s="27"/>
      <c r="AR1293" s="27"/>
      <c r="AS1293" s="27"/>
      <c r="AT1293" s="27"/>
      <c r="AU1293" s="27"/>
    </row>
    <row r="1294" spans="43:47" x14ac:dyDescent="0.25">
      <c r="AQ1294" s="27"/>
      <c r="AR1294" s="27"/>
      <c r="AS1294" s="27"/>
      <c r="AT1294" s="27"/>
      <c r="AU1294" s="27"/>
    </row>
    <row r="1295" spans="43:47" x14ac:dyDescent="0.25">
      <c r="AQ1295" s="27"/>
      <c r="AR1295" s="27"/>
      <c r="AS1295" s="27"/>
      <c r="AT1295" s="27"/>
      <c r="AU1295" s="27"/>
    </row>
    <row r="1296" spans="43:47" x14ac:dyDescent="0.25">
      <c r="AQ1296" s="27"/>
      <c r="AR1296" s="27"/>
      <c r="AS1296" s="27"/>
      <c r="AT1296" s="27"/>
      <c r="AU1296" s="27"/>
    </row>
    <row r="1297" spans="43:47" x14ac:dyDescent="0.25">
      <c r="AQ1297" s="27"/>
      <c r="AR1297" s="27"/>
      <c r="AS1297" s="27"/>
      <c r="AT1297" s="27"/>
      <c r="AU1297" s="27"/>
    </row>
    <row r="1298" spans="43:47" x14ac:dyDescent="0.25">
      <c r="AQ1298" s="27"/>
      <c r="AR1298" s="27"/>
      <c r="AS1298" s="27"/>
      <c r="AT1298" s="27"/>
      <c r="AU1298" s="27"/>
    </row>
    <row r="1299" spans="43:47" x14ac:dyDescent="0.25">
      <c r="AQ1299" s="27"/>
      <c r="AR1299" s="27"/>
      <c r="AS1299" s="27"/>
      <c r="AT1299" s="27"/>
      <c r="AU1299" s="27"/>
    </row>
    <row r="1300" spans="43:47" x14ac:dyDescent="0.25">
      <c r="AQ1300" s="27"/>
      <c r="AR1300" s="27"/>
      <c r="AS1300" s="27"/>
      <c r="AT1300" s="27"/>
      <c r="AU1300" s="27"/>
    </row>
    <row r="1301" spans="43:47" x14ac:dyDescent="0.25">
      <c r="AQ1301" s="27"/>
      <c r="AR1301" s="27"/>
      <c r="AS1301" s="27"/>
      <c r="AT1301" s="27"/>
      <c r="AU1301" s="27"/>
    </row>
    <row r="1302" spans="43:47" x14ac:dyDescent="0.25">
      <c r="AQ1302" s="27"/>
      <c r="AR1302" s="27"/>
      <c r="AS1302" s="27"/>
      <c r="AT1302" s="27"/>
      <c r="AU1302" s="27"/>
    </row>
    <row r="1303" spans="43:47" x14ac:dyDescent="0.25">
      <c r="AQ1303" s="27"/>
      <c r="AR1303" s="27"/>
      <c r="AS1303" s="27"/>
      <c r="AT1303" s="27"/>
      <c r="AU1303" s="27"/>
    </row>
    <row r="1304" spans="43:47" x14ac:dyDescent="0.25">
      <c r="AQ1304" s="27"/>
      <c r="AR1304" s="27"/>
      <c r="AS1304" s="27"/>
      <c r="AT1304" s="27"/>
      <c r="AU1304" s="27"/>
    </row>
    <row r="1305" spans="43:47" x14ac:dyDescent="0.25">
      <c r="AQ1305" s="27"/>
      <c r="AR1305" s="27"/>
      <c r="AS1305" s="27"/>
      <c r="AT1305" s="27"/>
      <c r="AU1305" s="27"/>
    </row>
    <row r="1306" spans="43:47" x14ac:dyDescent="0.25">
      <c r="AQ1306" s="27"/>
      <c r="AR1306" s="27"/>
      <c r="AS1306" s="27"/>
      <c r="AT1306" s="27"/>
      <c r="AU1306" s="27"/>
    </row>
    <row r="1307" spans="43:47" x14ac:dyDescent="0.25">
      <c r="AQ1307" s="27"/>
      <c r="AR1307" s="27"/>
      <c r="AS1307" s="27"/>
      <c r="AT1307" s="27"/>
      <c r="AU1307" s="27"/>
    </row>
    <row r="1308" spans="43:47" x14ac:dyDescent="0.25">
      <c r="AQ1308" s="27"/>
      <c r="AR1308" s="27"/>
      <c r="AS1308" s="27"/>
      <c r="AT1308" s="27"/>
      <c r="AU1308" s="27"/>
    </row>
    <row r="1309" spans="43:47" x14ac:dyDescent="0.25">
      <c r="AQ1309" s="27"/>
      <c r="AR1309" s="27"/>
      <c r="AS1309" s="27"/>
      <c r="AT1309" s="27"/>
      <c r="AU1309" s="27"/>
    </row>
    <row r="1310" spans="43:47" x14ac:dyDescent="0.25">
      <c r="AQ1310" s="27"/>
      <c r="AR1310" s="27"/>
      <c r="AS1310" s="27"/>
      <c r="AT1310" s="27"/>
      <c r="AU1310" s="27"/>
    </row>
    <row r="1311" spans="43:47" x14ac:dyDescent="0.25">
      <c r="AQ1311" s="27"/>
      <c r="AR1311" s="27"/>
      <c r="AS1311" s="27"/>
      <c r="AT1311" s="27"/>
      <c r="AU1311" s="27"/>
    </row>
    <row r="1312" spans="43:47" x14ac:dyDescent="0.25">
      <c r="AQ1312" s="27"/>
      <c r="AR1312" s="27"/>
      <c r="AS1312" s="27"/>
      <c r="AT1312" s="27"/>
      <c r="AU1312" s="27"/>
    </row>
    <row r="1313" spans="43:47" x14ac:dyDescent="0.25">
      <c r="AQ1313" s="27"/>
      <c r="AR1313" s="27"/>
      <c r="AS1313" s="27"/>
      <c r="AT1313" s="27"/>
      <c r="AU1313" s="27"/>
    </row>
    <row r="1314" spans="43:47" x14ac:dyDescent="0.25">
      <c r="AQ1314" s="27"/>
      <c r="AR1314" s="27"/>
      <c r="AS1314" s="27"/>
      <c r="AT1314" s="27"/>
      <c r="AU1314" s="27"/>
    </row>
    <row r="1315" spans="43:47" x14ac:dyDescent="0.25">
      <c r="AQ1315" s="27"/>
      <c r="AR1315" s="27"/>
      <c r="AS1315" s="27"/>
      <c r="AT1315" s="27"/>
      <c r="AU1315" s="27"/>
    </row>
    <row r="1316" spans="43:47" x14ac:dyDescent="0.25">
      <c r="AQ1316" s="27"/>
      <c r="AR1316" s="27"/>
      <c r="AS1316" s="27"/>
      <c r="AT1316" s="27"/>
      <c r="AU1316" s="27"/>
    </row>
    <row r="1317" spans="43:47" x14ac:dyDescent="0.25">
      <c r="AQ1317" s="27"/>
      <c r="AR1317" s="27"/>
      <c r="AS1317" s="27"/>
      <c r="AT1317" s="27"/>
      <c r="AU1317" s="27"/>
    </row>
    <row r="1318" spans="43:47" x14ac:dyDescent="0.25">
      <c r="AQ1318" s="27"/>
      <c r="AR1318" s="27"/>
      <c r="AS1318" s="27"/>
      <c r="AT1318" s="27"/>
      <c r="AU1318" s="27"/>
    </row>
    <row r="1319" spans="43:47" x14ac:dyDescent="0.25">
      <c r="AQ1319" s="27"/>
      <c r="AR1319" s="27"/>
      <c r="AS1319" s="27"/>
      <c r="AT1319" s="27"/>
      <c r="AU1319" s="27"/>
    </row>
    <row r="1320" spans="43:47" x14ac:dyDescent="0.25">
      <c r="AQ1320" s="27"/>
      <c r="AR1320" s="27"/>
      <c r="AS1320" s="27"/>
      <c r="AT1320" s="27"/>
      <c r="AU1320" s="27"/>
    </row>
    <row r="1321" spans="43:47" x14ac:dyDescent="0.25">
      <c r="AQ1321" s="27"/>
      <c r="AR1321" s="27"/>
      <c r="AS1321" s="27"/>
      <c r="AT1321" s="27"/>
      <c r="AU1321" s="27"/>
    </row>
    <row r="1322" spans="43:47" x14ac:dyDescent="0.25">
      <c r="AQ1322" s="27"/>
      <c r="AR1322" s="27"/>
      <c r="AS1322" s="27"/>
      <c r="AT1322" s="27"/>
      <c r="AU1322" s="27"/>
    </row>
    <row r="1323" spans="43:47" x14ac:dyDescent="0.25">
      <c r="AQ1323" s="27"/>
      <c r="AR1323" s="27"/>
      <c r="AS1323" s="27"/>
      <c r="AT1323" s="27"/>
      <c r="AU1323" s="27"/>
    </row>
    <row r="1324" spans="43:47" x14ac:dyDescent="0.25">
      <c r="AQ1324" s="27"/>
      <c r="AR1324" s="27"/>
      <c r="AS1324" s="27"/>
      <c r="AT1324" s="27"/>
      <c r="AU1324" s="27"/>
    </row>
    <row r="1325" spans="43:47" x14ac:dyDescent="0.25">
      <c r="AQ1325" s="27"/>
      <c r="AR1325" s="27"/>
      <c r="AS1325" s="27"/>
      <c r="AT1325" s="27"/>
      <c r="AU1325" s="27"/>
    </row>
    <row r="1326" spans="43:47" x14ac:dyDescent="0.25">
      <c r="AQ1326" s="27"/>
      <c r="AR1326" s="27"/>
      <c r="AS1326" s="27"/>
      <c r="AT1326" s="27"/>
      <c r="AU1326" s="27"/>
    </row>
    <row r="1327" spans="43:47" x14ac:dyDescent="0.25">
      <c r="AQ1327" s="27"/>
      <c r="AR1327" s="27"/>
      <c r="AS1327" s="27"/>
      <c r="AT1327" s="27"/>
      <c r="AU1327" s="27"/>
    </row>
    <row r="1328" spans="43:47" x14ac:dyDescent="0.25">
      <c r="AQ1328" s="27"/>
      <c r="AR1328" s="27"/>
      <c r="AS1328" s="27"/>
      <c r="AT1328" s="27"/>
      <c r="AU1328" s="27"/>
    </row>
    <row r="1329" spans="43:47" x14ac:dyDescent="0.25">
      <c r="AQ1329" s="27"/>
      <c r="AR1329" s="27"/>
      <c r="AS1329" s="27"/>
      <c r="AT1329" s="27"/>
      <c r="AU1329" s="27"/>
    </row>
    <row r="1330" spans="43:47" x14ac:dyDescent="0.25">
      <c r="AQ1330" s="27"/>
      <c r="AR1330" s="27"/>
      <c r="AS1330" s="27"/>
      <c r="AT1330" s="27"/>
      <c r="AU1330" s="27"/>
    </row>
    <row r="1331" spans="43:47" x14ac:dyDescent="0.25">
      <c r="AQ1331" s="27"/>
      <c r="AR1331" s="27"/>
      <c r="AS1331" s="27"/>
      <c r="AT1331" s="27"/>
      <c r="AU1331" s="27"/>
    </row>
    <row r="1332" spans="43:47" x14ac:dyDescent="0.25">
      <c r="AQ1332" s="27"/>
      <c r="AR1332" s="27"/>
      <c r="AS1332" s="27"/>
      <c r="AT1332" s="27"/>
      <c r="AU1332" s="27"/>
    </row>
    <row r="1333" spans="43:47" x14ac:dyDescent="0.25">
      <c r="AQ1333" s="27"/>
      <c r="AR1333" s="27"/>
      <c r="AS1333" s="27"/>
      <c r="AT1333" s="27"/>
      <c r="AU1333" s="27"/>
    </row>
    <row r="1334" spans="43:47" x14ac:dyDescent="0.25">
      <c r="AQ1334" s="27"/>
      <c r="AR1334" s="27"/>
      <c r="AS1334" s="27"/>
      <c r="AT1334" s="27"/>
      <c r="AU1334" s="27"/>
    </row>
    <row r="1335" spans="43:47" x14ac:dyDescent="0.25">
      <c r="AQ1335" s="27"/>
      <c r="AR1335" s="27"/>
      <c r="AS1335" s="27"/>
      <c r="AT1335" s="27"/>
      <c r="AU1335" s="27"/>
    </row>
    <row r="1336" spans="43:47" x14ac:dyDescent="0.25">
      <c r="AQ1336" s="27"/>
      <c r="AR1336" s="27"/>
      <c r="AS1336" s="27"/>
      <c r="AT1336" s="27"/>
      <c r="AU1336" s="27"/>
    </row>
    <row r="1337" spans="43:47" x14ac:dyDescent="0.25">
      <c r="AQ1337" s="27"/>
      <c r="AR1337" s="27"/>
      <c r="AS1337" s="27"/>
      <c r="AT1337" s="27"/>
      <c r="AU1337" s="27"/>
    </row>
    <row r="1338" spans="43:47" x14ac:dyDescent="0.25">
      <c r="AQ1338" s="27"/>
      <c r="AR1338" s="27"/>
      <c r="AS1338" s="27"/>
      <c r="AT1338" s="27"/>
      <c r="AU1338" s="27"/>
    </row>
    <row r="1339" spans="43:47" x14ac:dyDescent="0.25">
      <c r="AQ1339" s="27"/>
      <c r="AR1339" s="27"/>
      <c r="AS1339" s="27"/>
      <c r="AT1339" s="27"/>
      <c r="AU1339" s="27"/>
    </row>
    <row r="1340" spans="43:47" x14ac:dyDescent="0.25">
      <c r="AQ1340" s="27"/>
      <c r="AR1340" s="27"/>
      <c r="AS1340" s="27"/>
      <c r="AT1340" s="27"/>
      <c r="AU1340" s="27"/>
    </row>
    <row r="1341" spans="43:47" x14ac:dyDescent="0.25">
      <c r="AQ1341" s="27"/>
      <c r="AR1341" s="27"/>
      <c r="AS1341" s="27"/>
      <c r="AT1341" s="27"/>
      <c r="AU1341" s="27"/>
    </row>
    <row r="1342" spans="43:47" x14ac:dyDescent="0.25">
      <c r="AQ1342" s="27"/>
      <c r="AR1342" s="27"/>
      <c r="AS1342" s="27"/>
      <c r="AT1342" s="27"/>
      <c r="AU1342" s="27"/>
    </row>
    <row r="1343" spans="43:47" x14ac:dyDescent="0.25">
      <c r="AQ1343" s="27"/>
      <c r="AR1343" s="27"/>
      <c r="AS1343" s="27"/>
      <c r="AT1343" s="27"/>
      <c r="AU1343" s="27"/>
    </row>
    <row r="1344" spans="43:47" x14ac:dyDescent="0.25">
      <c r="AQ1344" s="27"/>
      <c r="AR1344" s="27"/>
      <c r="AS1344" s="27"/>
      <c r="AT1344" s="27"/>
      <c r="AU1344" s="27"/>
    </row>
    <row r="1345" spans="43:47" x14ac:dyDescent="0.25">
      <c r="AQ1345" s="27"/>
      <c r="AR1345" s="27"/>
      <c r="AS1345" s="27"/>
      <c r="AT1345" s="27"/>
      <c r="AU1345" s="27"/>
    </row>
    <row r="1346" spans="43:47" x14ac:dyDescent="0.25">
      <c r="AQ1346" s="27"/>
      <c r="AR1346" s="27"/>
      <c r="AS1346" s="27"/>
      <c r="AT1346" s="27"/>
      <c r="AU1346" s="27"/>
    </row>
    <row r="1347" spans="43:47" x14ac:dyDescent="0.25">
      <c r="AQ1347" s="27"/>
      <c r="AR1347" s="27"/>
      <c r="AS1347" s="27"/>
      <c r="AT1347" s="27"/>
      <c r="AU1347" s="27"/>
    </row>
    <row r="1348" spans="43:47" x14ac:dyDescent="0.25">
      <c r="AQ1348" s="27"/>
      <c r="AR1348" s="27"/>
      <c r="AS1348" s="27"/>
      <c r="AT1348" s="27"/>
      <c r="AU1348" s="27"/>
    </row>
    <row r="1349" spans="43:47" x14ac:dyDescent="0.25">
      <c r="AQ1349" s="27"/>
      <c r="AR1349" s="27"/>
      <c r="AS1349" s="27"/>
      <c r="AT1349" s="27"/>
      <c r="AU1349" s="27"/>
    </row>
    <row r="1350" spans="43:47" x14ac:dyDescent="0.25">
      <c r="AQ1350" s="27"/>
      <c r="AR1350" s="27"/>
      <c r="AS1350" s="27"/>
      <c r="AT1350" s="27"/>
      <c r="AU1350" s="27"/>
    </row>
    <row r="1351" spans="43:47" x14ac:dyDescent="0.25">
      <c r="AQ1351" s="27"/>
      <c r="AR1351" s="27"/>
      <c r="AS1351" s="27"/>
      <c r="AT1351" s="27"/>
      <c r="AU1351" s="27"/>
    </row>
    <row r="1352" spans="43:47" x14ac:dyDescent="0.25">
      <c r="AQ1352" s="27"/>
      <c r="AR1352" s="27"/>
      <c r="AS1352" s="27"/>
      <c r="AT1352" s="27"/>
      <c r="AU1352" s="27"/>
    </row>
    <row r="1353" spans="43:47" x14ac:dyDescent="0.25">
      <c r="AQ1353" s="27"/>
      <c r="AR1353" s="27"/>
      <c r="AS1353" s="27"/>
      <c r="AT1353" s="27"/>
      <c r="AU1353" s="27"/>
    </row>
    <row r="1354" spans="43:47" x14ac:dyDescent="0.25">
      <c r="AQ1354" s="27"/>
      <c r="AR1354" s="27"/>
      <c r="AS1354" s="27"/>
      <c r="AT1354" s="27"/>
      <c r="AU1354" s="27"/>
    </row>
    <row r="1355" spans="43:47" x14ac:dyDescent="0.25">
      <c r="AQ1355" s="27"/>
      <c r="AR1355" s="27"/>
      <c r="AS1355" s="27"/>
      <c r="AT1355" s="27"/>
      <c r="AU1355" s="27"/>
    </row>
    <row r="1356" spans="43:47" x14ac:dyDescent="0.25">
      <c r="AQ1356" s="27"/>
      <c r="AR1356" s="27"/>
      <c r="AS1356" s="27"/>
      <c r="AT1356" s="27"/>
      <c r="AU1356" s="27"/>
    </row>
    <row r="1357" spans="43:47" x14ac:dyDescent="0.25">
      <c r="AQ1357" s="27"/>
      <c r="AR1357" s="27"/>
      <c r="AS1357" s="27"/>
      <c r="AT1357" s="27"/>
      <c r="AU1357" s="27"/>
    </row>
    <row r="1358" spans="43:47" x14ac:dyDescent="0.25">
      <c r="AQ1358" s="27"/>
      <c r="AR1358" s="27"/>
      <c r="AS1358" s="27"/>
      <c r="AT1358" s="27"/>
      <c r="AU1358" s="27"/>
    </row>
    <row r="1359" spans="43:47" x14ac:dyDescent="0.25">
      <c r="AQ1359" s="27"/>
      <c r="AR1359" s="27"/>
      <c r="AS1359" s="27"/>
      <c r="AT1359" s="27"/>
      <c r="AU1359" s="27"/>
    </row>
    <row r="1360" spans="43:47" x14ac:dyDescent="0.25">
      <c r="AQ1360" s="27"/>
      <c r="AR1360" s="27"/>
      <c r="AS1360" s="27"/>
      <c r="AT1360" s="27"/>
      <c r="AU1360" s="27"/>
    </row>
    <row r="1361" spans="43:47" x14ac:dyDescent="0.25">
      <c r="AQ1361" s="27"/>
      <c r="AR1361" s="27"/>
      <c r="AS1361" s="27"/>
      <c r="AT1361" s="27"/>
      <c r="AU1361" s="27"/>
    </row>
    <row r="1362" spans="43:47" x14ac:dyDescent="0.25">
      <c r="AQ1362" s="27"/>
      <c r="AR1362" s="27"/>
      <c r="AS1362" s="27"/>
      <c r="AT1362" s="27"/>
      <c r="AU1362" s="27"/>
    </row>
    <row r="1363" spans="43:47" x14ac:dyDescent="0.25">
      <c r="AQ1363" s="27"/>
      <c r="AR1363" s="27"/>
      <c r="AS1363" s="27"/>
      <c r="AT1363" s="27"/>
      <c r="AU1363" s="27"/>
    </row>
    <row r="1364" spans="43:47" x14ac:dyDescent="0.25">
      <c r="AQ1364" s="27"/>
      <c r="AR1364" s="27"/>
      <c r="AS1364" s="27"/>
      <c r="AT1364" s="27"/>
      <c r="AU1364" s="27"/>
    </row>
    <row r="1365" spans="43:47" x14ac:dyDescent="0.25">
      <c r="AQ1365" s="27"/>
      <c r="AR1365" s="27"/>
      <c r="AS1365" s="27"/>
      <c r="AT1365" s="27"/>
      <c r="AU1365" s="27"/>
    </row>
    <row r="1366" spans="43:47" x14ac:dyDescent="0.25">
      <c r="AQ1366" s="27"/>
      <c r="AR1366" s="27"/>
      <c r="AS1366" s="27"/>
      <c r="AT1366" s="27"/>
      <c r="AU1366" s="27"/>
    </row>
    <row r="1367" spans="43:47" x14ac:dyDescent="0.25">
      <c r="AQ1367" s="27"/>
      <c r="AR1367" s="27"/>
      <c r="AS1367" s="27"/>
      <c r="AT1367" s="27"/>
      <c r="AU1367" s="27"/>
    </row>
    <row r="1368" spans="43:47" x14ac:dyDescent="0.25">
      <c r="AQ1368" s="27"/>
      <c r="AR1368" s="27"/>
      <c r="AS1368" s="27"/>
      <c r="AT1368" s="27"/>
      <c r="AU1368" s="27"/>
    </row>
    <row r="1369" spans="43:47" x14ac:dyDescent="0.25">
      <c r="AQ1369" s="27"/>
      <c r="AR1369" s="27"/>
      <c r="AS1369" s="27"/>
      <c r="AT1369" s="27"/>
      <c r="AU1369" s="27"/>
    </row>
    <row r="1370" spans="43:47" x14ac:dyDescent="0.25">
      <c r="AQ1370" s="27"/>
      <c r="AR1370" s="27"/>
      <c r="AS1370" s="27"/>
      <c r="AT1370" s="27"/>
      <c r="AU1370" s="27"/>
    </row>
    <row r="1371" spans="43:47" x14ac:dyDescent="0.25">
      <c r="AQ1371" s="27"/>
      <c r="AR1371" s="27"/>
      <c r="AS1371" s="27"/>
      <c r="AT1371" s="27"/>
      <c r="AU1371" s="27"/>
    </row>
    <row r="1372" spans="43:47" x14ac:dyDescent="0.25">
      <c r="AQ1372" s="27"/>
      <c r="AR1372" s="27"/>
      <c r="AS1372" s="27"/>
      <c r="AT1372" s="27"/>
      <c r="AU1372" s="27"/>
    </row>
    <row r="1373" spans="43:47" x14ac:dyDescent="0.25">
      <c r="AQ1373" s="27"/>
      <c r="AR1373" s="27"/>
      <c r="AS1373" s="27"/>
      <c r="AT1373" s="27"/>
      <c r="AU1373" s="27"/>
    </row>
    <row r="1374" spans="43:47" x14ac:dyDescent="0.25">
      <c r="AQ1374" s="27"/>
      <c r="AR1374" s="27"/>
      <c r="AS1374" s="27"/>
      <c r="AT1374" s="27"/>
      <c r="AU1374" s="27"/>
    </row>
    <row r="1375" spans="43:47" x14ac:dyDescent="0.25">
      <c r="AQ1375" s="27"/>
      <c r="AR1375" s="27"/>
      <c r="AS1375" s="27"/>
      <c r="AT1375" s="27"/>
      <c r="AU1375" s="27"/>
    </row>
    <row r="1376" spans="43:47" x14ac:dyDescent="0.25">
      <c r="AQ1376" s="27"/>
      <c r="AR1376" s="27"/>
      <c r="AS1376" s="27"/>
      <c r="AT1376" s="27"/>
      <c r="AU1376" s="27"/>
    </row>
    <row r="1377" spans="43:47" x14ac:dyDescent="0.25">
      <c r="AQ1377" s="27"/>
      <c r="AR1377" s="27"/>
      <c r="AS1377" s="27"/>
      <c r="AT1377" s="27"/>
      <c r="AU1377" s="27"/>
    </row>
    <row r="1378" spans="43:47" x14ac:dyDescent="0.25">
      <c r="AQ1378" s="27"/>
      <c r="AR1378" s="27"/>
      <c r="AS1378" s="27"/>
      <c r="AT1378" s="27"/>
      <c r="AU1378" s="27"/>
    </row>
    <row r="1379" spans="43:47" x14ac:dyDescent="0.25">
      <c r="AQ1379" s="27"/>
      <c r="AR1379" s="27"/>
      <c r="AS1379" s="27"/>
      <c r="AT1379" s="27"/>
      <c r="AU1379" s="27"/>
    </row>
    <row r="1380" spans="43:47" x14ac:dyDescent="0.25">
      <c r="AQ1380" s="27"/>
      <c r="AR1380" s="27"/>
      <c r="AS1380" s="27"/>
      <c r="AT1380" s="27"/>
      <c r="AU1380" s="27"/>
    </row>
    <row r="1381" spans="43:47" x14ac:dyDescent="0.25">
      <c r="AQ1381" s="27"/>
      <c r="AR1381" s="27"/>
      <c r="AS1381" s="27"/>
      <c r="AT1381" s="27"/>
      <c r="AU1381" s="27"/>
    </row>
    <row r="1382" spans="43:47" x14ac:dyDescent="0.25">
      <c r="AQ1382" s="27"/>
      <c r="AR1382" s="27"/>
      <c r="AS1382" s="27"/>
      <c r="AT1382" s="27"/>
      <c r="AU1382" s="27"/>
    </row>
    <row r="1383" spans="43:47" x14ac:dyDescent="0.25">
      <c r="AQ1383" s="27"/>
      <c r="AR1383" s="27"/>
      <c r="AS1383" s="27"/>
      <c r="AT1383" s="27"/>
      <c r="AU1383" s="27"/>
    </row>
    <row r="1384" spans="43:47" x14ac:dyDescent="0.25">
      <c r="AQ1384" s="27"/>
      <c r="AR1384" s="27"/>
      <c r="AS1384" s="27"/>
      <c r="AT1384" s="27"/>
      <c r="AU1384" s="27"/>
    </row>
    <row r="1385" spans="43:47" x14ac:dyDescent="0.25">
      <c r="AQ1385" s="27"/>
      <c r="AR1385" s="27"/>
      <c r="AS1385" s="27"/>
      <c r="AT1385" s="27"/>
      <c r="AU1385" s="27"/>
    </row>
    <row r="1386" spans="43:47" x14ac:dyDescent="0.25">
      <c r="AQ1386" s="27"/>
      <c r="AR1386" s="27"/>
      <c r="AS1386" s="27"/>
      <c r="AT1386" s="27"/>
      <c r="AU1386" s="27"/>
    </row>
    <row r="1387" spans="43:47" x14ac:dyDescent="0.25">
      <c r="AQ1387" s="27"/>
      <c r="AR1387" s="27"/>
      <c r="AS1387" s="27"/>
      <c r="AT1387" s="27"/>
      <c r="AU1387" s="27"/>
    </row>
    <row r="1388" spans="43:47" x14ac:dyDescent="0.25">
      <c r="AQ1388" s="27"/>
      <c r="AR1388" s="27"/>
      <c r="AS1388" s="27"/>
      <c r="AT1388" s="27"/>
      <c r="AU1388" s="27"/>
    </row>
    <row r="1389" spans="43:47" x14ac:dyDescent="0.25">
      <c r="AQ1389" s="27"/>
      <c r="AR1389" s="27"/>
      <c r="AS1389" s="27"/>
      <c r="AT1389" s="27"/>
      <c r="AU1389" s="27"/>
    </row>
    <row r="1390" spans="43:47" x14ac:dyDescent="0.25">
      <c r="AQ1390" s="27"/>
      <c r="AR1390" s="27"/>
      <c r="AS1390" s="27"/>
      <c r="AT1390" s="27"/>
      <c r="AU1390" s="27"/>
    </row>
    <row r="1391" spans="43:47" x14ac:dyDescent="0.25">
      <c r="AQ1391" s="27"/>
      <c r="AR1391" s="27"/>
      <c r="AS1391" s="27"/>
      <c r="AT1391" s="27"/>
      <c r="AU1391" s="27"/>
    </row>
    <row r="1392" spans="43:47" x14ac:dyDescent="0.25">
      <c r="AQ1392" s="27"/>
      <c r="AR1392" s="27"/>
      <c r="AS1392" s="27"/>
      <c r="AT1392" s="27"/>
      <c r="AU1392" s="27"/>
    </row>
    <row r="1393" spans="43:47" x14ac:dyDescent="0.25">
      <c r="AQ1393" s="27"/>
      <c r="AR1393" s="27"/>
      <c r="AS1393" s="27"/>
      <c r="AT1393" s="27"/>
      <c r="AU1393" s="27"/>
    </row>
    <row r="1394" spans="43:47" x14ac:dyDescent="0.25">
      <c r="AQ1394" s="27"/>
      <c r="AR1394" s="27"/>
      <c r="AS1394" s="27"/>
      <c r="AT1394" s="27"/>
      <c r="AU1394" s="27"/>
    </row>
    <row r="1395" spans="43:47" x14ac:dyDescent="0.25">
      <c r="AQ1395" s="27"/>
      <c r="AR1395" s="27"/>
      <c r="AS1395" s="27"/>
      <c r="AT1395" s="27"/>
      <c r="AU1395" s="27"/>
    </row>
    <row r="1396" spans="43:47" x14ac:dyDescent="0.25">
      <c r="AQ1396" s="27"/>
      <c r="AR1396" s="27"/>
      <c r="AS1396" s="27"/>
      <c r="AT1396" s="27"/>
      <c r="AU1396" s="27"/>
    </row>
    <row r="1397" spans="43:47" x14ac:dyDescent="0.25">
      <c r="AQ1397" s="27"/>
      <c r="AR1397" s="27"/>
      <c r="AS1397" s="27"/>
      <c r="AT1397" s="27"/>
      <c r="AU1397" s="27"/>
    </row>
    <row r="1398" spans="43:47" x14ac:dyDescent="0.25">
      <c r="AQ1398" s="27"/>
      <c r="AR1398" s="27"/>
      <c r="AS1398" s="27"/>
      <c r="AT1398" s="27"/>
      <c r="AU1398" s="27"/>
    </row>
    <row r="1399" spans="43:47" x14ac:dyDescent="0.25">
      <c r="AQ1399" s="27"/>
      <c r="AR1399" s="27"/>
      <c r="AS1399" s="27"/>
      <c r="AT1399" s="27"/>
      <c r="AU1399" s="27"/>
    </row>
    <row r="1400" spans="43:47" x14ac:dyDescent="0.25">
      <c r="AQ1400" s="27"/>
      <c r="AR1400" s="27"/>
      <c r="AS1400" s="27"/>
      <c r="AT1400" s="27"/>
      <c r="AU1400" s="27"/>
    </row>
    <row r="1401" spans="43:47" x14ac:dyDescent="0.25">
      <c r="AQ1401" s="27"/>
      <c r="AR1401" s="27"/>
      <c r="AS1401" s="27"/>
      <c r="AT1401" s="27"/>
      <c r="AU1401" s="27"/>
    </row>
    <row r="1402" spans="43:47" x14ac:dyDescent="0.25">
      <c r="AQ1402" s="27"/>
      <c r="AR1402" s="27"/>
      <c r="AS1402" s="27"/>
      <c r="AT1402" s="27"/>
      <c r="AU1402" s="27"/>
    </row>
    <row r="1403" spans="43:47" x14ac:dyDescent="0.25">
      <c r="AQ1403" s="27"/>
      <c r="AR1403" s="27"/>
      <c r="AS1403" s="27"/>
      <c r="AT1403" s="27"/>
      <c r="AU1403" s="27"/>
    </row>
    <row r="1404" spans="43:47" x14ac:dyDescent="0.25">
      <c r="AQ1404" s="27"/>
      <c r="AR1404" s="27"/>
      <c r="AS1404" s="27"/>
      <c r="AT1404" s="27"/>
      <c r="AU1404" s="27"/>
    </row>
    <row r="1405" spans="43:47" x14ac:dyDescent="0.25">
      <c r="AQ1405" s="27"/>
      <c r="AR1405" s="27"/>
      <c r="AS1405" s="27"/>
      <c r="AT1405" s="27"/>
      <c r="AU1405" s="27"/>
    </row>
    <row r="1406" spans="43:47" x14ac:dyDescent="0.25">
      <c r="AQ1406" s="27"/>
      <c r="AR1406" s="27"/>
      <c r="AS1406" s="27"/>
      <c r="AT1406" s="27"/>
      <c r="AU1406" s="27"/>
    </row>
    <row r="1407" spans="43:47" x14ac:dyDescent="0.25">
      <c r="AQ1407" s="27"/>
      <c r="AR1407" s="27"/>
      <c r="AS1407" s="27"/>
      <c r="AT1407" s="27"/>
      <c r="AU1407" s="27"/>
    </row>
    <row r="1408" spans="43:47" x14ac:dyDescent="0.25">
      <c r="AQ1408" s="27"/>
      <c r="AR1408" s="27"/>
      <c r="AS1408" s="27"/>
      <c r="AT1408" s="27"/>
      <c r="AU1408" s="27"/>
    </row>
    <row r="1409" spans="43:47" x14ac:dyDescent="0.25">
      <c r="AQ1409" s="27"/>
      <c r="AR1409" s="27"/>
      <c r="AS1409" s="27"/>
      <c r="AT1409" s="27"/>
      <c r="AU1409" s="27"/>
    </row>
    <row r="1410" spans="43:47" x14ac:dyDescent="0.25">
      <c r="AQ1410" s="27"/>
      <c r="AR1410" s="27"/>
      <c r="AS1410" s="27"/>
      <c r="AT1410" s="27"/>
      <c r="AU1410" s="27"/>
    </row>
    <row r="1411" spans="43:47" x14ac:dyDescent="0.25">
      <c r="AQ1411" s="27"/>
      <c r="AR1411" s="27"/>
      <c r="AS1411" s="27"/>
      <c r="AT1411" s="27"/>
      <c r="AU1411" s="27"/>
    </row>
    <row r="1412" spans="43:47" x14ac:dyDescent="0.25">
      <c r="AQ1412" s="27"/>
      <c r="AR1412" s="27"/>
      <c r="AS1412" s="27"/>
      <c r="AT1412" s="27"/>
      <c r="AU1412" s="27"/>
    </row>
    <row r="1413" spans="43:47" x14ac:dyDescent="0.25">
      <c r="AQ1413" s="27"/>
      <c r="AR1413" s="27"/>
      <c r="AS1413" s="27"/>
      <c r="AT1413" s="27"/>
      <c r="AU1413" s="27"/>
    </row>
    <row r="1414" spans="43:47" x14ac:dyDescent="0.25">
      <c r="AQ1414" s="27"/>
      <c r="AR1414" s="27"/>
      <c r="AS1414" s="27"/>
      <c r="AT1414" s="27"/>
      <c r="AU1414" s="27"/>
    </row>
    <row r="1415" spans="43:47" x14ac:dyDescent="0.25">
      <c r="AQ1415" s="27"/>
      <c r="AR1415" s="27"/>
      <c r="AS1415" s="27"/>
      <c r="AT1415" s="27"/>
      <c r="AU1415" s="27"/>
    </row>
    <row r="1416" spans="43:47" x14ac:dyDescent="0.25">
      <c r="AQ1416" s="27"/>
      <c r="AR1416" s="27"/>
      <c r="AS1416" s="27"/>
      <c r="AT1416" s="27"/>
      <c r="AU1416" s="27"/>
    </row>
    <row r="1417" spans="43:47" x14ac:dyDescent="0.25">
      <c r="AQ1417" s="27"/>
      <c r="AR1417" s="27"/>
      <c r="AS1417" s="27"/>
      <c r="AT1417" s="27"/>
      <c r="AU1417" s="27"/>
    </row>
    <row r="1418" spans="43:47" x14ac:dyDescent="0.25">
      <c r="AQ1418" s="27"/>
      <c r="AR1418" s="27"/>
      <c r="AS1418" s="27"/>
      <c r="AT1418" s="27"/>
      <c r="AU1418" s="27"/>
    </row>
    <row r="1419" spans="43:47" x14ac:dyDescent="0.25">
      <c r="AQ1419" s="27"/>
      <c r="AR1419" s="27"/>
      <c r="AS1419" s="27"/>
      <c r="AT1419" s="27"/>
      <c r="AU1419" s="27"/>
    </row>
    <row r="1420" spans="43:47" x14ac:dyDescent="0.25">
      <c r="AQ1420" s="27"/>
      <c r="AR1420" s="27"/>
      <c r="AS1420" s="27"/>
      <c r="AT1420" s="27"/>
      <c r="AU1420" s="27"/>
    </row>
    <row r="1421" spans="43:47" x14ac:dyDescent="0.25">
      <c r="AQ1421" s="27"/>
      <c r="AR1421" s="27"/>
      <c r="AS1421" s="27"/>
      <c r="AT1421" s="27"/>
      <c r="AU1421" s="27"/>
    </row>
    <row r="1422" spans="43:47" x14ac:dyDescent="0.25">
      <c r="AQ1422" s="27"/>
      <c r="AR1422" s="27"/>
      <c r="AS1422" s="27"/>
      <c r="AT1422" s="27"/>
      <c r="AU1422" s="27"/>
    </row>
    <row r="1423" spans="43:47" x14ac:dyDescent="0.25">
      <c r="AQ1423" s="27"/>
      <c r="AR1423" s="27"/>
      <c r="AS1423" s="27"/>
      <c r="AT1423" s="27"/>
      <c r="AU1423" s="27"/>
    </row>
    <row r="1424" spans="43:47" x14ac:dyDescent="0.25">
      <c r="AQ1424" s="27"/>
      <c r="AR1424" s="27"/>
      <c r="AS1424" s="27"/>
      <c r="AT1424" s="27"/>
      <c r="AU1424" s="27"/>
    </row>
    <row r="1425" spans="43:47" x14ac:dyDescent="0.25">
      <c r="AQ1425" s="27"/>
      <c r="AR1425" s="27"/>
      <c r="AS1425" s="27"/>
      <c r="AT1425" s="27"/>
      <c r="AU1425" s="27"/>
    </row>
    <row r="1426" spans="43:47" x14ac:dyDescent="0.25">
      <c r="AQ1426" s="27"/>
      <c r="AR1426" s="27"/>
      <c r="AS1426" s="27"/>
      <c r="AT1426" s="27"/>
      <c r="AU1426" s="27"/>
    </row>
    <row r="1427" spans="43:47" x14ac:dyDescent="0.25">
      <c r="AQ1427" s="27"/>
      <c r="AR1427" s="27"/>
      <c r="AS1427" s="27"/>
      <c r="AT1427" s="27"/>
      <c r="AU1427" s="27"/>
    </row>
    <row r="1428" spans="43:47" x14ac:dyDescent="0.25">
      <c r="AQ1428" s="27"/>
      <c r="AR1428" s="27"/>
      <c r="AS1428" s="27"/>
      <c r="AT1428" s="27"/>
      <c r="AU1428" s="27"/>
    </row>
    <row r="1429" spans="43:47" x14ac:dyDescent="0.25">
      <c r="AQ1429" s="27"/>
      <c r="AR1429" s="27"/>
      <c r="AS1429" s="27"/>
      <c r="AT1429" s="27"/>
      <c r="AU1429" s="27"/>
    </row>
    <row r="1430" spans="43:47" x14ac:dyDescent="0.25">
      <c r="AQ1430" s="27"/>
      <c r="AR1430" s="27"/>
      <c r="AS1430" s="27"/>
      <c r="AT1430" s="27"/>
      <c r="AU1430" s="27"/>
    </row>
    <row r="1431" spans="43:47" x14ac:dyDescent="0.25">
      <c r="AQ1431" s="27"/>
      <c r="AR1431" s="27"/>
      <c r="AS1431" s="27"/>
      <c r="AT1431" s="27"/>
      <c r="AU1431" s="27"/>
    </row>
    <row r="1432" spans="43:47" x14ac:dyDescent="0.25">
      <c r="AQ1432" s="27"/>
      <c r="AR1432" s="27"/>
      <c r="AS1432" s="27"/>
      <c r="AT1432" s="27"/>
      <c r="AU1432" s="27"/>
    </row>
    <row r="1433" spans="43:47" x14ac:dyDescent="0.25">
      <c r="AQ1433" s="27"/>
      <c r="AR1433" s="27"/>
      <c r="AS1433" s="27"/>
      <c r="AT1433" s="27"/>
      <c r="AU1433" s="27"/>
    </row>
    <row r="1434" spans="43:47" x14ac:dyDescent="0.25">
      <c r="AQ1434" s="27"/>
      <c r="AR1434" s="27"/>
      <c r="AS1434" s="27"/>
      <c r="AT1434" s="27"/>
      <c r="AU1434" s="27"/>
    </row>
    <row r="1435" spans="43:47" x14ac:dyDescent="0.25">
      <c r="AQ1435" s="27"/>
      <c r="AR1435" s="27"/>
      <c r="AS1435" s="27"/>
      <c r="AT1435" s="27"/>
      <c r="AU1435" s="27"/>
    </row>
    <row r="1436" spans="43:47" x14ac:dyDescent="0.25">
      <c r="AQ1436" s="27"/>
      <c r="AR1436" s="27"/>
      <c r="AS1436" s="27"/>
      <c r="AT1436" s="27"/>
      <c r="AU1436" s="27"/>
    </row>
    <row r="1437" spans="43:47" x14ac:dyDescent="0.25">
      <c r="AQ1437" s="27"/>
      <c r="AR1437" s="27"/>
      <c r="AS1437" s="27"/>
      <c r="AT1437" s="27"/>
      <c r="AU1437" s="27"/>
    </row>
    <row r="1438" spans="43:47" x14ac:dyDescent="0.25">
      <c r="AQ1438" s="27"/>
      <c r="AR1438" s="27"/>
      <c r="AS1438" s="27"/>
      <c r="AT1438" s="27"/>
      <c r="AU1438" s="27"/>
    </row>
    <row r="1439" spans="43:47" x14ac:dyDescent="0.25">
      <c r="AQ1439" s="27"/>
      <c r="AR1439" s="27"/>
      <c r="AS1439" s="27"/>
      <c r="AT1439" s="27"/>
      <c r="AU1439" s="27"/>
    </row>
    <row r="1440" spans="43:47" x14ac:dyDescent="0.25">
      <c r="AQ1440" s="27"/>
      <c r="AR1440" s="27"/>
      <c r="AS1440" s="27"/>
      <c r="AT1440" s="27"/>
      <c r="AU1440" s="27"/>
    </row>
    <row r="1441" spans="43:47" x14ac:dyDescent="0.25">
      <c r="AQ1441" s="27"/>
      <c r="AR1441" s="27"/>
      <c r="AS1441" s="27"/>
      <c r="AT1441" s="27"/>
      <c r="AU1441" s="27"/>
    </row>
    <row r="1442" spans="43:47" x14ac:dyDescent="0.25">
      <c r="AQ1442" s="27"/>
      <c r="AR1442" s="27"/>
      <c r="AS1442" s="27"/>
      <c r="AT1442" s="27"/>
      <c r="AU1442" s="27"/>
    </row>
    <row r="1443" spans="43:47" x14ac:dyDescent="0.25">
      <c r="AQ1443" s="27"/>
      <c r="AR1443" s="27"/>
      <c r="AS1443" s="27"/>
      <c r="AT1443" s="27"/>
      <c r="AU1443" s="27"/>
    </row>
    <row r="1444" spans="43:47" x14ac:dyDescent="0.25">
      <c r="AQ1444" s="27"/>
      <c r="AR1444" s="27"/>
      <c r="AS1444" s="27"/>
      <c r="AT1444" s="27"/>
      <c r="AU1444" s="27"/>
    </row>
    <row r="1445" spans="43:47" x14ac:dyDescent="0.25">
      <c r="AQ1445" s="27"/>
      <c r="AR1445" s="27"/>
      <c r="AS1445" s="27"/>
      <c r="AT1445" s="27"/>
      <c r="AU1445" s="27"/>
    </row>
    <row r="1446" spans="43:47" x14ac:dyDescent="0.25">
      <c r="AQ1446" s="27"/>
      <c r="AR1446" s="27"/>
      <c r="AS1446" s="27"/>
      <c r="AT1446" s="27"/>
      <c r="AU1446" s="27"/>
    </row>
    <row r="1447" spans="43:47" x14ac:dyDescent="0.25">
      <c r="AQ1447" s="27"/>
      <c r="AR1447" s="27"/>
      <c r="AS1447" s="27"/>
      <c r="AT1447" s="27"/>
      <c r="AU1447" s="27"/>
    </row>
    <row r="1448" spans="43:47" x14ac:dyDescent="0.25">
      <c r="AQ1448" s="27"/>
      <c r="AR1448" s="27"/>
      <c r="AS1448" s="27"/>
      <c r="AT1448" s="27"/>
      <c r="AU1448" s="27"/>
    </row>
    <row r="1449" spans="43:47" x14ac:dyDescent="0.25">
      <c r="AQ1449" s="27"/>
      <c r="AR1449" s="27"/>
      <c r="AS1449" s="27"/>
      <c r="AT1449" s="27"/>
      <c r="AU1449" s="27"/>
    </row>
    <row r="1450" spans="43:47" x14ac:dyDescent="0.25">
      <c r="AQ1450" s="27"/>
      <c r="AR1450" s="27"/>
      <c r="AS1450" s="27"/>
      <c r="AT1450" s="27"/>
      <c r="AU1450" s="27"/>
    </row>
    <row r="1451" spans="43:47" x14ac:dyDescent="0.25">
      <c r="AQ1451" s="27"/>
      <c r="AR1451" s="27"/>
      <c r="AS1451" s="27"/>
      <c r="AT1451" s="27"/>
      <c r="AU1451" s="27"/>
    </row>
    <row r="1452" spans="43:47" x14ac:dyDescent="0.25">
      <c r="AQ1452" s="27"/>
      <c r="AR1452" s="27"/>
      <c r="AS1452" s="27"/>
      <c r="AT1452" s="27"/>
      <c r="AU1452" s="27"/>
    </row>
    <row r="1453" spans="43:47" x14ac:dyDescent="0.25">
      <c r="AQ1453" s="27"/>
      <c r="AR1453" s="27"/>
      <c r="AS1453" s="27"/>
      <c r="AT1453" s="27"/>
      <c r="AU1453" s="27"/>
    </row>
    <row r="1454" spans="43:47" x14ac:dyDescent="0.25">
      <c r="AQ1454" s="27"/>
      <c r="AR1454" s="27"/>
      <c r="AS1454" s="27"/>
      <c r="AT1454" s="27"/>
      <c r="AU1454" s="27"/>
    </row>
    <row r="1455" spans="43:47" x14ac:dyDescent="0.25">
      <c r="AQ1455" s="27"/>
      <c r="AR1455" s="27"/>
      <c r="AS1455" s="27"/>
      <c r="AT1455" s="27"/>
      <c r="AU1455" s="27"/>
    </row>
    <row r="1456" spans="43:47" x14ac:dyDescent="0.25">
      <c r="AQ1456" s="27"/>
      <c r="AR1456" s="27"/>
      <c r="AS1456" s="27"/>
      <c r="AT1456" s="27"/>
      <c r="AU1456" s="27"/>
    </row>
    <row r="1457" spans="43:47" x14ac:dyDescent="0.25">
      <c r="AQ1457" s="27"/>
      <c r="AR1457" s="27"/>
      <c r="AS1457" s="27"/>
      <c r="AT1457" s="27"/>
      <c r="AU1457" s="27"/>
    </row>
    <row r="1458" spans="43:47" x14ac:dyDescent="0.25">
      <c r="AQ1458" s="27"/>
      <c r="AR1458" s="27"/>
      <c r="AS1458" s="27"/>
      <c r="AT1458" s="27"/>
      <c r="AU1458" s="27"/>
    </row>
    <row r="1459" spans="43:47" x14ac:dyDescent="0.25">
      <c r="AQ1459" s="27"/>
      <c r="AR1459" s="27"/>
      <c r="AS1459" s="27"/>
      <c r="AT1459" s="27"/>
      <c r="AU1459" s="27"/>
    </row>
    <row r="1460" spans="43:47" x14ac:dyDescent="0.25">
      <c r="AQ1460" s="27"/>
      <c r="AR1460" s="27"/>
      <c r="AS1460" s="27"/>
      <c r="AT1460" s="27"/>
      <c r="AU1460" s="27"/>
    </row>
    <row r="1461" spans="43:47" x14ac:dyDescent="0.25">
      <c r="AQ1461" s="27"/>
      <c r="AR1461" s="27"/>
      <c r="AS1461" s="27"/>
      <c r="AT1461" s="27"/>
      <c r="AU1461" s="27"/>
    </row>
    <row r="1462" spans="43:47" x14ac:dyDescent="0.25">
      <c r="AQ1462" s="27"/>
      <c r="AR1462" s="27"/>
      <c r="AS1462" s="27"/>
      <c r="AT1462" s="27"/>
      <c r="AU1462" s="27"/>
    </row>
    <row r="1463" spans="43:47" x14ac:dyDescent="0.25">
      <c r="AQ1463" s="27"/>
      <c r="AR1463" s="27"/>
      <c r="AS1463" s="27"/>
      <c r="AT1463" s="27"/>
      <c r="AU1463" s="27"/>
    </row>
    <row r="1464" spans="43:47" x14ac:dyDescent="0.25">
      <c r="AQ1464" s="27"/>
      <c r="AR1464" s="27"/>
      <c r="AS1464" s="27"/>
      <c r="AT1464" s="27"/>
      <c r="AU1464" s="27"/>
    </row>
    <row r="1465" spans="43:47" x14ac:dyDescent="0.25">
      <c r="AQ1465" s="27"/>
      <c r="AR1465" s="27"/>
      <c r="AS1465" s="27"/>
      <c r="AT1465" s="27"/>
      <c r="AU1465" s="27"/>
    </row>
    <row r="1466" spans="43:47" x14ac:dyDescent="0.25">
      <c r="AQ1466" s="27"/>
      <c r="AR1466" s="27"/>
      <c r="AS1466" s="27"/>
      <c r="AT1466" s="27"/>
      <c r="AU1466" s="27"/>
    </row>
    <row r="1467" spans="43:47" x14ac:dyDescent="0.25">
      <c r="AQ1467" s="27"/>
      <c r="AR1467" s="27"/>
      <c r="AS1467" s="27"/>
      <c r="AT1467" s="27"/>
      <c r="AU1467" s="27"/>
    </row>
    <row r="1468" spans="43:47" x14ac:dyDescent="0.25">
      <c r="AQ1468" s="27"/>
      <c r="AR1468" s="27"/>
      <c r="AS1468" s="27"/>
      <c r="AT1468" s="27"/>
      <c r="AU1468" s="27"/>
    </row>
  </sheetData>
  <customSheetViews>
    <customSheetView guid="{E49C2F27-B0B9-497E-BEC0-5B59561292FE}" scale="80">
      <pane xSplit="2" ySplit="7" topLeftCell="AF8" activePane="bottomRight" state="frozen"/>
      <selection pane="bottomRight" activeCell="AQ44" sqref="AQ44"/>
      <pageMargins left="0.7" right="0.7" top="0.75" bottom="0.75" header="0.3" footer="0.3"/>
      <pageSetup paperSize="9" orientation="portrait" r:id="rId1"/>
    </customSheetView>
    <customSheetView guid="{A5953138-1481-4137-BEAD-32FA4FDF03E6}" scale="80">
      <pane xSplit="2" ySplit="7" topLeftCell="AF8" activePane="bottomRight" state="frozen"/>
      <selection pane="bottomRight" activeCell="AQ44" sqref="AQ44"/>
      <pageMargins left="0.7" right="0.7" top="0.75" bottom="0.75" header="0.3" footer="0.3"/>
      <pageSetup paperSize="9" orientation="portrait" r:id="rId2"/>
    </customSheetView>
    <customSheetView guid="{2A1F94CA-1A34-4418-88FD-EABF7586C2B2}" scale="80">
      <pane xSplit="2" ySplit="7" topLeftCell="AF8" activePane="bottomRight" state="frozen"/>
      <selection pane="bottomRight" activeCell="AQ44" sqref="AQ44"/>
      <pageMargins left="0.7" right="0.7" top="0.75" bottom="0.75" header="0.3" footer="0.3"/>
      <pageSetup paperSize="9" orientation="portrait" r:id="rId3"/>
    </customSheetView>
  </customSheetViews>
  <mergeCells count="69">
    <mergeCell ref="D3:D6"/>
    <mergeCell ref="H2:I3"/>
    <mergeCell ref="H4:H6"/>
    <mergeCell ref="AC1:AD2"/>
    <mergeCell ref="AC3:AC6"/>
    <mergeCell ref="AD3:AD6"/>
    <mergeCell ref="M4:M6"/>
    <mergeCell ref="N2:O3"/>
    <mergeCell ref="N4:N6"/>
    <mergeCell ref="O4:O6"/>
    <mergeCell ref="P2:P6"/>
    <mergeCell ref="R2:AB2"/>
    <mergeCell ref="R3:V3"/>
    <mergeCell ref="W3:AB3"/>
    <mergeCell ref="L3:M3"/>
    <mergeCell ref="J4:J6"/>
    <mergeCell ref="K4:K6"/>
    <mergeCell ref="L4:L6"/>
    <mergeCell ref="AZ3:AZ6"/>
    <mergeCell ref="Q2:Q6"/>
    <mergeCell ref="A1:B3"/>
    <mergeCell ref="A4:A6"/>
    <mergeCell ref="B4:B6"/>
    <mergeCell ref="C2:G2"/>
    <mergeCell ref="C3:C6"/>
    <mergeCell ref="G3:G6"/>
    <mergeCell ref="E3:F5"/>
    <mergeCell ref="C1:AB1"/>
    <mergeCell ref="I4:I6"/>
    <mergeCell ref="J2:M2"/>
    <mergeCell ref="J3:K3"/>
    <mergeCell ref="S4:S6"/>
    <mergeCell ref="T4:T6"/>
    <mergeCell ref="U4:U6"/>
    <mergeCell ref="V4:V6"/>
    <mergeCell ref="W4:W6"/>
    <mergeCell ref="R4:R6"/>
    <mergeCell ref="AE2:AG2"/>
    <mergeCell ref="AL2:AR2"/>
    <mergeCell ref="AS2:AU2"/>
    <mergeCell ref="AA4:AA6"/>
    <mergeCell ref="AB4:AB6"/>
    <mergeCell ref="AH3:AH6"/>
    <mergeCell ref="AI3:AI6"/>
    <mergeCell ref="AG3:AG6"/>
    <mergeCell ref="AL3:AL6"/>
    <mergeCell ref="AM3:AM6"/>
    <mergeCell ref="AH2:AK2"/>
    <mergeCell ref="AK3:AK6"/>
    <mergeCell ref="AN3:AN6"/>
    <mergeCell ref="AO3:AO6"/>
    <mergeCell ref="AP3:AP6"/>
    <mergeCell ref="AJ3:AJ6"/>
    <mergeCell ref="X4:X6"/>
    <mergeCell ref="Y4:Y6"/>
    <mergeCell ref="Z4:Z6"/>
    <mergeCell ref="AE1:AZ1"/>
    <mergeCell ref="AV2:AZ2"/>
    <mergeCell ref="AY3:AY6"/>
    <mergeCell ref="AQ3:AQ6"/>
    <mergeCell ref="AR3:AR6"/>
    <mergeCell ref="AS3:AS6"/>
    <mergeCell ref="AT3:AT6"/>
    <mergeCell ref="AU3:AU6"/>
    <mergeCell ref="AV3:AV6"/>
    <mergeCell ref="AW3:AW6"/>
    <mergeCell ref="AX3:AX6"/>
    <mergeCell ref="AE3:AE6"/>
    <mergeCell ref="AF3:AF6"/>
  </mergeCells>
  <pageMargins left="0.7" right="0.7" top="0.75" bottom="0.75" header="0.3" footer="0.3"/>
  <pageSetup paperSize="9" orientation="portrait" r:id="rId4"/>
  <legacyDrawing r:id="rId5"/>
</worksheet>
</file>

<file path=xl/worksheets/sheet4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800-000000000000}">
  <sheetPr codeName="Sheet30">
    <tabColor theme="9"/>
  </sheetPr>
  <dimension ref="A1:AZ28"/>
  <sheetViews>
    <sheetView zoomScaleNormal="100" workbookViewId="0">
      <pane xSplit="2" ySplit="7" topLeftCell="S8" activePane="bottomRight" state="frozen"/>
      <selection pane="topRight" activeCell="C1" sqref="C1"/>
      <selection pane="bottomLeft" activeCell="A8" sqref="A8"/>
      <selection pane="bottomRight" activeCell="A29" sqref="A29:XFD58"/>
    </sheetView>
  </sheetViews>
  <sheetFormatPr defaultRowHeight="15" x14ac:dyDescent="0.25"/>
  <cols>
    <col min="1" max="2" width="13.7109375" style="28" customWidth="1"/>
    <col min="3" max="3" width="19.85546875" style="12" bestFit="1" customWidth="1"/>
    <col min="4" max="4" width="19.85546875" style="12" customWidth="1"/>
    <col min="5" max="6" width="12.85546875" style="12" bestFit="1" customWidth="1"/>
    <col min="7" max="7" width="21.85546875" style="53" bestFit="1" customWidth="1"/>
    <col min="8" max="9" width="15.5703125" style="12" bestFit="1" customWidth="1"/>
    <col min="10" max="11" width="16.85546875" style="28" bestFit="1" customWidth="1"/>
    <col min="12" max="12" width="16.85546875" style="16" bestFit="1" customWidth="1"/>
    <col min="13" max="13" width="16.85546875" style="28" bestFit="1" customWidth="1"/>
    <col min="14" max="14" width="15.5703125" style="28" bestFit="1" customWidth="1"/>
    <col min="15" max="15" width="16.42578125" style="28" customWidth="1"/>
    <col min="16" max="16" width="30.28515625" style="28" customWidth="1"/>
    <col min="17" max="17" width="16.140625" style="697" customWidth="1"/>
    <col min="18" max="28" width="19.28515625" style="697" customWidth="1"/>
    <col min="29" max="29" width="15" style="53" customWidth="1"/>
    <col min="30" max="30" width="12.7109375" style="12" customWidth="1"/>
    <col min="31" max="31" width="17.7109375" style="697" customWidth="1"/>
    <col min="32" max="32" width="17.85546875" style="697" customWidth="1"/>
    <col min="33" max="35" width="18.7109375" style="697" customWidth="1"/>
    <col min="36" max="36" width="18.7109375" style="999" customWidth="1"/>
    <col min="37" max="37" width="18.7109375" style="697" customWidth="1"/>
    <col min="38" max="40" width="16.140625" style="697" customWidth="1"/>
    <col min="41" max="41" width="16.140625" style="999" customWidth="1"/>
    <col min="42" max="43" width="16.140625" style="697" customWidth="1"/>
    <col min="44" max="44" width="16.85546875" style="697" customWidth="1"/>
    <col min="45" max="45" width="20.42578125" style="697" customWidth="1"/>
    <col min="46" max="46" width="20.5703125" style="697" customWidth="1"/>
    <col min="47" max="47" width="21.140625" style="697" customWidth="1"/>
    <col min="48" max="52" width="23.5703125" style="697" customWidth="1"/>
    <col min="53" max="16384" width="9.140625" style="28"/>
  </cols>
  <sheetData>
    <row r="1" spans="1:52" ht="15.75" customHeight="1" thickBot="1" x14ac:dyDescent="0.3">
      <c r="A1" s="1164" t="s">
        <v>13</v>
      </c>
      <c r="B1" s="1165"/>
      <c r="C1" s="1363" t="s">
        <v>146</v>
      </c>
      <c r="D1" s="1364"/>
      <c r="E1" s="1364"/>
      <c r="F1" s="1364"/>
      <c r="G1" s="1364"/>
      <c r="H1" s="1364"/>
      <c r="I1" s="1364"/>
      <c r="J1" s="1364"/>
      <c r="K1" s="1364"/>
      <c r="L1" s="1364"/>
      <c r="M1" s="1364"/>
      <c r="N1" s="1364"/>
      <c r="O1" s="1364"/>
      <c r="P1" s="1364"/>
      <c r="Q1" s="1364"/>
      <c r="R1" s="1364"/>
      <c r="S1" s="1364"/>
      <c r="T1" s="1364"/>
      <c r="U1" s="1364"/>
      <c r="V1" s="1364"/>
      <c r="W1" s="1364"/>
      <c r="X1" s="1364"/>
      <c r="Y1" s="1364"/>
      <c r="Z1" s="1364"/>
      <c r="AA1" s="1364"/>
      <c r="AB1" s="1365"/>
      <c r="AC1" s="1338" t="s">
        <v>162</v>
      </c>
      <c r="AD1" s="1340"/>
      <c r="AE1" s="1344" t="s">
        <v>665</v>
      </c>
      <c r="AF1" s="1345"/>
      <c r="AG1" s="1345"/>
      <c r="AH1" s="1345"/>
      <c r="AI1" s="1345"/>
      <c r="AJ1" s="1345"/>
      <c r="AK1" s="1345"/>
      <c r="AL1" s="1345"/>
      <c r="AM1" s="1345"/>
      <c r="AN1" s="1345"/>
      <c r="AO1" s="1345"/>
      <c r="AP1" s="1345"/>
      <c r="AQ1" s="1345"/>
      <c r="AR1" s="1345"/>
      <c r="AS1" s="1345"/>
      <c r="AT1" s="1345"/>
      <c r="AU1" s="1345"/>
      <c r="AV1" s="1345"/>
      <c r="AW1" s="1345"/>
      <c r="AX1" s="1345"/>
      <c r="AY1" s="1345"/>
      <c r="AZ1" s="1346"/>
    </row>
    <row r="2" spans="1:52" ht="15.75" customHeight="1" thickBot="1" x14ac:dyDescent="0.3">
      <c r="A2" s="1215"/>
      <c r="B2" s="1236"/>
      <c r="C2" s="1263" t="s">
        <v>23</v>
      </c>
      <c r="D2" s="1264"/>
      <c r="E2" s="1264"/>
      <c r="F2" s="1264"/>
      <c r="G2" s="1264"/>
      <c r="H2" s="1358" t="s">
        <v>155</v>
      </c>
      <c r="I2" s="1359"/>
      <c r="J2" s="1263" t="s">
        <v>158</v>
      </c>
      <c r="K2" s="1264"/>
      <c r="L2" s="1264"/>
      <c r="M2" s="1264"/>
      <c r="N2" s="1358" t="s">
        <v>151</v>
      </c>
      <c r="O2" s="1369"/>
      <c r="P2" s="1231" t="s">
        <v>154</v>
      </c>
      <c r="Q2" s="1231" t="s">
        <v>655</v>
      </c>
      <c r="R2" s="1258" t="s">
        <v>710</v>
      </c>
      <c r="S2" s="1259"/>
      <c r="T2" s="1259"/>
      <c r="U2" s="1259"/>
      <c r="V2" s="1259"/>
      <c r="W2" s="1259"/>
      <c r="X2" s="1259"/>
      <c r="Y2" s="1259"/>
      <c r="Z2" s="1259"/>
      <c r="AA2" s="1259"/>
      <c r="AB2" s="1274"/>
      <c r="AC2" s="1341"/>
      <c r="AD2" s="1343"/>
      <c r="AE2" s="1352" t="s">
        <v>666</v>
      </c>
      <c r="AF2" s="1353"/>
      <c r="AG2" s="1354"/>
      <c r="AH2" s="1352" t="s">
        <v>672</v>
      </c>
      <c r="AI2" s="1353"/>
      <c r="AJ2" s="1353"/>
      <c r="AK2" s="1354"/>
      <c r="AL2" s="1352" t="s">
        <v>155</v>
      </c>
      <c r="AM2" s="1353"/>
      <c r="AN2" s="1353"/>
      <c r="AO2" s="1353"/>
      <c r="AP2" s="1353"/>
      <c r="AQ2" s="1353"/>
      <c r="AR2" s="1354"/>
      <c r="AS2" s="1352" t="s">
        <v>667</v>
      </c>
      <c r="AT2" s="1353"/>
      <c r="AU2" s="1354"/>
      <c r="AV2" s="1347" t="s">
        <v>668</v>
      </c>
      <c r="AW2" s="1348"/>
      <c r="AX2" s="1348"/>
      <c r="AY2" s="1348"/>
      <c r="AZ2" s="1349"/>
    </row>
    <row r="3" spans="1:52" ht="15.75" customHeight="1" thickBot="1" x14ac:dyDescent="0.3">
      <c r="A3" s="1215" t="s">
        <v>16</v>
      </c>
      <c r="B3" s="1236" t="s">
        <v>17</v>
      </c>
      <c r="C3" s="1157" t="s">
        <v>656</v>
      </c>
      <c r="D3" s="1157" t="s">
        <v>657</v>
      </c>
      <c r="E3" s="1254" t="s">
        <v>147</v>
      </c>
      <c r="F3" s="1255"/>
      <c r="G3" s="1360" t="s">
        <v>150</v>
      </c>
      <c r="H3" s="1264"/>
      <c r="I3" s="1265"/>
      <c r="J3" s="1248" t="s">
        <v>156</v>
      </c>
      <c r="K3" s="1238"/>
      <c r="L3" s="1248" t="s">
        <v>157</v>
      </c>
      <c r="M3" s="1239"/>
      <c r="N3" s="1263"/>
      <c r="O3" s="1264"/>
      <c r="P3" s="1231"/>
      <c r="Q3" s="1231"/>
      <c r="R3" s="1248" t="s">
        <v>711</v>
      </c>
      <c r="S3" s="1238"/>
      <c r="T3" s="1238"/>
      <c r="U3" s="1238"/>
      <c r="V3" s="1239"/>
      <c r="W3" s="1248" t="s">
        <v>712</v>
      </c>
      <c r="X3" s="1238"/>
      <c r="Y3" s="1238"/>
      <c r="Z3" s="1238"/>
      <c r="AA3" s="1238"/>
      <c r="AB3" s="1239"/>
      <c r="AC3" s="1366" t="s">
        <v>164</v>
      </c>
      <c r="AD3" s="1227" t="s">
        <v>163</v>
      </c>
      <c r="AE3" s="1250" t="s">
        <v>669</v>
      </c>
      <c r="AF3" s="1256" t="s">
        <v>670</v>
      </c>
      <c r="AG3" s="1187" t="s">
        <v>671</v>
      </c>
      <c r="AH3" s="1250" t="s">
        <v>674</v>
      </c>
      <c r="AI3" s="1256" t="s">
        <v>851</v>
      </c>
      <c r="AJ3" s="1256" t="s">
        <v>673</v>
      </c>
      <c r="AK3" s="1187" t="s">
        <v>673</v>
      </c>
      <c r="AL3" s="1250" t="s">
        <v>336</v>
      </c>
      <c r="AM3" s="1256" t="s">
        <v>852</v>
      </c>
      <c r="AN3" s="1256" t="s">
        <v>853</v>
      </c>
      <c r="AO3" s="1256" t="s">
        <v>872</v>
      </c>
      <c r="AP3" s="1187" t="s">
        <v>874</v>
      </c>
      <c r="AQ3" s="1250" t="s">
        <v>855</v>
      </c>
      <c r="AR3" s="1187" t="s">
        <v>735</v>
      </c>
      <c r="AS3" s="1250" t="s">
        <v>707</v>
      </c>
      <c r="AT3" s="1256" t="s">
        <v>708</v>
      </c>
      <c r="AU3" s="1187" t="s">
        <v>709</v>
      </c>
      <c r="AV3" s="1250" t="s">
        <v>736</v>
      </c>
      <c r="AW3" s="1256" t="s">
        <v>737</v>
      </c>
      <c r="AX3" s="1370" t="s">
        <v>738</v>
      </c>
      <c r="AY3" s="1256" t="s">
        <v>739</v>
      </c>
      <c r="AZ3" s="1187" t="s">
        <v>740</v>
      </c>
    </row>
    <row r="4" spans="1:52" ht="15" customHeight="1" thickBot="1" x14ac:dyDescent="0.3">
      <c r="A4" s="1188" t="s">
        <v>16</v>
      </c>
      <c r="B4" s="1176" t="s">
        <v>17</v>
      </c>
      <c r="C4" s="1158"/>
      <c r="D4" s="1158"/>
      <c r="E4" s="1266"/>
      <c r="F4" s="1267"/>
      <c r="G4" s="1361"/>
      <c r="H4" s="1218" t="s">
        <v>156</v>
      </c>
      <c r="I4" s="1227" t="s">
        <v>157</v>
      </c>
      <c r="J4" s="1250" t="s">
        <v>159</v>
      </c>
      <c r="K4" s="1256" t="s">
        <v>658</v>
      </c>
      <c r="L4" s="1250" t="s">
        <v>160</v>
      </c>
      <c r="M4" s="1187" t="s">
        <v>161</v>
      </c>
      <c r="N4" s="1250" t="s">
        <v>152</v>
      </c>
      <c r="O4" s="1187" t="s">
        <v>153</v>
      </c>
      <c r="P4" s="1231"/>
      <c r="Q4" s="1231"/>
      <c r="R4" s="1250" t="s">
        <v>713</v>
      </c>
      <c r="S4" s="1256" t="s">
        <v>714</v>
      </c>
      <c r="T4" s="1256" t="s">
        <v>715</v>
      </c>
      <c r="U4" s="1256" t="s">
        <v>716</v>
      </c>
      <c r="V4" s="1187" t="s">
        <v>717</v>
      </c>
      <c r="W4" s="1250" t="s">
        <v>718</v>
      </c>
      <c r="X4" s="1256" t="s">
        <v>719</v>
      </c>
      <c r="Y4" s="1256" t="s">
        <v>720</v>
      </c>
      <c r="Z4" s="1256" t="s">
        <v>721</v>
      </c>
      <c r="AA4" s="1256" t="s">
        <v>722</v>
      </c>
      <c r="AB4" s="1187" t="s">
        <v>723</v>
      </c>
      <c r="AC4" s="1367"/>
      <c r="AD4" s="1237"/>
      <c r="AE4" s="1188"/>
      <c r="AF4" s="1189"/>
      <c r="AG4" s="1176"/>
      <c r="AH4" s="1188"/>
      <c r="AI4" s="1189"/>
      <c r="AJ4" s="1189"/>
      <c r="AK4" s="1176"/>
      <c r="AL4" s="1188"/>
      <c r="AM4" s="1189"/>
      <c r="AN4" s="1189"/>
      <c r="AO4" s="1189"/>
      <c r="AP4" s="1176"/>
      <c r="AQ4" s="1188"/>
      <c r="AR4" s="1176"/>
      <c r="AS4" s="1188"/>
      <c r="AT4" s="1189"/>
      <c r="AU4" s="1176"/>
      <c r="AV4" s="1188"/>
      <c r="AW4" s="1189"/>
      <c r="AX4" s="1350"/>
      <c r="AY4" s="1189"/>
      <c r="AZ4" s="1176"/>
    </row>
    <row r="5" spans="1:52" ht="15" customHeight="1" x14ac:dyDescent="0.25">
      <c r="A5" s="1188"/>
      <c r="B5" s="1176"/>
      <c r="C5" s="1158"/>
      <c r="D5" s="1158"/>
      <c r="E5" s="1218" t="s">
        <v>148</v>
      </c>
      <c r="F5" s="1227" t="s">
        <v>149</v>
      </c>
      <c r="G5" s="1361"/>
      <c r="H5" s="1219"/>
      <c r="I5" s="1237"/>
      <c r="J5" s="1188"/>
      <c r="K5" s="1189"/>
      <c r="L5" s="1188"/>
      <c r="M5" s="1176"/>
      <c r="N5" s="1188"/>
      <c r="O5" s="1176"/>
      <c r="P5" s="1231"/>
      <c r="Q5" s="1231"/>
      <c r="R5" s="1188"/>
      <c r="S5" s="1189"/>
      <c r="T5" s="1189"/>
      <c r="U5" s="1189"/>
      <c r="V5" s="1176"/>
      <c r="W5" s="1188"/>
      <c r="X5" s="1189"/>
      <c r="Y5" s="1189"/>
      <c r="Z5" s="1189"/>
      <c r="AA5" s="1189"/>
      <c r="AB5" s="1176"/>
      <c r="AC5" s="1367"/>
      <c r="AD5" s="1237"/>
      <c r="AE5" s="1188"/>
      <c r="AF5" s="1189"/>
      <c r="AG5" s="1176"/>
      <c r="AH5" s="1188"/>
      <c r="AI5" s="1189"/>
      <c r="AJ5" s="1189"/>
      <c r="AK5" s="1176"/>
      <c r="AL5" s="1188"/>
      <c r="AM5" s="1189"/>
      <c r="AN5" s="1189"/>
      <c r="AO5" s="1189"/>
      <c r="AP5" s="1176"/>
      <c r="AQ5" s="1188"/>
      <c r="AR5" s="1176"/>
      <c r="AS5" s="1188"/>
      <c r="AT5" s="1189"/>
      <c r="AU5" s="1176"/>
      <c r="AV5" s="1188"/>
      <c r="AW5" s="1189"/>
      <c r="AX5" s="1350"/>
      <c r="AY5" s="1189"/>
      <c r="AZ5" s="1176"/>
    </row>
    <row r="6" spans="1:52" s="502" customFormat="1" ht="15.75" thickBot="1" x14ac:dyDescent="0.3">
      <c r="A6" s="616"/>
      <c r="B6" s="615"/>
      <c r="C6" s="1159"/>
      <c r="D6" s="1159"/>
      <c r="E6" s="1220"/>
      <c r="F6" s="1228"/>
      <c r="G6" s="1362"/>
      <c r="H6" s="1220"/>
      <c r="I6" s="1228"/>
      <c r="J6" s="1207"/>
      <c r="K6" s="1257"/>
      <c r="L6" s="1207"/>
      <c r="M6" s="1177"/>
      <c r="N6" s="1207"/>
      <c r="O6" s="1177"/>
      <c r="P6" s="1232"/>
      <c r="Q6" s="1232"/>
      <c r="R6" s="1207"/>
      <c r="S6" s="1257"/>
      <c r="T6" s="1257"/>
      <c r="U6" s="1257"/>
      <c r="V6" s="1177"/>
      <c r="W6" s="1207"/>
      <c r="X6" s="1257"/>
      <c r="Y6" s="1257"/>
      <c r="Z6" s="1257"/>
      <c r="AA6" s="1257"/>
      <c r="AB6" s="1177"/>
      <c r="AC6" s="1368"/>
      <c r="AD6" s="1228"/>
      <c r="AE6" s="1207"/>
      <c r="AF6" s="1257"/>
      <c r="AG6" s="1177"/>
      <c r="AH6" s="1207"/>
      <c r="AI6" s="1257"/>
      <c r="AJ6" s="1257"/>
      <c r="AK6" s="1177"/>
      <c r="AL6" s="1207"/>
      <c r="AM6" s="1257"/>
      <c r="AN6" s="1257"/>
      <c r="AO6" s="1257"/>
      <c r="AP6" s="1177"/>
      <c r="AQ6" s="1207"/>
      <c r="AR6" s="1177"/>
      <c r="AS6" s="1207"/>
      <c r="AT6" s="1257"/>
      <c r="AU6" s="1177"/>
      <c r="AV6" s="1207"/>
      <c r="AW6" s="1257"/>
      <c r="AX6" s="1351"/>
      <c r="AY6" s="1257"/>
      <c r="AZ6" s="1177"/>
    </row>
    <row r="7" spans="1:52" s="44" customFormat="1" ht="15.75" customHeight="1" thickBot="1" x14ac:dyDescent="0.3">
      <c r="A7" s="713" t="s">
        <v>550</v>
      </c>
      <c r="B7" s="714" t="s">
        <v>551</v>
      </c>
      <c r="C7" s="305" t="s">
        <v>675</v>
      </c>
      <c r="D7" s="303" t="s">
        <v>676</v>
      </c>
      <c r="E7" s="308" t="s">
        <v>677</v>
      </c>
      <c r="F7" s="309" t="s">
        <v>678</v>
      </c>
      <c r="G7" s="315" t="s">
        <v>679</v>
      </c>
      <c r="H7" s="308" t="s">
        <v>680</v>
      </c>
      <c r="I7" s="309" t="s">
        <v>681</v>
      </c>
      <c r="J7" s="303" t="s">
        <v>682</v>
      </c>
      <c r="K7" s="306" t="s">
        <v>683</v>
      </c>
      <c r="L7" s="303" t="s">
        <v>684</v>
      </c>
      <c r="M7" s="304" t="s">
        <v>685</v>
      </c>
      <c r="N7" s="303" t="s">
        <v>686</v>
      </c>
      <c r="O7" s="304" t="s">
        <v>687</v>
      </c>
      <c r="P7" s="305" t="s">
        <v>688</v>
      </c>
      <c r="Q7" s="303" t="s">
        <v>659</v>
      </c>
      <c r="R7" s="303" t="s">
        <v>724</v>
      </c>
      <c r="S7" s="306" t="s">
        <v>725</v>
      </c>
      <c r="T7" s="306" t="s">
        <v>726</v>
      </c>
      <c r="U7" s="306" t="s">
        <v>727</v>
      </c>
      <c r="V7" s="304" t="s">
        <v>728</v>
      </c>
      <c r="W7" s="303" t="s">
        <v>729</v>
      </c>
      <c r="X7" s="306" t="s">
        <v>730</v>
      </c>
      <c r="Y7" s="306" t="s">
        <v>731</v>
      </c>
      <c r="Z7" s="306" t="s">
        <v>732</v>
      </c>
      <c r="AA7" s="306" t="s">
        <v>733</v>
      </c>
      <c r="AB7" s="304" t="s">
        <v>734</v>
      </c>
      <c r="AC7" s="310" t="s">
        <v>689</v>
      </c>
      <c r="AD7" s="309" t="s">
        <v>690</v>
      </c>
      <c r="AE7" s="303" t="s">
        <v>691</v>
      </c>
      <c r="AF7" s="306" t="s">
        <v>692</v>
      </c>
      <c r="AG7" s="304" t="s">
        <v>693</v>
      </c>
      <c r="AH7" s="306" t="s">
        <v>694</v>
      </c>
      <c r="AI7" s="306" t="s">
        <v>858</v>
      </c>
      <c r="AJ7" s="306" t="s">
        <v>695</v>
      </c>
      <c r="AK7" s="306" t="s">
        <v>877</v>
      </c>
      <c r="AL7" s="303" t="s">
        <v>696</v>
      </c>
      <c r="AM7" s="306" t="s">
        <v>697</v>
      </c>
      <c r="AN7" s="306" t="s">
        <v>698</v>
      </c>
      <c r="AO7" s="306" t="s">
        <v>856</v>
      </c>
      <c r="AP7" s="306" t="s">
        <v>878</v>
      </c>
      <c r="AQ7" s="303" t="s">
        <v>857</v>
      </c>
      <c r="AR7" s="304" t="s">
        <v>699</v>
      </c>
      <c r="AS7" s="306" t="s">
        <v>700</v>
      </c>
      <c r="AT7" s="306" t="s">
        <v>701</v>
      </c>
      <c r="AU7" s="304" t="s">
        <v>702</v>
      </c>
      <c r="AV7" s="306" t="s">
        <v>703</v>
      </c>
      <c r="AW7" s="306" t="s">
        <v>704</v>
      </c>
      <c r="AX7" s="306" t="s">
        <v>705</v>
      </c>
      <c r="AY7" s="306" t="s">
        <v>706</v>
      </c>
      <c r="AZ7" s="304" t="s">
        <v>741</v>
      </c>
    </row>
    <row r="8" spans="1:52" x14ac:dyDescent="0.25">
      <c r="A8" s="161">
        <v>36708</v>
      </c>
      <c r="B8" s="162">
        <v>37072</v>
      </c>
      <c r="C8" s="92">
        <f>AnnualAverage(Childcare_A!$A8,Childcare_A!C$7,ChildcareParms,ChildcareDates,ChildcareNames)</f>
        <v>2.44</v>
      </c>
      <c r="D8" s="851">
        <f>AnnualAverage(Childcare_A!$A8,Childcare_A!D$7,ChildcareParms,ChildcareDates,ChildcareNames)</f>
        <v>0.41</v>
      </c>
      <c r="E8" s="18">
        <f>AnnualAverage(Childcare_A!$A8,Childcare_A!E$7,ChildcareParms,ChildcareDates,ChildcareNames)</f>
        <v>11</v>
      </c>
      <c r="F8" s="60">
        <f>AnnualAverage(Childcare_A!$A8,Childcare_A!F$7,ChildcareParms,ChildcareDates,ChildcareNames)</f>
        <v>32</v>
      </c>
      <c r="G8" s="100">
        <f>AnnualAverage(Childcare_A!$A8,Childcare_A!G$7,ChildcareParms,ChildcareDates,ChildcareNames)</f>
        <v>0.85</v>
      </c>
      <c r="H8" s="18">
        <f>AnnualAverage(Childcare_A!$A8,Childcare_A!H$7,ChildcareParms,ChildcareDates,ChildcareNames)</f>
        <v>28200</v>
      </c>
      <c r="I8" s="60">
        <f>AnnualAverage(Childcare_A!$A8,Childcare_A!I$7,ChildcareParms,ChildcareDates,ChildcareNames)</f>
        <v>66000</v>
      </c>
      <c r="J8" s="58">
        <f>AnnualAverage(Childcare_A!$A8,Childcare_A!J$7,ChildcareParms,ChildcareDates,ChildcareNames)</f>
        <v>0.1</v>
      </c>
      <c r="K8" s="59">
        <f>AnnualAverage(Childcare_A!$A8,Childcare_A!K$7,ChildcareParms,ChildcareDates,ChildcareNames)</f>
        <v>0.15</v>
      </c>
      <c r="L8" s="58">
        <f>AnnualAverage(Childcare_A!$A8,Childcare_A!L$7,ChildcareParms,ChildcareDates,ChildcareNames)</f>
        <v>0.25</v>
      </c>
      <c r="M8" s="57">
        <f>AnnualAverage(Childcare_A!$A8,Childcare_A!M$7,ChildcareParms,ChildcareDates,ChildcareNames)</f>
        <v>0.35</v>
      </c>
      <c r="N8" s="3">
        <f>AnnualAverage(Childcare_A!$A8,Childcare_A!N$7,ChildcareParms,ChildcareDates,ChildcareNames)</f>
        <v>50</v>
      </c>
      <c r="O8" s="4">
        <f>AnnualAverage(Childcare_A!$A8,Childcare_A!O$7,ChildcareParms,ChildcareDates,ChildcareNames)</f>
        <v>24</v>
      </c>
      <c r="P8" s="10">
        <f>AnnualAverage(Childcare_A!$A8,Childcare_A!P$7,ChildcareParms,ChildcareDates,ChildcareNames)</f>
        <v>15</v>
      </c>
      <c r="Q8" s="3">
        <f>AnnualAverage(Childcare_A!$A8,Childcare_A!Q$7,ChildcareParms,ChildcareDates,ChildcareNames)</f>
        <v>5</v>
      </c>
      <c r="R8" s="3">
        <f>AnnualAverage(Childcare_A!$A8,Childcare_A!R$7,ChildcareParms,ChildcareDates,ChildcareNames)</f>
        <v>34</v>
      </c>
      <c r="S8" s="23">
        <f>AnnualAverage(Childcare_A!$A8,Childcare_A!S$7,ChildcareParms,ChildcareDates,ChildcareNames)</f>
        <v>35</v>
      </c>
      <c r="T8" s="23">
        <f>AnnualAverage(Childcare_A!$A8,Childcare_A!T$7,ChildcareParms,ChildcareDates,ChildcareNames)</f>
        <v>36</v>
      </c>
      <c r="U8" s="23">
        <f>AnnualAverage(Childcare_A!$A8,Childcare_A!U$7,ChildcareParms,ChildcareDates,ChildcareNames)</f>
        <v>37</v>
      </c>
      <c r="V8" s="4">
        <f>AnnualAverage(Childcare_A!$A8,Childcare_A!V$7,ChildcareParms,ChildcareDates,ChildcareNames)</f>
        <v>38</v>
      </c>
      <c r="W8" s="286">
        <f>AnnualAverage(Childcare_A!$A8,Childcare_A!W$7,ChildcareParms,ChildcareDates,ChildcareNames)</f>
        <v>1</v>
      </c>
      <c r="X8" s="23">
        <f>AnnualAverage(Childcare_A!$A8,Childcare_A!X$7,ChildcareParms,ChildcareDates,ChildcareNames)</f>
        <v>1.02</v>
      </c>
      <c r="Y8" s="23">
        <f>AnnualAverage(Childcare_A!$A8,Childcare_A!Y$7,ChildcareParms,ChildcareDates,ChildcareNames)</f>
        <v>1.04</v>
      </c>
      <c r="Z8" s="23">
        <f>AnnualAverage(Childcare_A!$A8,Childcare_A!Z$7,ChildcareParms,ChildcareDates,ChildcareNames)</f>
        <v>1.06</v>
      </c>
      <c r="AA8" s="23">
        <f>AnnualAverage(Childcare_A!$A8,Childcare_A!AA$7,ChildcareParms,ChildcareDates,ChildcareNames)</f>
        <v>1.08</v>
      </c>
      <c r="AB8" s="874">
        <f>AnnualAverage(Childcare_A!$A8,Childcare_A!AB$7,ChildcareParms,ChildcareDates,ChildcareNames)</f>
        <v>1.1000000000000001</v>
      </c>
      <c r="AC8" s="58">
        <f>AnnualAverage(Childcare_A!$A8,Childcare_A!AC$7,ChildcareParms,ChildcareDates,ChildcareNames)</f>
        <v>0</v>
      </c>
      <c r="AD8" s="60">
        <f>AnnualAverage(Childcare_A!$A8,Childcare_A!AD$7,ChildcareParms,ChildcareDates,ChildcareNames)</f>
        <v>0</v>
      </c>
      <c r="AE8" s="17"/>
      <c r="AF8" s="19"/>
      <c r="AG8" s="35"/>
      <c r="AH8" s="888"/>
      <c r="AI8" s="888"/>
      <c r="AJ8" s="888"/>
      <c r="AK8" s="888"/>
      <c r="AL8" s="393"/>
      <c r="AM8" s="818"/>
      <c r="AN8" s="818"/>
      <c r="AO8" s="818"/>
      <c r="AP8" s="889"/>
      <c r="AQ8" s="393"/>
      <c r="AR8" s="889"/>
      <c r="AS8" s="775"/>
      <c r="AT8" s="724"/>
      <c r="AU8" s="959"/>
      <c r="AV8" s="780"/>
      <c r="AW8" s="780"/>
      <c r="AX8" s="780"/>
      <c r="AY8" s="780"/>
      <c r="AZ8" s="688"/>
    </row>
    <row r="9" spans="1:52" x14ac:dyDescent="0.25">
      <c r="A9" s="163">
        <v>37073</v>
      </c>
      <c r="B9" s="164">
        <v>37437</v>
      </c>
      <c r="C9" s="93">
        <f>AnnualAverage(Childcare_A!$A9,Childcare_A!C$7,ChildcareParms,ChildcareDates,ChildcareNames)</f>
        <v>2.58</v>
      </c>
      <c r="D9" s="852">
        <f>AnnualAverage(Childcare_A!$A9,Childcare_A!D$7,ChildcareParms,ChildcareDates,ChildcareNames)</f>
        <v>0.434</v>
      </c>
      <c r="E9" s="17">
        <f>AnnualAverage(Childcare_A!$A9,Childcare_A!E$7,ChildcareParms,ChildcareDates,ChildcareNames)</f>
        <v>11.64</v>
      </c>
      <c r="F9" s="35">
        <f>AnnualAverage(Childcare_A!$A9,Childcare_A!F$7,ChildcareParms,ChildcareDates,ChildcareNames)</f>
        <v>33.86</v>
      </c>
      <c r="G9" s="102">
        <f>AnnualAverage(Childcare_A!$A9,Childcare_A!G$7,ChildcareParms,ChildcareDates,ChildcareNames)</f>
        <v>0.85</v>
      </c>
      <c r="H9" s="17">
        <f>AnnualAverage(Childcare_A!$A9,Childcare_A!H$7,ChildcareParms,ChildcareDates,ChildcareNames)</f>
        <v>29857</v>
      </c>
      <c r="I9" s="35">
        <f>AnnualAverage(Childcare_A!$A9,Childcare_A!I$7,ChildcareParms,ChildcareDates,ChildcareNames)</f>
        <v>69828</v>
      </c>
      <c r="J9" s="62">
        <f>AnnualAverage(Childcare_A!$A9,Childcare_A!J$7,ChildcareParms,ChildcareDates,ChildcareNames)</f>
        <v>0.1</v>
      </c>
      <c r="K9" s="63">
        <f>AnnualAverage(Childcare_A!$A9,Childcare_A!K$7,ChildcareParms,ChildcareDates,ChildcareNames)</f>
        <v>0.15</v>
      </c>
      <c r="L9" s="62">
        <f>AnnualAverage(Childcare_A!$A9,Childcare_A!L$7,ChildcareParms,ChildcareDates,ChildcareNames)</f>
        <v>0.25</v>
      </c>
      <c r="M9" s="61">
        <f>AnnualAverage(Childcare_A!$A9,Childcare_A!M$7,ChildcareParms,ChildcareDates,ChildcareNames)</f>
        <v>0.35</v>
      </c>
      <c r="N9" s="2">
        <f>AnnualAverage(Childcare_A!$A9,Childcare_A!N$7,ChildcareParms,ChildcareDates,ChildcareNames)</f>
        <v>50</v>
      </c>
      <c r="O9" s="1">
        <f>AnnualAverage(Childcare_A!$A9,Childcare_A!O$7,ChildcareParms,ChildcareDates,ChildcareNames)</f>
        <v>24</v>
      </c>
      <c r="P9" s="11">
        <f>AnnualAverage(Childcare_A!$A9,Childcare_A!P$7,ChildcareParms,ChildcareDates,ChildcareNames)</f>
        <v>15</v>
      </c>
      <c r="Q9" s="2">
        <f>AnnualAverage(Childcare_A!$A9,Childcare_A!Q$7,ChildcareParms,ChildcareDates,ChildcareNames)</f>
        <v>5</v>
      </c>
      <c r="R9" s="2">
        <f>AnnualAverage(Childcare_A!$A9,Childcare_A!R$7,ChildcareParms,ChildcareDates,ChildcareNames)</f>
        <v>34</v>
      </c>
      <c r="S9" s="27">
        <f>AnnualAverage(Childcare_A!$A9,Childcare_A!S$7,ChildcareParms,ChildcareDates,ChildcareNames)</f>
        <v>35</v>
      </c>
      <c r="T9" s="27">
        <f>AnnualAverage(Childcare_A!$A9,Childcare_A!T$7,ChildcareParms,ChildcareDates,ChildcareNames)</f>
        <v>36</v>
      </c>
      <c r="U9" s="27">
        <f>AnnualAverage(Childcare_A!$A9,Childcare_A!U$7,ChildcareParms,ChildcareDates,ChildcareNames)</f>
        <v>37</v>
      </c>
      <c r="V9" s="1">
        <f>AnnualAverage(Childcare_A!$A9,Childcare_A!V$7,ChildcareParms,ChildcareDates,ChildcareNames)</f>
        <v>38</v>
      </c>
      <c r="W9" s="269">
        <f>AnnualAverage(Childcare_A!$A9,Childcare_A!W$7,ChildcareParms,ChildcareDates,ChildcareNames)</f>
        <v>1</v>
      </c>
      <c r="X9" s="27">
        <f>AnnualAverage(Childcare_A!$A9,Childcare_A!X$7,ChildcareParms,ChildcareDates,ChildcareNames)</f>
        <v>1.02</v>
      </c>
      <c r="Y9" s="27">
        <f>AnnualAverage(Childcare_A!$A9,Childcare_A!Y$7,ChildcareParms,ChildcareDates,ChildcareNames)</f>
        <v>1.04</v>
      </c>
      <c r="Z9" s="27">
        <f>AnnualAverage(Childcare_A!$A9,Childcare_A!Z$7,ChildcareParms,ChildcareDates,ChildcareNames)</f>
        <v>1.06</v>
      </c>
      <c r="AA9" s="27">
        <f>AnnualAverage(Childcare_A!$A9,Childcare_A!AA$7,ChildcareParms,ChildcareDates,ChildcareNames)</f>
        <v>1.08</v>
      </c>
      <c r="AB9" s="876">
        <f>AnnualAverage(Childcare_A!$A9,Childcare_A!AB$7,ChildcareParms,ChildcareDates,ChildcareNames)</f>
        <v>1.1000000000000001</v>
      </c>
      <c r="AC9" s="62">
        <f>AnnualAverage(Childcare_A!$A9,Childcare_A!AC$7,ChildcareParms,ChildcareDates,ChildcareNames)</f>
        <v>0</v>
      </c>
      <c r="AD9" s="35">
        <f>AnnualAverage(Childcare_A!$A9,Childcare_A!AD$7,ChildcareParms,ChildcareDates,ChildcareNames)</f>
        <v>0</v>
      </c>
      <c r="AE9" s="17"/>
      <c r="AF9" s="19"/>
      <c r="AG9" s="35"/>
      <c r="AH9" s="888"/>
      <c r="AI9" s="888"/>
      <c r="AJ9" s="888"/>
      <c r="AK9" s="888"/>
      <c r="AL9" s="393"/>
      <c r="AM9" s="818"/>
      <c r="AN9" s="818"/>
      <c r="AO9" s="818"/>
      <c r="AP9" s="889"/>
      <c r="AQ9" s="393"/>
      <c r="AR9" s="889"/>
      <c r="AS9" s="775"/>
      <c r="AT9" s="724"/>
      <c r="AU9" s="959"/>
      <c r="AV9" s="781"/>
      <c r="AW9" s="781"/>
      <c r="AX9" s="781"/>
      <c r="AY9" s="781"/>
      <c r="AZ9" s="689"/>
    </row>
    <row r="10" spans="1:52" x14ac:dyDescent="0.25">
      <c r="A10" s="163">
        <v>37438</v>
      </c>
      <c r="B10" s="164">
        <v>37802</v>
      </c>
      <c r="C10" s="93">
        <f>AnnualAverage(Childcare_A!$A10,Childcare_A!C$7,ChildcareParms,ChildcareDates,ChildcareNames)</f>
        <v>2.66</v>
      </c>
      <c r="D10" s="852">
        <f>AnnualAverage(Childcare_A!$A10,Childcare_A!D$7,ChildcareParms,ChildcareDates,ChildcareNames)</f>
        <v>0.44700000000000001</v>
      </c>
      <c r="E10" s="17">
        <f>AnnualAverage(Childcare_A!$A10,Childcare_A!E$7,ChildcareParms,ChildcareDates,ChildcareNames)</f>
        <v>12</v>
      </c>
      <c r="F10" s="35">
        <f>AnnualAverage(Childcare_A!$A10,Childcare_A!F$7,ChildcareParms,ChildcareDates,ChildcareNames)</f>
        <v>34.909999999999997</v>
      </c>
      <c r="G10" s="102">
        <f>AnnualAverage(Childcare_A!$A10,Childcare_A!G$7,ChildcareParms,ChildcareDates,ChildcareNames)</f>
        <v>0.85</v>
      </c>
      <c r="H10" s="17">
        <f>AnnualAverage(Childcare_A!$A10,Childcare_A!H$7,ChildcareParms,ChildcareDates,ChildcareNames)</f>
        <v>30806</v>
      </c>
      <c r="I10" s="35">
        <f>AnnualAverage(Childcare_A!$A10,Childcare_A!I$7,ChildcareParms,ChildcareDates,ChildcareNames)</f>
        <v>71993</v>
      </c>
      <c r="J10" s="62">
        <f>AnnualAverage(Childcare_A!$A10,Childcare_A!J$7,ChildcareParms,ChildcareDates,ChildcareNames)</f>
        <v>0.1</v>
      </c>
      <c r="K10" s="63">
        <f>AnnualAverage(Childcare_A!$A10,Childcare_A!K$7,ChildcareParms,ChildcareDates,ChildcareNames)</f>
        <v>0.15</v>
      </c>
      <c r="L10" s="62">
        <f>AnnualAverage(Childcare_A!$A10,Childcare_A!L$7,ChildcareParms,ChildcareDates,ChildcareNames)</f>
        <v>0.25</v>
      </c>
      <c r="M10" s="61">
        <f>AnnualAverage(Childcare_A!$A10,Childcare_A!M$7,ChildcareParms,ChildcareDates,ChildcareNames)</f>
        <v>0.35</v>
      </c>
      <c r="N10" s="2">
        <f>AnnualAverage(Childcare_A!$A10,Childcare_A!N$7,ChildcareParms,ChildcareDates,ChildcareNames)</f>
        <v>50</v>
      </c>
      <c r="O10" s="1">
        <f>AnnualAverage(Childcare_A!$A10,Childcare_A!O$7,ChildcareParms,ChildcareDates,ChildcareNames)</f>
        <v>24</v>
      </c>
      <c r="P10" s="11">
        <f>AnnualAverage(Childcare_A!$A10,Childcare_A!P$7,ChildcareParms,ChildcareDates,ChildcareNames)</f>
        <v>15</v>
      </c>
      <c r="Q10" s="2">
        <f>AnnualAverage(Childcare_A!$A10,Childcare_A!Q$7,ChildcareParms,ChildcareDates,ChildcareNames)</f>
        <v>5</v>
      </c>
      <c r="R10" s="2">
        <f>AnnualAverage(Childcare_A!$A10,Childcare_A!R$7,ChildcareParms,ChildcareDates,ChildcareNames)</f>
        <v>34</v>
      </c>
      <c r="S10" s="27">
        <f>AnnualAverage(Childcare_A!$A10,Childcare_A!S$7,ChildcareParms,ChildcareDates,ChildcareNames)</f>
        <v>35</v>
      </c>
      <c r="T10" s="27">
        <f>AnnualAverage(Childcare_A!$A10,Childcare_A!T$7,ChildcareParms,ChildcareDates,ChildcareNames)</f>
        <v>36</v>
      </c>
      <c r="U10" s="27">
        <f>AnnualAverage(Childcare_A!$A10,Childcare_A!U$7,ChildcareParms,ChildcareDates,ChildcareNames)</f>
        <v>37</v>
      </c>
      <c r="V10" s="1">
        <f>AnnualAverage(Childcare_A!$A10,Childcare_A!V$7,ChildcareParms,ChildcareDates,ChildcareNames)</f>
        <v>38</v>
      </c>
      <c r="W10" s="269">
        <f>AnnualAverage(Childcare_A!$A10,Childcare_A!W$7,ChildcareParms,ChildcareDates,ChildcareNames)</f>
        <v>1</v>
      </c>
      <c r="X10" s="27">
        <f>AnnualAverage(Childcare_A!$A10,Childcare_A!X$7,ChildcareParms,ChildcareDates,ChildcareNames)</f>
        <v>1.02</v>
      </c>
      <c r="Y10" s="27">
        <f>AnnualAverage(Childcare_A!$A10,Childcare_A!Y$7,ChildcareParms,ChildcareDates,ChildcareNames)</f>
        <v>1.04</v>
      </c>
      <c r="Z10" s="27">
        <f>AnnualAverage(Childcare_A!$A10,Childcare_A!Z$7,ChildcareParms,ChildcareDates,ChildcareNames)</f>
        <v>1.06</v>
      </c>
      <c r="AA10" s="27">
        <f>AnnualAverage(Childcare_A!$A10,Childcare_A!AA$7,ChildcareParms,ChildcareDates,ChildcareNames)</f>
        <v>1.08</v>
      </c>
      <c r="AB10" s="876">
        <f>AnnualAverage(Childcare_A!$A10,Childcare_A!AB$7,ChildcareParms,ChildcareDates,ChildcareNames)</f>
        <v>1.1000000000000001</v>
      </c>
      <c r="AC10" s="62">
        <f>AnnualAverage(Childcare_A!$A10,Childcare_A!AC$7,ChildcareParms,ChildcareDates,ChildcareNames)</f>
        <v>0</v>
      </c>
      <c r="AD10" s="35">
        <f>AnnualAverage(Childcare_A!$A10,Childcare_A!AD$7,ChildcareParms,ChildcareDates,ChildcareNames)</f>
        <v>0</v>
      </c>
      <c r="AE10" s="17"/>
      <c r="AF10" s="19"/>
      <c r="AG10" s="35"/>
      <c r="AH10" s="888"/>
      <c r="AI10" s="888"/>
      <c r="AJ10" s="888"/>
      <c r="AK10" s="888"/>
      <c r="AL10" s="393"/>
      <c r="AM10" s="818"/>
      <c r="AN10" s="818"/>
      <c r="AO10" s="818"/>
      <c r="AP10" s="889"/>
      <c r="AQ10" s="393"/>
      <c r="AR10" s="889"/>
      <c r="AS10" s="775"/>
      <c r="AT10" s="724"/>
      <c r="AU10" s="959"/>
      <c r="AV10" s="780"/>
      <c r="AW10" s="780"/>
      <c r="AX10" s="780"/>
      <c r="AY10" s="780"/>
      <c r="AZ10" s="688"/>
    </row>
    <row r="11" spans="1:52" x14ac:dyDescent="0.25">
      <c r="A11" s="163">
        <v>37803</v>
      </c>
      <c r="B11" s="164">
        <v>38168</v>
      </c>
      <c r="C11" s="93">
        <f>AnnualAverage(Childcare_A!$A11,Childcare_A!C$7,ChildcareParms,ChildcareDates,ChildcareNames)</f>
        <v>2.74</v>
      </c>
      <c r="D11" s="852">
        <f>AnnualAverage(Childcare_A!$A11,Childcare_A!D$7,ChildcareParms,ChildcareDates,ChildcareNames)</f>
        <v>0.46</v>
      </c>
      <c r="E11" s="17">
        <f>AnnualAverage(Childcare_A!$A11,Childcare_A!E$7,ChildcareParms,ChildcareDates,ChildcareNames)</f>
        <v>12.36</v>
      </c>
      <c r="F11" s="35">
        <f>AnnualAverage(Childcare_A!$A11,Childcare_A!F$7,ChildcareParms,ChildcareDates,ChildcareNames)</f>
        <v>35.96</v>
      </c>
      <c r="G11" s="102">
        <f>AnnualAverage(Childcare_A!$A11,Childcare_A!G$7,ChildcareParms,ChildcareDates,ChildcareNames)</f>
        <v>0.85</v>
      </c>
      <c r="H11" s="17">
        <f>AnnualAverage(Childcare_A!$A11,Childcare_A!H$7,ChildcareParms,ChildcareDates,ChildcareNames)</f>
        <v>31755</v>
      </c>
      <c r="I11" s="35">
        <f>AnnualAverage(Childcare_A!$A11,Childcare_A!I$7,ChildcareParms,ChildcareDates,ChildcareNames)</f>
        <v>74153</v>
      </c>
      <c r="J11" s="62">
        <f>AnnualAverage(Childcare_A!$A11,Childcare_A!J$7,ChildcareParms,ChildcareDates,ChildcareNames)</f>
        <v>0.1</v>
      </c>
      <c r="K11" s="63">
        <f>AnnualAverage(Childcare_A!$A11,Childcare_A!K$7,ChildcareParms,ChildcareDates,ChildcareNames)</f>
        <v>0.15</v>
      </c>
      <c r="L11" s="62">
        <f>AnnualAverage(Childcare_A!$A11,Childcare_A!L$7,ChildcareParms,ChildcareDates,ChildcareNames)</f>
        <v>0.25</v>
      </c>
      <c r="M11" s="61">
        <f>AnnualAverage(Childcare_A!$A11,Childcare_A!M$7,ChildcareParms,ChildcareDates,ChildcareNames)</f>
        <v>0.35</v>
      </c>
      <c r="N11" s="2">
        <f>AnnualAverage(Childcare_A!$A11,Childcare_A!N$7,ChildcareParms,ChildcareDates,ChildcareNames)</f>
        <v>50</v>
      </c>
      <c r="O11" s="1">
        <f>AnnualAverage(Childcare_A!$A11,Childcare_A!O$7,ChildcareParms,ChildcareDates,ChildcareNames)</f>
        <v>24</v>
      </c>
      <c r="P11" s="11">
        <f>AnnualAverage(Childcare_A!$A11,Childcare_A!P$7,ChildcareParms,ChildcareDates,ChildcareNames)</f>
        <v>15</v>
      </c>
      <c r="Q11" s="2">
        <f>AnnualAverage(Childcare_A!$A11,Childcare_A!Q$7,ChildcareParms,ChildcareDates,ChildcareNames)</f>
        <v>5</v>
      </c>
      <c r="R11" s="2">
        <f>AnnualAverage(Childcare_A!$A11,Childcare_A!R$7,ChildcareParms,ChildcareDates,ChildcareNames)</f>
        <v>34</v>
      </c>
      <c r="S11" s="27">
        <f>AnnualAverage(Childcare_A!$A11,Childcare_A!S$7,ChildcareParms,ChildcareDates,ChildcareNames)</f>
        <v>35</v>
      </c>
      <c r="T11" s="27">
        <f>AnnualAverage(Childcare_A!$A11,Childcare_A!T$7,ChildcareParms,ChildcareDates,ChildcareNames)</f>
        <v>36</v>
      </c>
      <c r="U11" s="27">
        <f>AnnualAverage(Childcare_A!$A11,Childcare_A!U$7,ChildcareParms,ChildcareDates,ChildcareNames)</f>
        <v>37</v>
      </c>
      <c r="V11" s="1">
        <f>AnnualAverage(Childcare_A!$A11,Childcare_A!V$7,ChildcareParms,ChildcareDates,ChildcareNames)</f>
        <v>38</v>
      </c>
      <c r="W11" s="269">
        <f>AnnualAverage(Childcare_A!$A11,Childcare_A!W$7,ChildcareParms,ChildcareDates,ChildcareNames)</f>
        <v>1</v>
      </c>
      <c r="X11" s="27">
        <f>AnnualAverage(Childcare_A!$A11,Childcare_A!X$7,ChildcareParms,ChildcareDates,ChildcareNames)</f>
        <v>1.02</v>
      </c>
      <c r="Y11" s="27">
        <f>AnnualAverage(Childcare_A!$A11,Childcare_A!Y$7,ChildcareParms,ChildcareDates,ChildcareNames)</f>
        <v>1.04</v>
      </c>
      <c r="Z11" s="27">
        <f>AnnualAverage(Childcare_A!$A11,Childcare_A!Z$7,ChildcareParms,ChildcareDates,ChildcareNames)</f>
        <v>1.06</v>
      </c>
      <c r="AA11" s="27">
        <f>AnnualAverage(Childcare_A!$A11,Childcare_A!AA$7,ChildcareParms,ChildcareDates,ChildcareNames)</f>
        <v>1.08</v>
      </c>
      <c r="AB11" s="876">
        <f>AnnualAverage(Childcare_A!$A11,Childcare_A!AB$7,ChildcareParms,ChildcareDates,ChildcareNames)</f>
        <v>1.1000000000000001</v>
      </c>
      <c r="AC11" s="62">
        <f>AnnualAverage(Childcare_A!$A11,Childcare_A!AC$7,ChildcareParms,ChildcareDates,ChildcareNames)</f>
        <v>0</v>
      </c>
      <c r="AD11" s="35">
        <f>AnnualAverage(Childcare_A!$A11,Childcare_A!AD$7,ChildcareParms,ChildcareDates,ChildcareNames)</f>
        <v>0</v>
      </c>
      <c r="AE11" s="17"/>
      <c r="AF11" s="19"/>
      <c r="AG11" s="35"/>
      <c r="AH11" s="888"/>
      <c r="AI11" s="888"/>
      <c r="AJ11" s="888"/>
      <c r="AK11" s="888"/>
      <c r="AL11" s="393"/>
      <c r="AM11" s="818"/>
      <c r="AN11" s="818"/>
      <c r="AO11" s="818"/>
      <c r="AP11" s="889"/>
      <c r="AQ11" s="393"/>
      <c r="AR11" s="889"/>
      <c r="AS11" s="775"/>
      <c r="AT11" s="724"/>
      <c r="AU11" s="959"/>
      <c r="AV11" s="780"/>
      <c r="AW11" s="780"/>
      <c r="AX11" s="780"/>
      <c r="AY11" s="780"/>
      <c r="AZ11" s="688"/>
    </row>
    <row r="12" spans="1:52" x14ac:dyDescent="0.25">
      <c r="A12" s="163">
        <v>38169</v>
      </c>
      <c r="B12" s="164">
        <v>38533</v>
      </c>
      <c r="C12" s="93">
        <f>AnnualAverage(Childcare_A!$A12,Childcare_A!C$7,ChildcareParms,ChildcareDates,ChildcareNames)</f>
        <v>2.81</v>
      </c>
      <c r="D12" s="852">
        <f>AnnualAverage(Childcare_A!$A12,Childcare_A!D$7,ChildcareParms,ChildcareDates,ChildcareNames)</f>
        <v>0.47099999999999997</v>
      </c>
      <c r="E12" s="17">
        <f>AnnualAverage(Childcare_A!$A12,Childcare_A!E$7,ChildcareParms,ChildcareDates,ChildcareNames)</f>
        <v>12.66</v>
      </c>
      <c r="F12" s="35">
        <f>AnnualAverage(Childcare_A!$A12,Childcare_A!F$7,ChildcareParms,ChildcareDates,ChildcareNames)</f>
        <v>36.82</v>
      </c>
      <c r="G12" s="102">
        <f>AnnualAverage(Childcare_A!$A12,Childcare_A!G$7,ChildcareParms,ChildcareDates,ChildcareNames)</f>
        <v>0.85</v>
      </c>
      <c r="H12" s="17">
        <f>AnnualAverage(Childcare_A!$A12,Childcare_A!H$7,ChildcareParms,ChildcareDates,ChildcareNames)</f>
        <v>32485</v>
      </c>
      <c r="I12" s="35">
        <f>AnnualAverage(Childcare_A!$A12,Childcare_A!I$7,ChildcareParms,ChildcareDates,ChildcareNames)</f>
        <v>75933</v>
      </c>
      <c r="J12" s="62">
        <f>AnnualAverage(Childcare_A!$A12,Childcare_A!J$7,ChildcareParms,ChildcareDates,ChildcareNames)</f>
        <v>0.1</v>
      </c>
      <c r="K12" s="63">
        <f>AnnualAverage(Childcare_A!$A12,Childcare_A!K$7,ChildcareParms,ChildcareDates,ChildcareNames)</f>
        <v>0.15</v>
      </c>
      <c r="L12" s="62">
        <f>AnnualAverage(Childcare_A!$A12,Childcare_A!L$7,ChildcareParms,ChildcareDates,ChildcareNames)</f>
        <v>0.25</v>
      </c>
      <c r="M12" s="61">
        <f>AnnualAverage(Childcare_A!$A12,Childcare_A!M$7,ChildcareParms,ChildcareDates,ChildcareNames)</f>
        <v>0.35</v>
      </c>
      <c r="N12" s="2">
        <f>AnnualAverage(Childcare_A!$A12,Childcare_A!N$7,ChildcareParms,ChildcareDates,ChildcareNames)</f>
        <v>50</v>
      </c>
      <c r="O12" s="1">
        <f>AnnualAverage(Childcare_A!$A12,Childcare_A!O$7,ChildcareParms,ChildcareDates,ChildcareNames)</f>
        <v>24</v>
      </c>
      <c r="P12" s="11">
        <f>AnnualAverage(Childcare_A!$A12,Childcare_A!P$7,ChildcareParms,ChildcareDates,ChildcareNames)</f>
        <v>15</v>
      </c>
      <c r="Q12" s="2">
        <f>AnnualAverage(Childcare_A!$A12,Childcare_A!Q$7,ChildcareParms,ChildcareDates,ChildcareNames)</f>
        <v>5</v>
      </c>
      <c r="R12" s="2">
        <f>AnnualAverage(Childcare_A!$A12,Childcare_A!R$7,ChildcareParms,ChildcareDates,ChildcareNames)</f>
        <v>34</v>
      </c>
      <c r="S12" s="27">
        <f>AnnualAverage(Childcare_A!$A12,Childcare_A!S$7,ChildcareParms,ChildcareDates,ChildcareNames)</f>
        <v>35</v>
      </c>
      <c r="T12" s="27">
        <f>AnnualAverage(Childcare_A!$A12,Childcare_A!T$7,ChildcareParms,ChildcareDates,ChildcareNames)</f>
        <v>36</v>
      </c>
      <c r="U12" s="27">
        <f>AnnualAverage(Childcare_A!$A12,Childcare_A!U$7,ChildcareParms,ChildcareDates,ChildcareNames)</f>
        <v>37</v>
      </c>
      <c r="V12" s="1">
        <f>AnnualAverage(Childcare_A!$A12,Childcare_A!V$7,ChildcareParms,ChildcareDates,ChildcareNames)</f>
        <v>38</v>
      </c>
      <c r="W12" s="269">
        <f>AnnualAverage(Childcare_A!$A12,Childcare_A!W$7,ChildcareParms,ChildcareDates,ChildcareNames)</f>
        <v>1</v>
      </c>
      <c r="X12" s="27">
        <f>AnnualAverage(Childcare_A!$A12,Childcare_A!X$7,ChildcareParms,ChildcareDates,ChildcareNames)</f>
        <v>1.02</v>
      </c>
      <c r="Y12" s="27">
        <f>AnnualAverage(Childcare_A!$A12,Childcare_A!Y$7,ChildcareParms,ChildcareDates,ChildcareNames)</f>
        <v>1.04</v>
      </c>
      <c r="Z12" s="27">
        <f>AnnualAverage(Childcare_A!$A12,Childcare_A!Z$7,ChildcareParms,ChildcareDates,ChildcareNames)</f>
        <v>1.06</v>
      </c>
      <c r="AA12" s="27">
        <f>AnnualAverage(Childcare_A!$A12,Childcare_A!AA$7,ChildcareParms,ChildcareDates,ChildcareNames)</f>
        <v>1.08</v>
      </c>
      <c r="AB12" s="876">
        <f>AnnualAverage(Childcare_A!$A12,Childcare_A!AB$7,ChildcareParms,ChildcareDates,ChildcareNames)</f>
        <v>1.1000000000000001</v>
      </c>
      <c r="AC12" s="62">
        <f>AnnualAverage(Childcare_A!$A12,Childcare_A!AC$7,ChildcareParms,ChildcareDates,ChildcareNames)</f>
        <v>0.3</v>
      </c>
      <c r="AD12" s="35">
        <f>AnnualAverage(Childcare_A!$A12,Childcare_A!AD$7,ChildcareParms,ChildcareDates,ChildcareNames)</f>
        <v>4000</v>
      </c>
      <c r="AE12" s="17"/>
      <c r="AF12" s="19"/>
      <c r="AG12" s="35"/>
      <c r="AH12" s="888"/>
      <c r="AI12" s="888"/>
      <c r="AJ12" s="888"/>
      <c r="AK12" s="888"/>
      <c r="AL12" s="393"/>
      <c r="AM12" s="818"/>
      <c r="AN12" s="818"/>
      <c r="AO12" s="818"/>
      <c r="AP12" s="889"/>
      <c r="AQ12" s="393"/>
      <c r="AR12" s="889"/>
      <c r="AS12" s="775"/>
      <c r="AT12" s="724"/>
      <c r="AU12" s="959"/>
      <c r="AV12" s="780"/>
      <c r="AW12" s="780"/>
      <c r="AX12" s="780"/>
      <c r="AY12" s="780"/>
      <c r="AZ12" s="688"/>
    </row>
    <row r="13" spans="1:52" x14ac:dyDescent="0.25">
      <c r="A13" s="163">
        <v>38534</v>
      </c>
      <c r="B13" s="164">
        <v>38898</v>
      </c>
      <c r="C13" s="93">
        <f>AnnualAverage(Childcare_A!$A13,Childcare_A!C$7,ChildcareParms,ChildcareDates,ChildcareNames)</f>
        <v>2.88</v>
      </c>
      <c r="D13" s="852">
        <f>AnnualAverage(Childcare_A!$A13,Childcare_A!D$7,ChildcareParms,ChildcareDates,ChildcareNames)</f>
        <v>0.48299999999999998</v>
      </c>
      <c r="E13" s="17">
        <f>AnnualAverage(Childcare_A!$A13,Childcare_A!E$7,ChildcareParms,ChildcareDates,ChildcareNames)</f>
        <v>12.99</v>
      </c>
      <c r="F13" s="35">
        <f>AnnualAverage(Childcare_A!$A13,Childcare_A!F$7,ChildcareParms,ChildcareDates,ChildcareNames)</f>
        <v>37.78</v>
      </c>
      <c r="G13" s="102">
        <f>AnnualAverage(Childcare_A!$A13,Childcare_A!G$7,ChildcareParms,ChildcareDates,ChildcareNames)</f>
        <v>0.85</v>
      </c>
      <c r="H13" s="17">
        <f>AnnualAverage(Childcare_A!$A13,Childcare_A!H$7,ChildcareParms,ChildcareDates,ChildcareNames)</f>
        <v>33361</v>
      </c>
      <c r="I13" s="35">
        <f>AnnualAverage(Childcare_A!$A13,Childcare_A!I$7,ChildcareParms,ChildcareDates,ChildcareNames)</f>
        <v>77907</v>
      </c>
      <c r="J13" s="62">
        <f>AnnualAverage(Childcare_A!$A13,Childcare_A!J$7,ChildcareParms,ChildcareDates,ChildcareNames)</f>
        <v>0.1</v>
      </c>
      <c r="K13" s="63">
        <f>AnnualAverage(Childcare_A!$A13,Childcare_A!K$7,ChildcareParms,ChildcareDates,ChildcareNames)</f>
        <v>0.15</v>
      </c>
      <c r="L13" s="62">
        <f>AnnualAverage(Childcare_A!$A13,Childcare_A!L$7,ChildcareParms,ChildcareDates,ChildcareNames)</f>
        <v>0.25</v>
      </c>
      <c r="M13" s="61">
        <f>AnnualAverage(Childcare_A!$A13,Childcare_A!M$7,ChildcareParms,ChildcareDates,ChildcareNames)</f>
        <v>0.35</v>
      </c>
      <c r="N13" s="2">
        <f>AnnualAverage(Childcare_A!$A13,Childcare_A!N$7,ChildcareParms,ChildcareDates,ChildcareNames)</f>
        <v>50</v>
      </c>
      <c r="O13" s="1">
        <f>AnnualAverage(Childcare_A!$A13,Childcare_A!O$7,ChildcareParms,ChildcareDates,ChildcareNames)</f>
        <v>24</v>
      </c>
      <c r="P13" s="11">
        <f>AnnualAverage(Childcare_A!$A13,Childcare_A!P$7,ChildcareParms,ChildcareDates,ChildcareNames)</f>
        <v>15</v>
      </c>
      <c r="Q13" s="2">
        <f>AnnualAverage(Childcare_A!$A13,Childcare_A!Q$7,ChildcareParms,ChildcareDates,ChildcareNames)</f>
        <v>5</v>
      </c>
      <c r="R13" s="2">
        <f>AnnualAverage(Childcare_A!$A13,Childcare_A!R$7,ChildcareParms,ChildcareDates,ChildcareNames)</f>
        <v>34</v>
      </c>
      <c r="S13" s="27">
        <f>AnnualAverage(Childcare_A!$A13,Childcare_A!S$7,ChildcareParms,ChildcareDates,ChildcareNames)</f>
        <v>35</v>
      </c>
      <c r="T13" s="27">
        <f>AnnualAverage(Childcare_A!$A13,Childcare_A!T$7,ChildcareParms,ChildcareDates,ChildcareNames)</f>
        <v>36</v>
      </c>
      <c r="U13" s="27">
        <f>AnnualAverage(Childcare_A!$A13,Childcare_A!U$7,ChildcareParms,ChildcareDates,ChildcareNames)</f>
        <v>37</v>
      </c>
      <c r="V13" s="1">
        <f>AnnualAverage(Childcare_A!$A13,Childcare_A!V$7,ChildcareParms,ChildcareDates,ChildcareNames)</f>
        <v>38</v>
      </c>
      <c r="W13" s="269">
        <f>AnnualAverage(Childcare_A!$A13,Childcare_A!W$7,ChildcareParms,ChildcareDates,ChildcareNames)</f>
        <v>1</v>
      </c>
      <c r="X13" s="27">
        <f>AnnualAverage(Childcare_A!$A13,Childcare_A!X$7,ChildcareParms,ChildcareDates,ChildcareNames)</f>
        <v>1.02</v>
      </c>
      <c r="Y13" s="27">
        <f>AnnualAverage(Childcare_A!$A13,Childcare_A!Y$7,ChildcareParms,ChildcareDates,ChildcareNames)</f>
        <v>1.04</v>
      </c>
      <c r="Z13" s="27">
        <f>AnnualAverage(Childcare_A!$A13,Childcare_A!Z$7,ChildcareParms,ChildcareDates,ChildcareNames)</f>
        <v>1.06</v>
      </c>
      <c r="AA13" s="27">
        <f>AnnualAverage(Childcare_A!$A13,Childcare_A!AA$7,ChildcareParms,ChildcareDates,ChildcareNames)</f>
        <v>1.08</v>
      </c>
      <c r="AB13" s="876">
        <f>AnnualAverage(Childcare_A!$A13,Childcare_A!AB$7,ChildcareParms,ChildcareDates,ChildcareNames)</f>
        <v>1.1000000000000001</v>
      </c>
      <c r="AC13" s="62">
        <f>AnnualAverage(Childcare_A!$A13,Childcare_A!AC$7,ChildcareParms,ChildcareDates,ChildcareNames)</f>
        <v>0.3</v>
      </c>
      <c r="AD13" s="35">
        <f>AnnualAverage(Childcare_A!$A13,Childcare_A!AD$7,ChildcareParms,ChildcareDates,ChildcareNames)</f>
        <v>4096</v>
      </c>
      <c r="AE13" s="17"/>
      <c r="AF13" s="19"/>
      <c r="AG13" s="35"/>
      <c r="AH13" s="888"/>
      <c r="AI13" s="888"/>
      <c r="AJ13" s="888"/>
      <c r="AK13" s="888"/>
      <c r="AL13" s="393"/>
      <c r="AM13" s="818"/>
      <c r="AN13" s="818"/>
      <c r="AO13" s="818"/>
      <c r="AP13" s="889"/>
      <c r="AQ13" s="393"/>
      <c r="AR13" s="889"/>
      <c r="AS13" s="775"/>
      <c r="AT13" s="724"/>
      <c r="AU13" s="959"/>
      <c r="AV13" s="780"/>
      <c r="AW13" s="780"/>
      <c r="AX13" s="780"/>
      <c r="AY13" s="780"/>
      <c r="AZ13" s="688"/>
    </row>
    <row r="14" spans="1:52" x14ac:dyDescent="0.25">
      <c r="A14" s="163">
        <v>38899</v>
      </c>
      <c r="B14" s="164">
        <v>39263</v>
      </c>
      <c r="C14" s="93">
        <f>AnnualAverage(Childcare_A!$A14,Childcare_A!C$7,ChildcareParms,ChildcareDates,ChildcareNames)</f>
        <v>2.96</v>
      </c>
      <c r="D14" s="852">
        <f>AnnualAverage(Childcare_A!$A14,Childcare_A!D$7,ChildcareParms,ChildcareDates,ChildcareNames)</f>
        <v>0.497</v>
      </c>
      <c r="E14" s="17">
        <f>AnnualAverage(Childcare_A!$A14,Childcare_A!E$7,ChildcareParms,ChildcareDates,ChildcareNames)</f>
        <v>13.35</v>
      </c>
      <c r="F14" s="35">
        <f>AnnualAverage(Childcare_A!$A14,Childcare_A!F$7,ChildcareParms,ChildcareDates,ChildcareNames)</f>
        <v>38.840000000000003</v>
      </c>
      <c r="G14" s="102">
        <f>AnnualAverage(Childcare_A!$A14,Childcare_A!G$7,ChildcareParms,ChildcareDates,ChildcareNames)</f>
        <v>0.85</v>
      </c>
      <c r="H14" s="17">
        <f>AnnualAverage(Childcare_A!$A14,Childcare_A!H$7,ChildcareParms,ChildcareDates,ChildcareNames)</f>
        <v>34310</v>
      </c>
      <c r="I14" s="35">
        <f>AnnualAverage(Childcare_A!$A14,Childcare_A!I$7,ChildcareParms,ChildcareDates,ChildcareNames)</f>
        <v>80088</v>
      </c>
      <c r="J14" s="62">
        <f>AnnualAverage(Childcare_A!$A14,Childcare_A!J$7,ChildcareParms,ChildcareDates,ChildcareNames)</f>
        <v>0.1</v>
      </c>
      <c r="K14" s="63">
        <f>AnnualAverage(Childcare_A!$A14,Childcare_A!K$7,ChildcareParms,ChildcareDates,ChildcareNames)</f>
        <v>0.15</v>
      </c>
      <c r="L14" s="62">
        <f>AnnualAverage(Childcare_A!$A14,Childcare_A!L$7,ChildcareParms,ChildcareDates,ChildcareNames)</f>
        <v>0.25</v>
      </c>
      <c r="M14" s="61">
        <f>AnnualAverage(Childcare_A!$A14,Childcare_A!M$7,ChildcareParms,ChildcareDates,ChildcareNames)</f>
        <v>0.35</v>
      </c>
      <c r="N14" s="2">
        <f>AnnualAverage(Childcare_A!$A14,Childcare_A!N$7,ChildcareParms,ChildcareDates,ChildcareNames)</f>
        <v>50</v>
      </c>
      <c r="O14" s="1">
        <f>AnnualAverage(Childcare_A!$A14,Childcare_A!O$7,ChildcareParms,ChildcareDates,ChildcareNames)</f>
        <v>24</v>
      </c>
      <c r="P14" s="11">
        <f>AnnualAverage(Childcare_A!$A14,Childcare_A!P$7,ChildcareParms,ChildcareDates,ChildcareNames)</f>
        <v>15</v>
      </c>
      <c r="Q14" s="2">
        <f>AnnualAverage(Childcare_A!$A14,Childcare_A!Q$7,ChildcareParms,ChildcareDates,ChildcareNames)</f>
        <v>5</v>
      </c>
      <c r="R14" s="2">
        <f>AnnualAverage(Childcare_A!$A14,Childcare_A!R$7,ChildcareParms,ChildcareDates,ChildcareNames)</f>
        <v>34</v>
      </c>
      <c r="S14" s="27">
        <f>AnnualAverage(Childcare_A!$A14,Childcare_A!S$7,ChildcareParms,ChildcareDates,ChildcareNames)</f>
        <v>35</v>
      </c>
      <c r="T14" s="27">
        <f>AnnualAverage(Childcare_A!$A14,Childcare_A!T$7,ChildcareParms,ChildcareDates,ChildcareNames)</f>
        <v>36</v>
      </c>
      <c r="U14" s="27">
        <f>AnnualAverage(Childcare_A!$A14,Childcare_A!U$7,ChildcareParms,ChildcareDates,ChildcareNames)</f>
        <v>37</v>
      </c>
      <c r="V14" s="1">
        <f>AnnualAverage(Childcare_A!$A14,Childcare_A!V$7,ChildcareParms,ChildcareDates,ChildcareNames)</f>
        <v>38</v>
      </c>
      <c r="W14" s="269">
        <f>AnnualAverage(Childcare_A!$A14,Childcare_A!W$7,ChildcareParms,ChildcareDates,ChildcareNames)</f>
        <v>1</v>
      </c>
      <c r="X14" s="27">
        <f>AnnualAverage(Childcare_A!$A14,Childcare_A!X$7,ChildcareParms,ChildcareDates,ChildcareNames)</f>
        <v>1.02</v>
      </c>
      <c r="Y14" s="27">
        <f>AnnualAverage(Childcare_A!$A14,Childcare_A!Y$7,ChildcareParms,ChildcareDates,ChildcareNames)</f>
        <v>1.04</v>
      </c>
      <c r="Z14" s="27">
        <f>AnnualAverage(Childcare_A!$A14,Childcare_A!Z$7,ChildcareParms,ChildcareDates,ChildcareNames)</f>
        <v>1.06</v>
      </c>
      <c r="AA14" s="27">
        <f>AnnualAverage(Childcare_A!$A14,Childcare_A!AA$7,ChildcareParms,ChildcareDates,ChildcareNames)</f>
        <v>1.08</v>
      </c>
      <c r="AB14" s="876">
        <f>AnnualAverage(Childcare_A!$A14,Childcare_A!AB$7,ChildcareParms,ChildcareDates,ChildcareNames)</f>
        <v>1.1000000000000001</v>
      </c>
      <c r="AC14" s="62">
        <f>AnnualAverage(Childcare_A!$A14,Childcare_A!AC$7,ChildcareParms,ChildcareDates,ChildcareNames)</f>
        <v>0.3</v>
      </c>
      <c r="AD14" s="35">
        <f>AnnualAverage(Childcare_A!$A14,Childcare_A!AD$7,ChildcareParms,ChildcareDates,ChildcareNames)</f>
        <v>4211</v>
      </c>
      <c r="AE14" s="17"/>
      <c r="AF14" s="19"/>
      <c r="AG14" s="35"/>
      <c r="AH14" s="888"/>
      <c r="AI14" s="888"/>
      <c r="AJ14" s="888"/>
      <c r="AK14" s="888"/>
      <c r="AL14" s="393"/>
      <c r="AM14" s="818"/>
      <c r="AN14" s="818"/>
      <c r="AO14" s="818"/>
      <c r="AP14" s="889"/>
      <c r="AQ14" s="393"/>
      <c r="AR14" s="889"/>
      <c r="AS14" s="775"/>
      <c r="AT14" s="724"/>
      <c r="AU14" s="959"/>
      <c r="AV14" s="780"/>
      <c r="AW14" s="780"/>
      <c r="AX14" s="780"/>
      <c r="AY14" s="780"/>
      <c r="AZ14" s="688"/>
    </row>
    <row r="15" spans="1:52" x14ac:dyDescent="0.25">
      <c r="A15" s="163">
        <v>39264</v>
      </c>
      <c r="B15" s="164">
        <v>39629</v>
      </c>
      <c r="C15" s="93">
        <f>AnnualAverage(Childcare_A!$A15,Childcare_A!C$7,ChildcareParms,ChildcareDates,ChildcareNames)</f>
        <v>3.37</v>
      </c>
      <c r="D15" s="852">
        <f>AnnualAverage(Childcare_A!$A15,Childcare_A!D$7,ChildcareParms,ChildcareDates,ChildcareNames)</f>
        <v>0.56399999999999995</v>
      </c>
      <c r="E15" s="17">
        <f>AnnualAverage(Childcare_A!$A15,Childcare_A!E$7,ChildcareParms,ChildcareDates,ChildcareNames)</f>
        <v>15.17</v>
      </c>
      <c r="F15" s="35">
        <f>AnnualAverage(Childcare_A!$A15,Childcare_A!F$7,ChildcareParms,ChildcareDates,ChildcareNames)</f>
        <v>44.13</v>
      </c>
      <c r="G15" s="102">
        <f>AnnualAverage(Childcare_A!$A15,Childcare_A!G$7,ChildcareParms,ChildcareDates,ChildcareNames)</f>
        <v>0.85</v>
      </c>
      <c r="H15" s="17">
        <f>AnnualAverage(Childcare_A!$A15,Childcare_A!H$7,ChildcareParms,ChildcareDates,ChildcareNames)</f>
        <v>35478</v>
      </c>
      <c r="I15" s="35">
        <f>AnnualAverage(Childcare_A!$A15,Childcare_A!I$7,ChildcareParms,ChildcareDates,ChildcareNames)</f>
        <v>82731</v>
      </c>
      <c r="J15" s="62">
        <f>AnnualAverage(Childcare_A!$A15,Childcare_A!J$7,ChildcareParms,ChildcareDates,ChildcareNames)</f>
        <v>0.1</v>
      </c>
      <c r="K15" s="63">
        <f>AnnualAverage(Childcare_A!$A15,Childcare_A!K$7,ChildcareParms,ChildcareDates,ChildcareNames)</f>
        <v>0.15</v>
      </c>
      <c r="L15" s="62">
        <f>AnnualAverage(Childcare_A!$A15,Childcare_A!L$7,ChildcareParms,ChildcareDates,ChildcareNames)</f>
        <v>0.25</v>
      </c>
      <c r="M15" s="61">
        <f>AnnualAverage(Childcare_A!$A15,Childcare_A!M$7,ChildcareParms,ChildcareDates,ChildcareNames)</f>
        <v>0.35</v>
      </c>
      <c r="N15" s="2">
        <f>AnnualAverage(Childcare_A!$A15,Childcare_A!N$7,ChildcareParms,ChildcareDates,ChildcareNames)</f>
        <v>50</v>
      </c>
      <c r="O15" s="1">
        <f>AnnualAverage(Childcare_A!$A15,Childcare_A!O$7,ChildcareParms,ChildcareDates,ChildcareNames)</f>
        <v>24</v>
      </c>
      <c r="P15" s="11">
        <f>AnnualAverage(Childcare_A!$A15,Childcare_A!P$7,ChildcareParms,ChildcareDates,ChildcareNames)</f>
        <v>15</v>
      </c>
      <c r="Q15" s="2">
        <f>AnnualAverage(Childcare_A!$A15,Childcare_A!Q$7,ChildcareParms,ChildcareDates,ChildcareNames)</f>
        <v>5</v>
      </c>
      <c r="R15" s="2">
        <f>AnnualAverage(Childcare_A!$A15,Childcare_A!R$7,ChildcareParms,ChildcareDates,ChildcareNames)</f>
        <v>34</v>
      </c>
      <c r="S15" s="27">
        <f>AnnualAverage(Childcare_A!$A15,Childcare_A!S$7,ChildcareParms,ChildcareDates,ChildcareNames)</f>
        <v>35</v>
      </c>
      <c r="T15" s="27">
        <f>AnnualAverage(Childcare_A!$A15,Childcare_A!T$7,ChildcareParms,ChildcareDates,ChildcareNames)</f>
        <v>36</v>
      </c>
      <c r="U15" s="27">
        <f>AnnualAverage(Childcare_A!$A15,Childcare_A!U$7,ChildcareParms,ChildcareDates,ChildcareNames)</f>
        <v>37</v>
      </c>
      <c r="V15" s="1">
        <f>AnnualAverage(Childcare_A!$A15,Childcare_A!V$7,ChildcareParms,ChildcareDates,ChildcareNames)</f>
        <v>38</v>
      </c>
      <c r="W15" s="269">
        <f>AnnualAverage(Childcare_A!$A15,Childcare_A!W$7,ChildcareParms,ChildcareDates,ChildcareNames)</f>
        <v>1</v>
      </c>
      <c r="X15" s="27">
        <f>AnnualAverage(Childcare_A!$A15,Childcare_A!X$7,ChildcareParms,ChildcareDates,ChildcareNames)</f>
        <v>1.02</v>
      </c>
      <c r="Y15" s="27">
        <f>AnnualAverage(Childcare_A!$A15,Childcare_A!Y$7,ChildcareParms,ChildcareDates,ChildcareNames)</f>
        <v>1.04</v>
      </c>
      <c r="Z15" s="27">
        <f>AnnualAverage(Childcare_A!$A15,Childcare_A!Z$7,ChildcareParms,ChildcareDates,ChildcareNames)</f>
        <v>1.06</v>
      </c>
      <c r="AA15" s="27">
        <f>AnnualAverage(Childcare_A!$A15,Childcare_A!AA$7,ChildcareParms,ChildcareDates,ChildcareNames)</f>
        <v>1.08</v>
      </c>
      <c r="AB15" s="876">
        <f>AnnualAverage(Childcare_A!$A15,Childcare_A!AB$7,ChildcareParms,ChildcareDates,ChildcareNames)</f>
        <v>1.1000000000000001</v>
      </c>
      <c r="AC15" s="62">
        <f>AnnualAverage(Childcare_A!$A15,Childcare_A!AC$7,ChildcareParms,ChildcareDates,ChildcareNames)</f>
        <v>0.3</v>
      </c>
      <c r="AD15" s="35">
        <f>AnnualAverage(Childcare_A!$A15,Childcare_A!AD$7,ChildcareParms,ChildcareDates,ChildcareNames)</f>
        <v>4354</v>
      </c>
      <c r="AE15" s="17"/>
      <c r="AF15" s="19"/>
      <c r="AG15" s="35"/>
      <c r="AH15" s="888"/>
      <c r="AI15" s="888"/>
      <c r="AJ15" s="888"/>
      <c r="AK15" s="888"/>
      <c r="AL15" s="393"/>
      <c r="AM15" s="818"/>
      <c r="AN15" s="818"/>
      <c r="AO15" s="818"/>
      <c r="AP15" s="889"/>
      <c r="AQ15" s="393"/>
      <c r="AR15" s="889"/>
      <c r="AS15" s="775"/>
      <c r="AT15" s="724"/>
      <c r="AU15" s="959"/>
      <c r="AV15" s="780"/>
      <c r="AW15" s="780"/>
      <c r="AX15" s="780"/>
      <c r="AY15" s="780"/>
      <c r="AZ15" s="688"/>
    </row>
    <row r="16" spans="1:52" x14ac:dyDescent="0.25">
      <c r="A16" s="163">
        <v>39630</v>
      </c>
      <c r="B16" s="164">
        <v>39994</v>
      </c>
      <c r="C16" s="93">
        <f>AnnualAverage(Childcare_A!$A16,Childcare_A!C$7,ChildcareParms,ChildcareDates,ChildcareNames)</f>
        <v>3.47</v>
      </c>
      <c r="D16" s="852">
        <f>AnnualAverage(Childcare_A!$A16,Childcare_A!D$7,ChildcareParms,ChildcareDates,ChildcareNames)</f>
        <v>0.58099999999999996</v>
      </c>
      <c r="E16" s="17">
        <f>AnnualAverage(Childcare_A!$A16,Childcare_A!E$7,ChildcareParms,ChildcareDates,ChildcareNames)</f>
        <v>15.63</v>
      </c>
      <c r="F16" s="35">
        <f>AnnualAverage(Childcare_A!$A16,Childcare_A!F$7,ChildcareParms,ChildcareDates,ChildcareNames)</f>
        <v>45.45</v>
      </c>
      <c r="G16" s="102">
        <f>AnnualAverage(Childcare_A!$A16,Childcare_A!G$7,ChildcareParms,ChildcareDates,ChildcareNames)</f>
        <v>0.85</v>
      </c>
      <c r="H16" s="17">
        <f>AnnualAverage(Childcare_A!$A16,Childcare_A!H$7,ChildcareParms,ChildcareDates,ChildcareNames)</f>
        <v>36573</v>
      </c>
      <c r="I16" s="35">
        <f>AnnualAverage(Childcare_A!$A16,Childcare_A!I$7,ChildcareParms,ChildcareDates,ChildcareNames)</f>
        <v>85213</v>
      </c>
      <c r="J16" s="62">
        <f>AnnualAverage(Childcare_A!$A16,Childcare_A!J$7,ChildcareParms,ChildcareDates,ChildcareNames)</f>
        <v>0.1</v>
      </c>
      <c r="K16" s="63">
        <f>AnnualAverage(Childcare_A!$A16,Childcare_A!K$7,ChildcareParms,ChildcareDates,ChildcareNames)</f>
        <v>0.15</v>
      </c>
      <c r="L16" s="62">
        <f>AnnualAverage(Childcare_A!$A16,Childcare_A!L$7,ChildcareParms,ChildcareDates,ChildcareNames)</f>
        <v>0.25</v>
      </c>
      <c r="M16" s="61">
        <f>AnnualAverage(Childcare_A!$A16,Childcare_A!M$7,ChildcareParms,ChildcareDates,ChildcareNames)</f>
        <v>0.35</v>
      </c>
      <c r="N16" s="2">
        <f>AnnualAverage(Childcare_A!$A16,Childcare_A!N$7,ChildcareParms,ChildcareDates,ChildcareNames)</f>
        <v>50</v>
      </c>
      <c r="O16" s="1">
        <f>AnnualAverage(Childcare_A!$A16,Childcare_A!O$7,ChildcareParms,ChildcareDates,ChildcareNames)</f>
        <v>24</v>
      </c>
      <c r="P16" s="11">
        <f>AnnualAverage(Childcare_A!$A16,Childcare_A!P$7,ChildcareParms,ChildcareDates,ChildcareNames)</f>
        <v>15</v>
      </c>
      <c r="Q16" s="2">
        <f>AnnualAverage(Childcare_A!$A16,Childcare_A!Q$7,ChildcareParms,ChildcareDates,ChildcareNames)</f>
        <v>5</v>
      </c>
      <c r="R16" s="2">
        <f>AnnualAverage(Childcare_A!$A16,Childcare_A!R$7,ChildcareParms,ChildcareDates,ChildcareNames)</f>
        <v>34</v>
      </c>
      <c r="S16" s="27">
        <f>AnnualAverage(Childcare_A!$A16,Childcare_A!S$7,ChildcareParms,ChildcareDates,ChildcareNames)</f>
        <v>35</v>
      </c>
      <c r="T16" s="27">
        <f>AnnualAverage(Childcare_A!$A16,Childcare_A!T$7,ChildcareParms,ChildcareDates,ChildcareNames)</f>
        <v>36</v>
      </c>
      <c r="U16" s="27">
        <f>AnnualAverage(Childcare_A!$A16,Childcare_A!U$7,ChildcareParms,ChildcareDates,ChildcareNames)</f>
        <v>37</v>
      </c>
      <c r="V16" s="1">
        <f>AnnualAverage(Childcare_A!$A16,Childcare_A!V$7,ChildcareParms,ChildcareDates,ChildcareNames)</f>
        <v>38</v>
      </c>
      <c r="W16" s="269">
        <f>AnnualAverage(Childcare_A!$A16,Childcare_A!W$7,ChildcareParms,ChildcareDates,ChildcareNames)</f>
        <v>1</v>
      </c>
      <c r="X16" s="27">
        <f>AnnualAverage(Childcare_A!$A16,Childcare_A!X$7,ChildcareParms,ChildcareDates,ChildcareNames)</f>
        <v>1.02</v>
      </c>
      <c r="Y16" s="27">
        <f>AnnualAverage(Childcare_A!$A16,Childcare_A!Y$7,ChildcareParms,ChildcareDates,ChildcareNames)</f>
        <v>1.04</v>
      </c>
      <c r="Z16" s="27">
        <f>AnnualAverage(Childcare_A!$A16,Childcare_A!Z$7,ChildcareParms,ChildcareDates,ChildcareNames)</f>
        <v>1.06</v>
      </c>
      <c r="AA16" s="27">
        <f>AnnualAverage(Childcare_A!$A16,Childcare_A!AA$7,ChildcareParms,ChildcareDates,ChildcareNames)</f>
        <v>1.08</v>
      </c>
      <c r="AB16" s="876">
        <f>AnnualAverage(Childcare_A!$A16,Childcare_A!AB$7,ChildcareParms,ChildcareDates,ChildcareNames)</f>
        <v>1.1000000000000001</v>
      </c>
      <c r="AC16" s="62">
        <f>AnnualAverage(Childcare_A!$A16,Childcare_A!AC$7,ChildcareParms,ChildcareDates,ChildcareNames)</f>
        <v>0.5</v>
      </c>
      <c r="AD16" s="35">
        <f>AnnualAverage(Childcare_A!$A16,Childcare_A!AD$7,ChildcareParms,ChildcareDates,ChildcareNames)</f>
        <v>7500</v>
      </c>
      <c r="AE16" s="17"/>
      <c r="AF16" s="19"/>
      <c r="AG16" s="35"/>
      <c r="AH16" s="888"/>
      <c r="AI16" s="888"/>
      <c r="AJ16" s="888"/>
      <c r="AK16" s="888"/>
      <c r="AL16" s="393"/>
      <c r="AM16" s="818"/>
      <c r="AN16" s="818"/>
      <c r="AO16" s="818"/>
      <c r="AP16" s="889"/>
      <c r="AQ16" s="393"/>
      <c r="AR16" s="889"/>
      <c r="AS16" s="775"/>
      <c r="AT16" s="724"/>
      <c r="AU16" s="959"/>
      <c r="AV16" s="780"/>
      <c r="AW16" s="780"/>
      <c r="AX16" s="780"/>
      <c r="AY16" s="780"/>
      <c r="AZ16" s="688"/>
    </row>
    <row r="17" spans="1:52" x14ac:dyDescent="0.25">
      <c r="A17" s="163">
        <v>39995</v>
      </c>
      <c r="B17" s="164">
        <v>40359</v>
      </c>
      <c r="C17" s="93">
        <f>AnnualAverage(Childcare_A!$A17,Childcare_A!C$7,ChildcareParms,ChildcareDates,ChildcareNames)</f>
        <v>3.6</v>
      </c>
      <c r="D17" s="852">
        <f>AnnualAverage(Childcare_A!$A17,Childcare_A!D$7,ChildcareParms,ChildcareDates,ChildcareNames)</f>
        <v>0.60199999999999998</v>
      </c>
      <c r="E17" s="17">
        <f>AnnualAverage(Childcare_A!$A17,Childcare_A!E$7,ChildcareParms,ChildcareDates,ChildcareNames)</f>
        <v>16.21</v>
      </c>
      <c r="F17" s="35">
        <f>AnnualAverage(Childcare_A!$A17,Childcare_A!F$7,ChildcareParms,ChildcareDates,ChildcareNames)</f>
        <v>47.13</v>
      </c>
      <c r="G17" s="102">
        <f>AnnualAverage(Childcare_A!$A17,Childcare_A!G$7,ChildcareParms,ChildcareDates,ChildcareNames)</f>
        <v>0.85</v>
      </c>
      <c r="H17" s="17">
        <f>AnnualAverage(Childcare_A!$A17,Childcare_A!H$7,ChildcareParms,ChildcareDates,ChildcareNames)</f>
        <v>37960</v>
      </c>
      <c r="I17" s="35">
        <f>AnnualAverage(Childcare_A!$A17,Childcare_A!I$7,ChildcareParms,ChildcareDates,ChildcareNames)</f>
        <v>88366</v>
      </c>
      <c r="J17" s="62">
        <f>AnnualAverage(Childcare_A!$A17,Childcare_A!J$7,ChildcareParms,ChildcareDates,ChildcareNames)</f>
        <v>0.1</v>
      </c>
      <c r="K17" s="63">
        <f>AnnualAverage(Childcare_A!$A17,Childcare_A!K$7,ChildcareParms,ChildcareDates,ChildcareNames)</f>
        <v>0.15</v>
      </c>
      <c r="L17" s="62">
        <f>AnnualAverage(Childcare_A!$A17,Childcare_A!L$7,ChildcareParms,ChildcareDates,ChildcareNames)</f>
        <v>0.25</v>
      </c>
      <c r="M17" s="61">
        <f>AnnualAverage(Childcare_A!$A17,Childcare_A!M$7,ChildcareParms,ChildcareDates,ChildcareNames)</f>
        <v>0.35</v>
      </c>
      <c r="N17" s="2">
        <f>AnnualAverage(Childcare_A!$A17,Childcare_A!N$7,ChildcareParms,ChildcareDates,ChildcareNames)</f>
        <v>50</v>
      </c>
      <c r="O17" s="1">
        <f>AnnualAverage(Childcare_A!$A17,Childcare_A!O$7,ChildcareParms,ChildcareDates,ChildcareNames)</f>
        <v>24</v>
      </c>
      <c r="P17" s="11">
        <f>AnnualAverage(Childcare_A!$A17,Childcare_A!P$7,ChildcareParms,ChildcareDates,ChildcareNames)</f>
        <v>15</v>
      </c>
      <c r="Q17" s="2">
        <f>AnnualAverage(Childcare_A!$A17,Childcare_A!Q$7,ChildcareParms,ChildcareDates,ChildcareNames)</f>
        <v>5</v>
      </c>
      <c r="R17" s="2">
        <f>AnnualAverage(Childcare_A!$A17,Childcare_A!R$7,ChildcareParms,ChildcareDates,ChildcareNames)</f>
        <v>34</v>
      </c>
      <c r="S17" s="27">
        <f>AnnualAverage(Childcare_A!$A17,Childcare_A!S$7,ChildcareParms,ChildcareDates,ChildcareNames)</f>
        <v>35</v>
      </c>
      <c r="T17" s="27">
        <f>AnnualAverage(Childcare_A!$A17,Childcare_A!T$7,ChildcareParms,ChildcareDates,ChildcareNames)</f>
        <v>36</v>
      </c>
      <c r="U17" s="27">
        <f>AnnualAverage(Childcare_A!$A17,Childcare_A!U$7,ChildcareParms,ChildcareDates,ChildcareNames)</f>
        <v>37</v>
      </c>
      <c r="V17" s="1">
        <f>AnnualAverage(Childcare_A!$A17,Childcare_A!V$7,ChildcareParms,ChildcareDates,ChildcareNames)</f>
        <v>38</v>
      </c>
      <c r="W17" s="269">
        <f>AnnualAverage(Childcare_A!$A17,Childcare_A!W$7,ChildcareParms,ChildcareDates,ChildcareNames)</f>
        <v>1</v>
      </c>
      <c r="X17" s="27">
        <f>AnnualAverage(Childcare_A!$A17,Childcare_A!X$7,ChildcareParms,ChildcareDates,ChildcareNames)</f>
        <v>1.02</v>
      </c>
      <c r="Y17" s="27">
        <f>AnnualAverage(Childcare_A!$A17,Childcare_A!Y$7,ChildcareParms,ChildcareDates,ChildcareNames)</f>
        <v>1.04</v>
      </c>
      <c r="Z17" s="27">
        <f>AnnualAverage(Childcare_A!$A17,Childcare_A!Z$7,ChildcareParms,ChildcareDates,ChildcareNames)</f>
        <v>1.06</v>
      </c>
      <c r="AA17" s="27">
        <f>AnnualAverage(Childcare_A!$A17,Childcare_A!AA$7,ChildcareParms,ChildcareDates,ChildcareNames)</f>
        <v>1.08</v>
      </c>
      <c r="AB17" s="876">
        <f>AnnualAverage(Childcare_A!$A17,Childcare_A!AB$7,ChildcareParms,ChildcareDates,ChildcareNames)</f>
        <v>1.1000000000000001</v>
      </c>
      <c r="AC17" s="62">
        <f>AnnualAverage(Childcare_A!$A17,Childcare_A!AC$7,ChildcareParms,ChildcareDates,ChildcareNames)</f>
        <v>0.5</v>
      </c>
      <c r="AD17" s="35">
        <f>AnnualAverage(Childcare_A!$A17,Childcare_A!AD$7,ChildcareParms,ChildcareDates,ChildcareNames)</f>
        <v>7778</v>
      </c>
      <c r="AE17" s="17"/>
      <c r="AF17" s="19"/>
      <c r="AG17" s="35"/>
      <c r="AH17" s="888"/>
      <c r="AI17" s="888"/>
      <c r="AJ17" s="888"/>
      <c r="AK17" s="888"/>
      <c r="AL17" s="393"/>
      <c r="AM17" s="818"/>
      <c r="AN17" s="818"/>
      <c r="AO17" s="818"/>
      <c r="AP17" s="889"/>
      <c r="AQ17" s="393"/>
      <c r="AR17" s="889"/>
      <c r="AS17" s="775"/>
      <c r="AT17" s="724"/>
      <c r="AU17" s="959"/>
      <c r="AV17" s="780"/>
      <c r="AW17" s="780"/>
      <c r="AX17" s="780"/>
      <c r="AY17" s="780"/>
      <c r="AZ17" s="688"/>
    </row>
    <row r="18" spans="1:52" x14ac:dyDescent="0.25">
      <c r="A18" s="163">
        <v>40360</v>
      </c>
      <c r="B18" s="164">
        <v>40724</v>
      </c>
      <c r="C18" s="93">
        <f>AnnualAverage(Childcare_A!$A18,Childcare_A!C$7,ChildcareParms,ChildcareDates,ChildcareNames)</f>
        <v>3.68</v>
      </c>
      <c r="D18" s="852">
        <f>AnnualAverage(Childcare_A!$A18,Childcare_A!D$7,ChildcareParms,ChildcareDates,ChildcareNames)</f>
        <v>0.61499999999999999</v>
      </c>
      <c r="E18" s="17">
        <f>AnnualAverage(Childcare_A!$A18,Childcare_A!E$7,ChildcareParms,ChildcareDates,ChildcareNames)</f>
        <v>16.55</v>
      </c>
      <c r="F18" s="35">
        <f>AnnualAverage(Childcare_A!$A18,Childcare_A!F$7,ChildcareParms,ChildcareDates,ChildcareNames)</f>
        <v>48.12</v>
      </c>
      <c r="G18" s="102">
        <f>AnnualAverage(Childcare_A!$A18,Childcare_A!G$7,ChildcareParms,ChildcareDates,ChildcareNames)</f>
        <v>0.85</v>
      </c>
      <c r="H18" s="17">
        <f>AnnualAverage(Childcare_A!$A18,Childcare_A!H$7,ChildcareParms,ChildcareDates,ChildcareNames)</f>
        <v>38763</v>
      </c>
      <c r="I18" s="35">
        <f>AnnualAverage(Childcare_A!$A18,Childcare_A!I$7,ChildcareParms,ChildcareDates,ChildcareNames)</f>
        <v>90222</v>
      </c>
      <c r="J18" s="62">
        <f>AnnualAverage(Childcare_A!$A18,Childcare_A!J$7,ChildcareParms,ChildcareDates,ChildcareNames)</f>
        <v>0.1</v>
      </c>
      <c r="K18" s="63">
        <f>AnnualAverage(Childcare_A!$A18,Childcare_A!K$7,ChildcareParms,ChildcareDates,ChildcareNames)</f>
        <v>0.15</v>
      </c>
      <c r="L18" s="62">
        <f>AnnualAverage(Childcare_A!$A18,Childcare_A!L$7,ChildcareParms,ChildcareDates,ChildcareNames)</f>
        <v>0.25</v>
      </c>
      <c r="M18" s="61">
        <f>AnnualAverage(Childcare_A!$A18,Childcare_A!M$7,ChildcareParms,ChildcareDates,ChildcareNames)</f>
        <v>0.35</v>
      </c>
      <c r="N18" s="2">
        <f>AnnualAverage(Childcare_A!$A18,Childcare_A!N$7,ChildcareParms,ChildcareDates,ChildcareNames)</f>
        <v>50</v>
      </c>
      <c r="O18" s="1">
        <f>AnnualAverage(Childcare_A!$A18,Childcare_A!O$7,ChildcareParms,ChildcareDates,ChildcareNames)</f>
        <v>24</v>
      </c>
      <c r="P18" s="11">
        <f>AnnualAverage(Childcare_A!$A18,Childcare_A!P$7,ChildcareParms,ChildcareDates,ChildcareNames)</f>
        <v>15</v>
      </c>
      <c r="Q18" s="2">
        <f>AnnualAverage(Childcare_A!$A18,Childcare_A!Q$7,ChildcareParms,ChildcareDates,ChildcareNames)</f>
        <v>5</v>
      </c>
      <c r="R18" s="2">
        <f>AnnualAverage(Childcare_A!$A18,Childcare_A!R$7,ChildcareParms,ChildcareDates,ChildcareNames)</f>
        <v>34</v>
      </c>
      <c r="S18" s="27">
        <f>AnnualAverage(Childcare_A!$A18,Childcare_A!S$7,ChildcareParms,ChildcareDates,ChildcareNames)</f>
        <v>35</v>
      </c>
      <c r="T18" s="27">
        <f>AnnualAverage(Childcare_A!$A18,Childcare_A!T$7,ChildcareParms,ChildcareDates,ChildcareNames)</f>
        <v>36</v>
      </c>
      <c r="U18" s="27">
        <f>AnnualAverage(Childcare_A!$A18,Childcare_A!U$7,ChildcareParms,ChildcareDates,ChildcareNames)</f>
        <v>37</v>
      </c>
      <c r="V18" s="1">
        <f>AnnualAverage(Childcare_A!$A18,Childcare_A!V$7,ChildcareParms,ChildcareDates,ChildcareNames)</f>
        <v>38</v>
      </c>
      <c r="W18" s="269">
        <f>AnnualAverage(Childcare_A!$A18,Childcare_A!W$7,ChildcareParms,ChildcareDates,ChildcareNames)</f>
        <v>1</v>
      </c>
      <c r="X18" s="27">
        <f>AnnualAverage(Childcare_A!$A18,Childcare_A!X$7,ChildcareParms,ChildcareDates,ChildcareNames)</f>
        <v>1.02</v>
      </c>
      <c r="Y18" s="27">
        <f>AnnualAverage(Childcare_A!$A18,Childcare_A!Y$7,ChildcareParms,ChildcareDates,ChildcareNames)</f>
        <v>1.04</v>
      </c>
      <c r="Z18" s="27">
        <f>AnnualAverage(Childcare_A!$A18,Childcare_A!Z$7,ChildcareParms,ChildcareDates,ChildcareNames)</f>
        <v>1.06</v>
      </c>
      <c r="AA18" s="27">
        <f>AnnualAverage(Childcare_A!$A18,Childcare_A!AA$7,ChildcareParms,ChildcareDates,ChildcareNames)</f>
        <v>1.08</v>
      </c>
      <c r="AB18" s="876">
        <f>AnnualAverage(Childcare_A!$A18,Childcare_A!AB$7,ChildcareParms,ChildcareDates,ChildcareNames)</f>
        <v>1.1000000000000001</v>
      </c>
      <c r="AC18" s="62">
        <f>AnnualAverage(Childcare_A!$A18,Childcare_A!AC$7,ChildcareParms,ChildcareDates,ChildcareNames)</f>
        <v>0.5</v>
      </c>
      <c r="AD18" s="35">
        <f>AnnualAverage(Childcare_A!$A18,Childcare_A!AD$7,ChildcareParms,ChildcareDates,ChildcareNames)</f>
        <v>7941</v>
      </c>
      <c r="AE18" s="17"/>
      <c r="AF18" s="19"/>
      <c r="AG18" s="35"/>
      <c r="AH18" s="888"/>
      <c r="AI18" s="888"/>
      <c r="AJ18" s="888"/>
      <c r="AK18" s="888"/>
      <c r="AL18" s="393"/>
      <c r="AM18" s="818"/>
      <c r="AN18" s="818"/>
      <c r="AO18" s="818"/>
      <c r="AP18" s="889"/>
      <c r="AQ18" s="393"/>
      <c r="AR18" s="889"/>
      <c r="AS18" s="775"/>
      <c r="AT18" s="724"/>
      <c r="AU18" s="959"/>
      <c r="AV18" s="780"/>
      <c r="AW18" s="780"/>
      <c r="AX18" s="780"/>
      <c r="AY18" s="780"/>
      <c r="AZ18" s="688"/>
    </row>
    <row r="19" spans="1:52" x14ac:dyDescent="0.25">
      <c r="A19" s="163">
        <v>40725</v>
      </c>
      <c r="B19" s="164">
        <v>41090</v>
      </c>
      <c r="C19" s="93">
        <f>AnnualAverage(Childcare_A!$A19,Childcare_A!C$7,ChildcareParms,ChildcareDates,ChildcareNames)</f>
        <v>3.78</v>
      </c>
      <c r="D19" s="852">
        <f>AnnualAverage(Childcare_A!$A19,Childcare_A!D$7,ChildcareParms,ChildcareDates,ChildcareNames)</f>
        <v>0.63200000000000001</v>
      </c>
      <c r="E19" s="17">
        <f>AnnualAverage(Childcare_A!$A19,Childcare_A!E$7,ChildcareParms,ChildcareDates,ChildcareNames)</f>
        <v>17</v>
      </c>
      <c r="F19" s="35">
        <f>AnnualAverage(Childcare_A!$A19,Childcare_A!F$7,ChildcareParms,ChildcareDates,ChildcareNames)</f>
        <v>49.42</v>
      </c>
      <c r="G19" s="102">
        <f>AnnualAverage(Childcare_A!$A19,Childcare_A!G$7,ChildcareParms,ChildcareDates,ChildcareNames)</f>
        <v>0.85</v>
      </c>
      <c r="H19" s="17">
        <f>AnnualAverage(Childcare_A!$A19,Childcare_A!H$7,ChildcareParms,ChildcareDates,ChildcareNames)</f>
        <v>39785</v>
      </c>
      <c r="I19" s="35">
        <f>AnnualAverage(Childcare_A!$A19,Childcare_A!I$7,ChildcareParms,ChildcareDates,ChildcareNames)</f>
        <v>92658</v>
      </c>
      <c r="J19" s="62">
        <f>AnnualAverage(Childcare_A!$A19,Childcare_A!J$7,ChildcareParms,ChildcareDates,ChildcareNames)</f>
        <v>0.1</v>
      </c>
      <c r="K19" s="63">
        <f>AnnualAverage(Childcare_A!$A19,Childcare_A!K$7,ChildcareParms,ChildcareDates,ChildcareNames)</f>
        <v>0.15</v>
      </c>
      <c r="L19" s="62">
        <f>AnnualAverage(Childcare_A!$A19,Childcare_A!L$7,ChildcareParms,ChildcareDates,ChildcareNames)</f>
        <v>0.25</v>
      </c>
      <c r="M19" s="61">
        <f>AnnualAverage(Childcare_A!$A19,Childcare_A!M$7,ChildcareParms,ChildcareDates,ChildcareNames)</f>
        <v>0.35</v>
      </c>
      <c r="N19" s="2">
        <f>AnnualAverage(Childcare_A!$A19,Childcare_A!N$7,ChildcareParms,ChildcareDates,ChildcareNames)</f>
        <v>50</v>
      </c>
      <c r="O19" s="1">
        <f>AnnualAverage(Childcare_A!$A19,Childcare_A!O$7,ChildcareParms,ChildcareDates,ChildcareNames)</f>
        <v>24</v>
      </c>
      <c r="P19" s="11">
        <f>AnnualAverage(Childcare_A!$A19,Childcare_A!P$7,ChildcareParms,ChildcareDates,ChildcareNames)</f>
        <v>15</v>
      </c>
      <c r="Q19" s="2">
        <f>AnnualAverage(Childcare_A!$A19,Childcare_A!Q$7,ChildcareParms,ChildcareDates,ChildcareNames)</f>
        <v>5</v>
      </c>
      <c r="R19" s="2">
        <f>AnnualAverage(Childcare_A!$A19,Childcare_A!R$7,ChildcareParms,ChildcareDates,ChildcareNames)</f>
        <v>34</v>
      </c>
      <c r="S19" s="27">
        <f>AnnualAverage(Childcare_A!$A19,Childcare_A!S$7,ChildcareParms,ChildcareDates,ChildcareNames)</f>
        <v>35</v>
      </c>
      <c r="T19" s="27">
        <f>AnnualAverage(Childcare_A!$A19,Childcare_A!T$7,ChildcareParms,ChildcareDates,ChildcareNames)</f>
        <v>36</v>
      </c>
      <c r="U19" s="27">
        <f>AnnualAverage(Childcare_A!$A19,Childcare_A!U$7,ChildcareParms,ChildcareDates,ChildcareNames)</f>
        <v>37</v>
      </c>
      <c r="V19" s="1">
        <f>AnnualAverage(Childcare_A!$A19,Childcare_A!V$7,ChildcareParms,ChildcareDates,ChildcareNames)</f>
        <v>38</v>
      </c>
      <c r="W19" s="269">
        <f>AnnualAverage(Childcare_A!$A19,Childcare_A!W$7,ChildcareParms,ChildcareDates,ChildcareNames)</f>
        <v>1</v>
      </c>
      <c r="X19" s="27">
        <f>AnnualAverage(Childcare_A!$A19,Childcare_A!X$7,ChildcareParms,ChildcareDates,ChildcareNames)</f>
        <v>1.02</v>
      </c>
      <c r="Y19" s="27">
        <f>AnnualAverage(Childcare_A!$A19,Childcare_A!Y$7,ChildcareParms,ChildcareDates,ChildcareNames)</f>
        <v>1.04</v>
      </c>
      <c r="Z19" s="27">
        <f>AnnualAverage(Childcare_A!$A19,Childcare_A!Z$7,ChildcareParms,ChildcareDates,ChildcareNames)</f>
        <v>1.06</v>
      </c>
      <c r="AA19" s="27">
        <f>AnnualAverage(Childcare_A!$A19,Childcare_A!AA$7,ChildcareParms,ChildcareDates,ChildcareNames)</f>
        <v>1.08</v>
      </c>
      <c r="AB19" s="876">
        <f>AnnualAverage(Childcare_A!$A19,Childcare_A!AB$7,ChildcareParms,ChildcareDates,ChildcareNames)</f>
        <v>1.1000000000000001</v>
      </c>
      <c r="AC19" s="62">
        <f>AnnualAverage(Childcare_A!$A19,Childcare_A!AC$7,ChildcareParms,ChildcareDates,ChildcareNames)</f>
        <v>0.5</v>
      </c>
      <c r="AD19" s="35">
        <f>AnnualAverage(Childcare_A!$A19,Childcare_A!AD$7,ChildcareParms,ChildcareDates,ChildcareNames)</f>
        <v>7500</v>
      </c>
      <c r="AE19" s="17"/>
      <c r="AF19" s="19"/>
      <c r="AG19" s="35"/>
      <c r="AH19" s="888"/>
      <c r="AI19" s="888"/>
      <c r="AJ19" s="888"/>
      <c r="AK19" s="888"/>
      <c r="AL19" s="393"/>
      <c r="AM19" s="818"/>
      <c r="AN19" s="818"/>
      <c r="AO19" s="818"/>
      <c r="AP19" s="889"/>
      <c r="AQ19" s="393"/>
      <c r="AR19" s="889"/>
      <c r="AS19" s="775"/>
      <c r="AT19" s="724"/>
      <c r="AU19" s="959"/>
      <c r="AV19" s="780"/>
      <c r="AW19" s="780"/>
      <c r="AX19" s="780"/>
      <c r="AY19" s="780"/>
      <c r="AZ19" s="688"/>
    </row>
    <row r="20" spans="1:52" s="5" customFormat="1" x14ac:dyDescent="0.25">
      <c r="A20" s="496">
        <v>41091</v>
      </c>
      <c r="B20" s="497">
        <v>41455</v>
      </c>
      <c r="C20" s="373">
        <f>AnnualAverage(Childcare_A!$A20,Childcare_A!C$7,ChildcareParms,ChildcareDates,ChildcareNames)</f>
        <v>3.9</v>
      </c>
      <c r="D20" s="853">
        <f>AnnualAverage(Childcare_A!$A20,Childcare_A!D$7,ChildcareParms,ChildcareDates,ChildcareNames)</f>
        <v>0.65200000000000002</v>
      </c>
      <c r="E20" s="375">
        <f>AnnualAverage(Childcare_A!$A20,Childcare_A!E$7,ChildcareParms,ChildcareDates,ChildcareNames)</f>
        <v>17.53</v>
      </c>
      <c r="F20" s="374">
        <f>AnnualAverage(Childcare_A!$A20,Childcare_A!F$7,ChildcareParms,ChildcareDates,ChildcareNames)</f>
        <v>50.95</v>
      </c>
      <c r="G20" s="376">
        <f>AnnualAverage(Childcare_A!$A20,Childcare_A!G$7,ChildcareParms,ChildcareDates,ChildcareNames)</f>
        <v>0.85</v>
      </c>
      <c r="H20" s="375">
        <f>AnnualAverage(Childcare_A!$A20,Childcare_A!H$7,ChildcareParms,ChildcareDates,ChildcareNames)</f>
        <v>41026</v>
      </c>
      <c r="I20" s="374">
        <f>AnnualAverage(Childcare_A!$A20,Childcare_A!I$7,ChildcareParms,ChildcareDates,ChildcareNames)</f>
        <v>95530</v>
      </c>
      <c r="J20" s="403">
        <f>AnnualAverage(Childcare_A!$A20,Childcare_A!J$7,ChildcareParms,ChildcareDates,ChildcareNames)</f>
        <v>0.1</v>
      </c>
      <c r="K20" s="404">
        <f>AnnualAverage(Childcare_A!$A20,Childcare_A!K$7,ChildcareParms,ChildcareDates,ChildcareNames)</f>
        <v>0.15</v>
      </c>
      <c r="L20" s="403">
        <f>AnnualAverage(Childcare_A!$A20,Childcare_A!L$7,ChildcareParms,ChildcareDates,ChildcareNames)</f>
        <v>0.25</v>
      </c>
      <c r="M20" s="377">
        <f>AnnualAverage(Childcare_A!$A20,Childcare_A!M$7,ChildcareParms,ChildcareDates,ChildcareNames)</f>
        <v>0.35</v>
      </c>
      <c r="N20" s="396">
        <f>AnnualAverage(Childcare_A!$A20,Childcare_A!N$7,ChildcareParms,ChildcareDates,ChildcareNames)</f>
        <v>50</v>
      </c>
      <c r="O20" s="397">
        <f>AnnualAverage(Childcare_A!$A20,Childcare_A!O$7,ChildcareParms,ChildcareDates,ChildcareNames)</f>
        <v>24</v>
      </c>
      <c r="P20" s="406">
        <f>AnnualAverage(Childcare_A!$A20,Childcare_A!P$7,ChildcareParms,ChildcareDates,ChildcareNames)</f>
        <v>15</v>
      </c>
      <c r="Q20" s="396">
        <f>AnnualAverage(Childcare_A!$A20,Childcare_A!Q$7,ChildcareParms,ChildcareDates,ChildcareNames)</f>
        <v>5</v>
      </c>
      <c r="R20" s="2">
        <f>AnnualAverage(Childcare_A!$A20,Childcare_A!R$7,ChildcareParms,ChildcareDates,ChildcareNames)</f>
        <v>34</v>
      </c>
      <c r="S20" s="27">
        <f>AnnualAverage(Childcare_A!$A20,Childcare_A!S$7,ChildcareParms,ChildcareDates,ChildcareNames)</f>
        <v>35</v>
      </c>
      <c r="T20" s="27">
        <f>AnnualAverage(Childcare_A!$A20,Childcare_A!T$7,ChildcareParms,ChildcareDates,ChildcareNames)</f>
        <v>36</v>
      </c>
      <c r="U20" s="27">
        <f>AnnualAverage(Childcare_A!$A20,Childcare_A!U$7,ChildcareParms,ChildcareDates,ChildcareNames)</f>
        <v>37</v>
      </c>
      <c r="V20" s="1">
        <f>AnnualAverage(Childcare_A!$A20,Childcare_A!V$7,ChildcareParms,ChildcareDates,ChildcareNames)</f>
        <v>38</v>
      </c>
      <c r="W20" s="269">
        <f>AnnualAverage(Childcare_A!$A20,Childcare_A!W$7,ChildcareParms,ChildcareDates,ChildcareNames)</f>
        <v>1</v>
      </c>
      <c r="X20" s="27">
        <f>AnnualAverage(Childcare_A!$A20,Childcare_A!X$7,ChildcareParms,ChildcareDates,ChildcareNames)</f>
        <v>1.02</v>
      </c>
      <c r="Y20" s="27">
        <f>AnnualAverage(Childcare_A!$A20,Childcare_A!Y$7,ChildcareParms,ChildcareDates,ChildcareNames)</f>
        <v>1.04</v>
      </c>
      <c r="Z20" s="27">
        <f>AnnualAverage(Childcare_A!$A20,Childcare_A!Z$7,ChildcareParms,ChildcareDates,ChildcareNames)</f>
        <v>1.06</v>
      </c>
      <c r="AA20" s="27">
        <f>AnnualAverage(Childcare_A!$A20,Childcare_A!AA$7,ChildcareParms,ChildcareDates,ChildcareNames)</f>
        <v>1.08</v>
      </c>
      <c r="AB20" s="876">
        <f>AnnualAverage(Childcare_A!$A20,Childcare_A!AB$7,ChildcareParms,ChildcareDates,ChildcareNames)</f>
        <v>1.1000000000000001</v>
      </c>
      <c r="AC20" s="403">
        <f>AnnualAverage(Childcare_A!$A20,Childcare_A!AC$7,ChildcareParms,ChildcareDates,ChildcareNames)</f>
        <v>0.5</v>
      </c>
      <c r="AD20" s="374">
        <f>AnnualAverage(Childcare_A!$A20,Childcare_A!AD$7,ChildcareParms,ChildcareDates,ChildcareNames)</f>
        <v>7500</v>
      </c>
      <c r="AE20" s="375"/>
      <c r="AF20" s="242"/>
      <c r="AG20" s="374"/>
      <c r="AH20" s="893"/>
      <c r="AI20" s="893"/>
      <c r="AJ20" s="893"/>
      <c r="AK20" s="893"/>
      <c r="AL20" s="401"/>
      <c r="AM20" s="820"/>
      <c r="AN20" s="820"/>
      <c r="AO20" s="820"/>
      <c r="AP20" s="894"/>
      <c r="AQ20" s="401"/>
      <c r="AR20" s="894"/>
      <c r="AS20" s="776"/>
      <c r="AT20" s="763"/>
      <c r="AU20" s="962"/>
      <c r="AV20" s="781"/>
      <c r="AW20" s="781"/>
      <c r="AX20" s="781"/>
      <c r="AY20" s="781"/>
      <c r="AZ20" s="689"/>
    </row>
    <row r="21" spans="1:52" s="5" customFormat="1" x14ac:dyDescent="0.25">
      <c r="A21" s="496">
        <v>41456</v>
      </c>
      <c r="B21" s="497">
        <v>41820</v>
      </c>
      <c r="C21" s="373">
        <f>AnnualAverage(Childcare_A!$A21,Childcare_A!C$7,ChildcareParms,ChildcareDates,ChildcareNames)</f>
        <v>3.99</v>
      </c>
      <c r="D21" s="853">
        <f>AnnualAverage(Childcare_A!$A21,Childcare_A!D$7,ChildcareParms,ChildcareDates,ChildcareNames)</f>
        <v>0.66600000000000004</v>
      </c>
      <c r="E21" s="375">
        <f>AnnualAverage(Childcare_A!$A21,Childcare_A!E$7,ChildcareParms,ChildcareDates,ChildcareNames)</f>
        <v>17.920000000000002</v>
      </c>
      <c r="F21" s="374">
        <f>AnnualAverage(Childcare_A!$A21,Childcare_A!F$7,ChildcareParms,ChildcareDates,ChildcareNames)</f>
        <v>52.07</v>
      </c>
      <c r="G21" s="376">
        <f>AnnualAverage(Childcare_A!$A21,Childcare_A!G$7,ChildcareParms,ChildcareDates,ChildcareNames)</f>
        <v>0.85</v>
      </c>
      <c r="H21" s="375">
        <f>AnnualAverage(Childcare_A!$A21,Childcare_A!H$7,ChildcareParms,ChildcareDates,ChildcareNames)</f>
        <v>41902</v>
      </c>
      <c r="I21" s="374">
        <f>AnnualAverage(Childcare_A!$A21,Childcare_A!I$7,ChildcareParms,ChildcareDates,ChildcareNames)</f>
        <v>97632</v>
      </c>
      <c r="J21" s="403">
        <f>AnnualAverage(Childcare_A!$A21,Childcare_A!J$7,ChildcareParms,ChildcareDates,ChildcareNames)</f>
        <v>0.1</v>
      </c>
      <c r="K21" s="404">
        <f>AnnualAverage(Childcare_A!$A21,Childcare_A!K$7,ChildcareParms,ChildcareDates,ChildcareNames)</f>
        <v>0.15</v>
      </c>
      <c r="L21" s="403">
        <f>AnnualAverage(Childcare_A!$A21,Childcare_A!L$7,ChildcareParms,ChildcareDates,ChildcareNames)</f>
        <v>0.25</v>
      </c>
      <c r="M21" s="377">
        <f>AnnualAverage(Childcare_A!$A21,Childcare_A!M$7,ChildcareParms,ChildcareDates,ChildcareNames)</f>
        <v>0.35</v>
      </c>
      <c r="N21" s="396">
        <f>AnnualAverage(Childcare_A!$A21,Childcare_A!N$7,ChildcareParms,ChildcareDates,ChildcareNames)</f>
        <v>50</v>
      </c>
      <c r="O21" s="397">
        <f>AnnualAverage(Childcare_A!$A21,Childcare_A!O$7,ChildcareParms,ChildcareDates,ChildcareNames)</f>
        <v>24</v>
      </c>
      <c r="P21" s="406">
        <f>AnnualAverage(Childcare_A!$A21,Childcare_A!P$7,ChildcareParms,ChildcareDates,ChildcareNames)</f>
        <v>15</v>
      </c>
      <c r="Q21" s="396">
        <f>AnnualAverage(Childcare_A!$A21,Childcare_A!Q$7,ChildcareParms,ChildcareDates,ChildcareNames)</f>
        <v>5</v>
      </c>
      <c r="R21" s="2">
        <f>AnnualAverage(Childcare_A!$A21,Childcare_A!R$7,ChildcareParms,ChildcareDates,ChildcareNames)</f>
        <v>34</v>
      </c>
      <c r="S21" s="27">
        <f>AnnualAverage(Childcare_A!$A21,Childcare_A!S$7,ChildcareParms,ChildcareDates,ChildcareNames)</f>
        <v>35</v>
      </c>
      <c r="T21" s="27">
        <f>AnnualAverage(Childcare_A!$A21,Childcare_A!T$7,ChildcareParms,ChildcareDates,ChildcareNames)</f>
        <v>36</v>
      </c>
      <c r="U21" s="27">
        <f>AnnualAverage(Childcare_A!$A21,Childcare_A!U$7,ChildcareParms,ChildcareDates,ChildcareNames)</f>
        <v>37</v>
      </c>
      <c r="V21" s="1">
        <f>AnnualAverage(Childcare_A!$A21,Childcare_A!V$7,ChildcareParms,ChildcareDates,ChildcareNames)</f>
        <v>38</v>
      </c>
      <c r="W21" s="269">
        <f>AnnualAverage(Childcare_A!$A21,Childcare_A!W$7,ChildcareParms,ChildcareDates,ChildcareNames)</f>
        <v>1</v>
      </c>
      <c r="X21" s="27">
        <f>AnnualAverage(Childcare_A!$A21,Childcare_A!X$7,ChildcareParms,ChildcareDates,ChildcareNames)</f>
        <v>1.02</v>
      </c>
      <c r="Y21" s="27">
        <f>AnnualAverage(Childcare_A!$A21,Childcare_A!Y$7,ChildcareParms,ChildcareDates,ChildcareNames)</f>
        <v>1.04</v>
      </c>
      <c r="Z21" s="27">
        <f>AnnualAverage(Childcare_A!$A21,Childcare_A!Z$7,ChildcareParms,ChildcareDates,ChildcareNames)</f>
        <v>1.06</v>
      </c>
      <c r="AA21" s="27">
        <f>AnnualAverage(Childcare_A!$A21,Childcare_A!AA$7,ChildcareParms,ChildcareDates,ChildcareNames)</f>
        <v>1.08</v>
      </c>
      <c r="AB21" s="876">
        <f>AnnualAverage(Childcare_A!$A21,Childcare_A!AB$7,ChildcareParms,ChildcareDates,ChildcareNames)</f>
        <v>1.1000000000000001</v>
      </c>
      <c r="AC21" s="403">
        <f>AnnualAverage(Childcare_A!$A21,Childcare_A!AC$7,ChildcareParms,ChildcareDates,ChildcareNames)</f>
        <v>0.5</v>
      </c>
      <c r="AD21" s="374">
        <f>AnnualAverage(Childcare_A!$A21,Childcare_A!AD$7,ChildcareParms,ChildcareDates,ChildcareNames)</f>
        <v>7500</v>
      </c>
      <c r="AE21" s="375"/>
      <c r="AF21" s="242"/>
      <c r="AG21" s="374"/>
      <c r="AH21" s="893"/>
      <c r="AI21" s="893"/>
      <c r="AJ21" s="893"/>
      <c r="AK21" s="893"/>
      <c r="AL21" s="401"/>
      <c r="AM21" s="820"/>
      <c r="AN21" s="820"/>
      <c r="AO21" s="820"/>
      <c r="AP21" s="894"/>
      <c r="AQ21" s="401"/>
      <c r="AR21" s="894"/>
      <c r="AS21" s="776"/>
      <c r="AT21" s="763"/>
      <c r="AU21" s="962"/>
      <c r="AV21" s="781"/>
      <c r="AW21" s="781"/>
      <c r="AX21" s="781"/>
      <c r="AY21" s="781"/>
      <c r="AZ21" s="689"/>
    </row>
    <row r="22" spans="1:52" s="5" customFormat="1" x14ac:dyDescent="0.25">
      <c r="A22" s="496">
        <v>41821</v>
      </c>
      <c r="B22" s="497">
        <v>42185</v>
      </c>
      <c r="C22" s="373">
        <f>AnnualAverage(Childcare_A!$A22,Childcare_A!C$7,ChildcareParms,ChildcareDates,ChildcareNames)</f>
        <v>4.0999999999999996</v>
      </c>
      <c r="D22" s="853">
        <f>AnnualAverage(Childcare_A!$A22,Childcare_A!D$7,ChildcareParms,ChildcareDates,ChildcareNames)</f>
        <v>0.68400000000000005</v>
      </c>
      <c r="E22" s="375">
        <f>AnnualAverage(Childcare_A!$A22,Childcare_A!E$7,ChildcareParms,ChildcareDates,ChildcareNames)</f>
        <v>18.399999999999999</v>
      </c>
      <c r="F22" s="374">
        <f>AnnualAverage(Childcare_A!$A22,Childcare_A!F$7,ChildcareParms,ChildcareDates,ChildcareNames)</f>
        <v>53.48</v>
      </c>
      <c r="G22" s="376">
        <f>AnnualAverage(Childcare_A!$A22,Childcare_A!G$7,ChildcareParms,ChildcareDates,ChildcareNames)</f>
        <v>0.85</v>
      </c>
      <c r="H22" s="375">
        <f>AnnualAverage(Childcare_A!$A22,Childcare_A!H$7,ChildcareParms,ChildcareDates,ChildcareNames)</f>
        <v>42997</v>
      </c>
      <c r="I22" s="374">
        <f>AnnualAverage(Childcare_A!$A22,Childcare_A!I$7,ChildcareParms,ChildcareDates,ChildcareNames)</f>
        <v>100268</v>
      </c>
      <c r="J22" s="403">
        <f>AnnualAverage(Childcare_A!$A22,Childcare_A!J$7,ChildcareParms,ChildcareDates,ChildcareNames)</f>
        <v>0.1</v>
      </c>
      <c r="K22" s="404">
        <f>AnnualAverage(Childcare_A!$A22,Childcare_A!K$7,ChildcareParms,ChildcareDates,ChildcareNames)</f>
        <v>0.15</v>
      </c>
      <c r="L22" s="403">
        <f>AnnualAverage(Childcare_A!$A22,Childcare_A!L$7,ChildcareParms,ChildcareDates,ChildcareNames)</f>
        <v>0.25</v>
      </c>
      <c r="M22" s="377">
        <f>AnnualAverage(Childcare_A!$A22,Childcare_A!M$7,ChildcareParms,ChildcareDates,ChildcareNames)</f>
        <v>0.35</v>
      </c>
      <c r="N22" s="396">
        <f>AnnualAverage(Childcare_A!$A22,Childcare_A!N$7,ChildcareParms,ChildcareDates,ChildcareNames)</f>
        <v>50</v>
      </c>
      <c r="O22" s="397">
        <f>AnnualAverage(Childcare_A!$A22,Childcare_A!O$7,ChildcareParms,ChildcareDates,ChildcareNames)</f>
        <v>24</v>
      </c>
      <c r="P22" s="406">
        <f>AnnualAverage(Childcare_A!$A22,Childcare_A!P$7,ChildcareParms,ChildcareDates,ChildcareNames)</f>
        <v>15</v>
      </c>
      <c r="Q22" s="396">
        <f>AnnualAverage(Childcare_A!$A22,Childcare_A!Q$7,ChildcareParms,ChildcareDates,ChildcareNames)</f>
        <v>5</v>
      </c>
      <c r="R22" s="2">
        <f>AnnualAverage(Childcare_A!$A22,Childcare_A!R$7,ChildcareParms,ChildcareDates,ChildcareNames)</f>
        <v>34</v>
      </c>
      <c r="S22" s="27">
        <f>AnnualAverage(Childcare_A!$A22,Childcare_A!S$7,ChildcareParms,ChildcareDates,ChildcareNames)</f>
        <v>35</v>
      </c>
      <c r="T22" s="27">
        <f>AnnualAverage(Childcare_A!$A22,Childcare_A!T$7,ChildcareParms,ChildcareDates,ChildcareNames)</f>
        <v>36</v>
      </c>
      <c r="U22" s="27">
        <f>AnnualAverage(Childcare_A!$A22,Childcare_A!U$7,ChildcareParms,ChildcareDates,ChildcareNames)</f>
        <v>37</v>
      </c>
      <c r="V22" s="1">
        <f>AnnualAverage(Childcare_A!$A22,Childcare_A!V$7,ChildcareParms,ChildcareDates,ChildcareNames)</f>
        <v>38</v>
      </c>
      <c r="W22" s="269">
        <f>AnnualAverage(Childcare_A!$A22,Childcare_A!W$7,ChildcareParms,ChildcareDates,ChildcareNames)</f>
        <v>1</v>
      </c>
      <c r="X22" s="27">
        <f>AnnualAverage(Childcare_A!$A22,Childcare_A!X$7,ChildcareParms,ChildcareDates,ChildcareNames)</f>
        <v>1.02</v>
      </c>
      <c r="Y22" s="27">
        <f>AnnualAverage(Childcare_A!$A22,Childcare_A!Y$7,ChildcareParms,ChildcareDates,ChildcareNames)</f>
        <v>1.04</v>
      </c>
      <c r="Z22" s="27">
        <f>AnnualAverage(Childcare_A!$A22,Childcare_A!Z$7,ChildcareParms,ChildcareDates,ChildcareNames)</f>
        <v>1.06</v>
      </c>
      <c r="AA22" s="27">
        <f>AnnualAverage(Childcare_A!$A22,Childcare_A!AA$7,ChildcareParms,ChildcareDates,ChildcareNames)</f>
        <v>1.08</v>
      </c>
      <c r="AB22" s="876">
        <f>AnnualAverage(Childcare_A!$A22,Childcare_A!AB$7,ChildcareParms,ChildcareDates,ChildcareNames)</f>
        <v>1.1000000000000001</v>
      </c>
      <c r="AC22" s="403">
        <f>AnnualAverage(Childcare_A!$A22,Childcare_A!AC$7,ChildcareParms,ChildcareDates,ChildcareNames)</f>
        <v>0.5</v>
      </c>
      <c r="AD22" s="374">
        <f>AnnualAverage(Childcare_A!$A22,Childcare_A!AD$7,ChildcareParms,ChildcareDates,ChildcareNames)</f>
        <v>7500</v>
      </c>
      <c r="AE22" s="375"/>
      <c r="AF22" s="242"/>
      <c r="AG22" s="374"/>
      <c r="AH22" s="893"/>
      <c r="AI22" s="893"/>
      <c r="AJ22" s="893"/>
      <c r="AK22" s="893"/>
      <c r="AL22" s="401"/>
      <c r="AM22" s="820"/>
      <c r="AN22" s="820"/>
      <c r="AO22" s="820"/>
      <c r="AP22" s="894"/>
      <c r="AQ22" s="401"/>
      <c r="AR22" s="894"/>
      <c r="AS22" s="776"/>
      <c r="AT22" s="763"/>
      <c r="AU22" s="962"/>
      <c r="AV22" s="781"/>
      <c r="AW22" s="781"/>
      <c r="AX22" s="781"/>
      <c r="AY22" s="781"/>
      <c r="AZ22" s="689"/>
    </row>
    <row r="23" spans="1:52" x14ac:dyDescent="0.25">
      <c r="A23" s="496">
        <v>42186</v>
      </c>
      <c r="B23" s="497">
        <v>42551</v>
      </c>
      <c r="C23" s="373">
        <f>AnnualAverage(Childcare_A!$A23,Childcare_A!C$7,ChildcareParms,ChildcareDates,ChildcareNames)</f>
        <v>4.17</v>
      </c>
      <c r="D23" s="853">
        <f>AnnualAverage(Childcare_A!$A23,Childcare_A!D$7,ChildcareParms,ChildcareDates,ChildcareNames)</f>
        <v>0.69599999999999995</v>
      </c>
      <c r="E23" s="375">
        <f>AnnualAverage(Childcare_A!$A23,Childcare_A!E$7,ChildcareParms,ChildcareDates,ChildcareNames)</f>
        <v>18.71</v>
      </c>
      <c r="F23" s="374">
        <f>AnnualAverage(Childcare_A!$A23,Childcare_A!F$7,ChildcareParms,ChildcareDates,ChildcareNames)</f>
        <v>54.39</v>
      </c>
      <c r="G23" s="376">
        <f>AnnualAverage(Childcare_A!$A23,Childcare_A!G$7,ChildcareParms,ChildcareDates,ChildcareNames)</f>
        <v>0.85</v>
      </c>
      <c r="H23" s="375">
        <f>AnnualAverage(Childcare_A!$A23,Childcare_A!H$7,ChildcareParms,ChildcareDates,ChildcareNames)</f>
        <v>43727</v>
      </c>
      <c r="I23" s="374">
        <f>AnnualAverage(Childcare_A!$A23,Childcare_A!I$7,ChildcareParms,ChildcareDates,ChildcareNames)</f>
        <v>101973</v>
      </c>
      <c r="J23" s="403">
        <f>AnnualAverage(Childcare_A!$A23,Childcare_A!J$7,ChildcareParms,ChildcareDates,ChildcareNames)</f>
        <v>0.1</v>
      </c>
      <c r="K23" s="404">
        <f>AnnualAverage(Childcare_A!$A23,Childcare_A!K$7,ChildcareParms,ChildcareDates,ChildcareNames)</f>
        <v>0.15</v>
      </c>
      <c r="L23" s="403">
        <f>AnnualAverage(Childcare_A!$A23,Childcare_A!L$7,ChildcareParms,ChildcareDates,ChildcareNames)</f>
        <v>0.25</v>
      </c>
      <c r="M23" s="377">
        <f>AnnualAverage(Childcare_A!$A23,Childcare_A!M$7,ChildcareParms,ChildcareDates,ChildcareNames)</f>
        <v>0.35</v>
      </c>
      <c r="N23" s="944">
        <f>AnnualAverage(Childcare_A!$A23,Childcare_A!N$7,ChildcareParms,ChildcareDates,ChildcareNames)</f>
        <v>50</v>
      </c>
      <c r="O23" s="397">
        <f>AnnualAverage(Childcare_A!$A23,Childcare_A!O$7,ChildcareParms,ChildcareDates,ChildcareNames)</f>
        <v>24</v>
      </c>
      <c r="P23" s="406">
        <f>AnnualAverage(Childcare_A!$A23,Childcare_A!P$7,ChildcareParms,ChildcareDates,ChildcareNames)</f>
        <v>15</v>
      </c>
      <c r="Q23" s="944">
        <f>AnnualAverage(Childcare_A!$A23,Childcare_A!Q$7,ChildcareParms,ChildcareDates,ChildcareNames)</f>
        <v>5</v>
      </c>
      <c r="R23" s="944">
        <f>AnnualAverage(Childcare_A!$A23,Childcare_A!R$7,ChildcareParms,ChildcareDates,ChildcareNames)</f>
        <v>34</v>
      </c>
      <c r="S23" s="495">
        <f>AnnualAverage(Childcare_A!$A23,Childcare_A!S$7,ChildcareParms,ChildcareDates,ChildcareNames)</f>
        <v>35</v>
      </c>
      <c r="T23" s="495">
        <f>AnnualAverage(Childcare_A!$A23,Childcare_A!T$7,ChildcareParms,ChildcareDates,ChildcareNames)</f>
        <v>36</v>
      </c>
      <c r="U23" s="495">
        <f>AnnualAverage(Childcare_A!$A23,Childcare_A!U$7,ChildcareParms,ChildcareDates,ChildcareNames)</f>
        <v>37</v>
      </c>
      <c r="V23" s="397">
        <f>AnnualAverage(Childcare_A!$A23,Childcare_A!V$7,ChildcareParms,ChildcareDates,ChildcareNames)</f>
        <v>38</v>
      </c>
      <c r="W23" s="942">
        <f>AnnualAverage(Childcare_A!$A23,Childcare_A!W$7,ChildcareParms,ChildcareDates,ChildcareNames)</f>
        <v>1</v>
      </c>
      <c r="X23" s="495">
        <f>AnnualAverage(Childcare_A!$A23,Childcare_A!X$7,ChildcareParms,ChildcareDates,ChildcareNames)</f>
        <v>1.02</v>
      </c>
      <c r="Y23" s="495">
        <f>AnnualAverage(Childcare_A!$A23,Childcare_A!Y$7,ChildcareParms,ChildcareDates,ChildcareNames)</f>
        <v>1.04</v>
      </c>
      <c r="Z23" s="495">
        <f>AnnualAverage(Childcare_A!$A23,Childcare_A!Z$7,ChildcareParms,ChildcareDates,ChildcareNames)</f>
        <v>1.06</v>
      </c>
      <c r="AA23" s="495">
        <f>AnnualAverage(Childcare_A!$A23,Childcare_A!AA$7,ChildcareParms,ChildcareDates,ChildcareNames)</f>
        <v>1.08</v>
      </c>
      <c r="AB23" s="948">
        <f>AnnualAverage(Childcare_A!$A23,Childcare_A!AB$7,ChildcareParms,ChildcareDates,ChildcareNames)</f>
        <v>1.1000000000000001</v>
      </c>
      <c r="AC23" s="403">
        <f>AnnualAverage(Childcare_A!$A23,Childcare_A!AC$7,ChildcareParms,ChildcareDates,ChildcareNames)</f>
        <v>0.5</v>
      </c>
      <c r="AD23" s="374">
        <f>AnnualAverage(Childcare_A!$A23,Childcare_A!AD$7,ChildcareParms,ChildcareDates,ChildcareNames)</f>
        <v>7500</v>
      </c>
      <c r="AE23" s="375"/>
      <c r="AF23" s="242"/>
      <c r="AG23" s="374"/>
      <c r="AH23" s="893"/>
      <c r="AI23" s="893"/>
      <c r="AJ23" s="893"/>
      <c r="AK23" s="893"/>
      <c r="AL23" s="401"/>
      <c r="AM23" s="820"/>
      <c r="AN23" s="820"/>
      <c r="AO23" s="820"/>
      <c r="AP23" s="894"/>
      <c r="AQ23" s="401"/>
      <c r="AR23" s="894"/>
      <c r="AS23" s="776"/>
      <c r="AT23" s="763"/>
      <c r="AU23" s="962"/>
      <c r="AV23" s="781"/>
      <c r="AW23" s="781"/>
      <c r="AX23" s="781"/>
      <c r="AY23" s="781"/>
      <c r="AZ23" s="689"/>
    </row>
    <row r="24" spans="1:52" s="5" customFormat="1" x14ac:dyDescent="0.25">
      <c r="A24" s="496">
        <v>42552</v>
      </c>
      <c r="B24" s="497">
        <v>42916</v>
      </c>
      <c r="C24" s="373">
        <f>AnnualAverage(Childcare_A!$A24,Childcare_A!C$7,ChildcareParms,ChildcareDates,ChildcareNames)</f>
        <v>4.24</v>
      </c>
      <c r="D24" s="853">
        <f>AnnualAverage(Childcare_A!$A24,Childcare_A!D$7,ChildcareParms,ChildcareDates,ChildcareNames)</f>
        <v>0.70799999999999996</v>
      </c>
      <c r="E24" s="375">
        <f>AnnualAverage(Childcare_A!$A24,Childcare_A!E$7,ChildcareParms,ChildcareDates,ChildcareNames)</f>
        <v>19.03</v>
      </c>
      <c r="F24" s="374">
        <f>AnnualAverage(Childcare_A!$A24,Childcare_A!F$7,ChildcareParms,ChildcareDates,ChildcareNames)</f>
        <v>55.31</v>
      </c>
      <c r="G24" s="376">
        <f>AnnualAverage(Childcare_A!$A24,Childcare_A!G$7,ChildcareParms,ChildcareDates,ChildcareNames)</f>
        <v>0.85</v>
      </c>
      <c r="H24" s="375">
        <f>AnnualAverage(Childcare_A!$A24,Childcare_A!H$7,ChildcareParms,ChildcareDates,ChildcareNames)</f>
        <v>44457</v>
      </c>
      <c r="I24" s="374">
        <f>AnnualAverage(Childcare_A!$A24,Childcare_A!I$7,ChildcareParms,ChildcareDates,ChildcareNames)</f>
        <v>103707</v>
      </c>
      <c r="J24" s="403">
        <f>AnnualAverage(Childcare_A!$A24,Childcare_A!J$7,ChildcareParms,ChildcareDates,ChildcareNames)</f>
        <v>0.1</v>
      </c>
      <c r="K24" s="404">
        <f>AnnualAverage(Childcare_A!$A24,Childcare_A!K$7,ChildcareParms,ChildcareDates,ChildcareNames)</f>
        <v>0.15</v>
      </c>
      <c r="L24" s="403">
        <f>AnnualAverage(Childcare_A!$A24,Childcare_A!L$7,ChildcareParms,ChildcareDates,ChildcareNames)</f>
        <v>0.25</v>
      </c>
      <c r="M24" s="377">
        <f>AnnualAverage(Childcare_A!$A24,Childcare_A!M$7,ChildcareParms,ChildcareDates,ChildcareNames)</f>
        <v>0.35</v>
      </c>
      <c r="N24" s="944">
        <f>AnnualAverage(Childcare_A!$A24,Childcare_A!N$7,ChildcareParms,ChildcareDates,ChildcareNames)</f>
        <v>50</v>
      </c>
      <c r="O24" s="397">
        <f>AnnualAverage(Childcare_A!$A24,Childcare_A!O$7,ChildcareParms,ChildcareDates,ChildcareNames)</f>
        <v>24</v>
      </c>
      <c r="P24" s="406">
        <f>AnnualAverage(Childcare_A!$A24,Childcare_A!P$7,ChildcareParms,ChildcareDates,ChildcareNames)</f>
        <v>15</v>
      </c>
      <c r="Q24" s="944">
        <f>AnnualAverage(Childcare_A!$A24,Childcare_A!Q$7,ChildcareParms,ChildcareDates,ChildcareNames)</f>
        <v>5</v>
      </c>
      <c r="R24" s="944">
        <f>AnnualAverage(Childcare_A!$A24,Childcare_A!R$7,ChildcareParms,ChildcareDates,ChildcareNames)</f>
        <v>34</v>
      </c>
      <c r="S24" s="495">
        <f>AnnualAverage(Childcare_A!$A24,Childcare_A!S$7,ChildcareParms,ChildcareDates,ChildcareNames)</f>
        <v>35</v>
      </c>
      <c r="T24" s="495">
        <f>AnnualAverage(Childcare_A!$A24,Childcare_A!T$7,ChildcareParms,ChildcareDates,ChildcareNames)</f>
        <v>36</v>
      </c>
      <c r="U24" s="495">
        <f>AnnualAverage(Childcare_A!$A24,Childcare_A!U$7,ChildcareParms,ChildcareDates,ChildcareNames)</f>
        <v>37</v>
      </c>
      <c r="V24" s="397">
        <f>AnnualAverage(Childcare_A!$A24,Childcare_A!V$7,ChildcareParms,ChildcareDates,ChildcareNames)</f>
        <v>38</v>
      </c>
      <c r="W24" s="942">
        <f>AnnualAverage(Childcare_A!$A24,Childcare_A!W$7,ChildcareParms,ChildcareDates,ChildcareNames)</f>
        <v>1</v>
      </c>
      <c r="X24" s="495">
        <f>AnnualAverage(Childcare_A!$A24,Childcare_A!X$7,ChildcareParms,ChildcareDates,ChildcareNames)</f>
        <v>1.02</v>
      </c>
      <c r="Y24" s="495">
        <f>AnnualAverage(Childcare_A!$A24,Childcare_A!Y$7,ChildcareParms,ChildcareDates,ChildcareNames)</f>
        <v>1.04</v>
      </c>
      <c r="Z24" s="495">
        <f>AnnualAverage(Childcare_A!$A24,Childcare_A!Z$7,ChildcareParms,ChildcareDates,ChildcareNames)</f>
        <v>1.06</v>
      </c>
      <c r="AA24" s="495">
        <f>AnnualAverage(Childcare_A!$A24,Childcare_A!AA$7,ChildcareParms,ChildcareDates,ChildcareNames)</f>
        <v>1.08</v>
      </c>
      <c r="AB24" s="948">
        <f>AnnualAverage(Childcare_A!$A24,Childcare_A!AB$7,ChildcareParms,ChildcareDates,ChildcareNames)</f>
        <v>1.1000000000000001</v>
      </c>
      <c r="AC24" s="403">
        <f>AnnualAverage(Childcare_A!$A24,Childcare_A!AC$7,ChildcareParms,ChildcareDates,ChildcareNames)</f>
        <v>0.5</v>
      </c>
      <c r="AD24" s="374">
        <f>AnnualAverage(Childcare_A!$A24,Childcare_A!AD$7,ChildcareParms,ChildcareDates,ChildcareNames)</f>
        <v>7500</v>
      </c>
      <c r="AE24" s="375"/>
      <c r="AF24" s="242"/>
      <c r="AG24" s="374"/>
      <c r="AH24" s="893"/>
      <c r="AI24" s="893"/>
      <c r="AJ24" s="893"/>
      <c r="AK24" s="893"/>
      <c r="AL24" s="1080"/>
      <c r="AM24" s="820"/>
      <c r="AN24" s="820"/>
      <c r="AO24" s="820"/>
      <c r="AP24" s="894"/>
      <c r="AQ24" s="1080"/>
      <c r="AR24" s="894"/>
      <c r="AS24" s="776"/>
      <c r="AT24" s="763"/>
      <c r="AU24" s="962"/>
      <c r="AV24" s="781"/>
      <c r="AW24" s="781"/>
      <c r="AX24" s="781"/>
      <c r="AY24" s="781"/>
      <c r="AZ24" s="689"/>
    </row>
    <row r="25" spans="1:52" x14ac:dyDescent="0.25">
      <c r="A25" s="165">
        <v>42917</v>
      </c>
      <c r="B25" s="166">
        <v>43281</v>
      </c>
      <c r="C25" s="107">
        <f>AnnualAverage(Childcare_A!$A25,Childcare_A!C$7,ChildcareParms,ChildcareDates,ChildcareNames)</f>
        <v>4.3</v>
      </c>
      <c r="D25" s="850">
        <f>AnnualAverage(Childcare_A!$A25,Childcare_A!D$7,ChildcareParms,ChildcareDates,ChildcareNames)</f>
        <v>0.71899999999999997</v>
      </c>
      <c r="E25" s="33">
        <f>AnnualAverage(Childcare_A!$A25,Childcare_A!E$7,ChildcareParms,ChildcareDates,ChildcareNames)</f>
        <v>19.32</v>
      </c>
      <c r="F25" s="75">
        <f>AnnualAverage(Childcare_A!$A25,Childcare_A!F$7,ChildcareParms,ChildcareDates,ChildcareNames)</f>
        <v>56.14</v>
      </c>
      <c r="G25" s="105">
        <f>AnnualAverage(Childcare_A!$A25,Childcare_A!G$7,ChildcareParms,ChildcareDates,ChildcareNames)</f>
        <v>0.85</v>
      </c>
      <c r="H25" s="33">
        <f>AnnualAverage(Childcare_A!$A25,Childcare_A!H$7,ChildcareParms,ChildcareDates,ChildcareNames)</f>
        <v>45114</v>
      </c>
      <c r="I25" s="75">
        <f>AnnualAverage(Childcare_A!$A25,Childcare_A!I$7,ChildcareParms,ChildcareDates,ChildcareNames)</f>
        <v>105263</v>
      </c>
      <c r="J25" s="106">
        <f>AnnualAverage(Childcare_A!$A25,Childcare_A!J$7,ChildcareParms,ChildcareDates,ChildcareNames)</f>
        <v>0.1</v>
      </c>
      <c r="K25" s="76">
        <f>AnnualAverage(Childcare_A!$A25,Childcare_A!K$7,ChildcareParms,ChildcareDates,ChildcareNames)</f>
        <v>0.15</v>
      </c>
      <c r="L25" s="106">
        <f>AnnualAverage(Childcare_A!$A25,Childcare_A!L$7,ChildcareParms,ChildcareDates,ChildcareNames)</f>
        <v>0.25</v>
      </c>
      <c r="M25" s="104">
        <f>AnnualAverage(Childcare_A!$A25,Childcare_A!M$7,ChildcareParms,ChildcareDates,ChildcareNames)</f>
        <v>0.35</v>
      </c>
      <c r="N25" s="30">
        <f>AnnualAverage(Childcare_A!$A25,Childcare_A!N$7,ChildcareParms,ChildcareDates,ChildcareNames)</f>
        <v>50</v>
      </c>
      <c r="O25" s="15">
        <f>AnnualAverage(Childcare_A!$A25,Childcare_A!O$7,ChildcareParms,ChildcareDates,ChildcareNames)</f>
        <v>24</v>
      </c>
      <c r="P25" s="31">
        <f>AnnualAverage(Childcare_A!$A25,Childcare_A!P$7,ChildcareParms,ChildcareDates,ChildcareNames)</f>
        <v>15</v>
      </c>
      <c r="Q25" s="30">
        <f>AnnualAverage(Childcare_A!$A25,Childcare_A!Q$7,ChildcareParms,ChildcareDates,ChildcareNames)</f>
        <v>5</v>
      </c>
      <c r="R25" s="30">
        <f>AnnualAverage(Childcare_A!$A25,Childcare_A!R$7,ChildcareParms,ChildcareDates,ChildcareNames)</f>
        <v>34</v>
      </c>
      <c r="S25" s="29">
        <f>AnnualAverage(Childcare_A!$A25,Childcare_A!S$7,ChildcareParms,ChildcareDates,ChildcareNames)</f>
        <v>35</v>
      </c>
      <c r="T25" s="29">
        <f>AnnualAverage(Childcare_A!$A25,Childcare_A!T$7,ChildcareParms,ChildcareDates,ChildcareNames)</f>
        <v>36</v>
      </c>
      <c r="U25" s="29">
        <f>AnnualAverage(Childcare_A!$A25,Childcare_A!U$7,ChildcareParms,ChildcareDates,ChildcareNames)</f>
        <v>37</v>
      </c>
      <c r="V25" s="15">
        <f>AnnualAverage(Childcare_A!$A25,Childcare_A!V$7,ChildcareParms,ChildcareDates,ChildcareNames)</f>
        <v>38</v>
      </c>
      <c r="W25" s="882">
        <f>AnnualAverage(Childcare_A!$A25,Childcare_A!W$7,ChildcareParms,ChildcareDates,ChildcareNames)</f>
        <v>1</v>
      </c>
      <c r="X25" s="29">
        <f>AnnualAverage(Childcare_A!$A25,Childcare_A!X$7,ChildcareParms,ChildcareDates,ChildcareNames)</f>
        <v>1.02</v>
      </c>
      <c r="Y25" s="29">
        <f>AnnualAverage(Childcare_A!$A25,Childcare_A!Y$7,ChildcareParms,ChildcareDates,ChildcareNames)</f>
        <v>1.04</v>
      </c>
      <c r="Z25" s="29">
        <f>AnnualAverage(Childcare_A!$A25,Childcare_A!Z$7,ChildcareParms,ChildcareDates,ChildcareNames)</f>
        <v>1.06</v>
      </c>
      <c r="AA25" s="29">
        <f>AnnualAverage(Childcare_A!$A25,Childcare_A!AA$7,ChildcareParms,ChildcareDates,ChildcareNames)</f>
        <v>1.08</v>
      </c>
      <c r="AB25" s="883">
        <f>AnnualAverage(Childcare_A!$A25,Childcare_A!AB$7,ChildcareParms,ChildcareDates,ChildcareNames)</f>
        <v>1.1000000000000001</v>
      </c>
      <c r="AC25" s="106">
        <f>AnnualAverage(Childcare_A!$A25,Childcare_A!AC$7,ChildcareParms,ChildcareDates,ChildcareNames)</f>
        <v>0.5</v>
      </c>
      <c r="AD25" s="75">
        <f>AnnualAverage(Childcare_A!$A25,Childcare_A!AD$7,ChildcareParms,ChildcareDates,ChildcareNames)</f>
        <v>7613</v>
      </c>
      <c r="AE25" s="1025"/>
      <c r="AF25" s="1026"/>
      <c r="AG25" s="1027"/>
      <c r="AH25" s="1028"/>
      <c r="AI25" s="1029"/>
      <c r="AJ25" s="1029"/>
      <c r="AK25" s="1030"/>
      <c r="AL25" s="1031"/>
      <c r="AM25" s="1032"/>
      <c r="AN25" s="1032"/>
      <c r="AO25" s="1032"/>
      <c r="AP25" s="1033"/>
      <c r="AQ25" s="1032"/>
      <c r="AR25" s="1032"/>
      <c r="AS25" s="776"/>
      <c r="AT25" s="763"/>
      <c r="AU25" s="962"/>
      <c r="AV25" s="776"/>
      <c r="AW25" s="781"/>
      <c r="AX25" s="781"/>
      <c r="AY25" s="781"/>
      <c r="AZ25" s="689"/>
    </row>
    <row r="26" spans="1:52" x14ac:dyDescent="0.25">
      <c r="A26" s="165">
        <v>43282</v>
      </c>
      <c r="B26" s="166">
        <v>43646</v>
      </c>
      <c r="C26" s="107">
        <f>AnnualAverage(Childcare_A!$A26,Childcare_A!C$7,ChildcareParms,ChildcareDates,ChildcareNames)</f>
        <v>0</v>
      </c>
      <c r="D26" s="850">
        <f>AnnualAverage(Childcare_A!$A26,Childcare_A!D$7,ChildcareParms,ChildcareDates,ChildcareNames)</f>
        <v>0</v>
      </c>
      <c r="E26" s="33">
        <f>AnnualAverage(Childcare_A!$A26,Childcare_A!E$7,ChildcareParms,ChildcareDates,ChildcareNames)</f>
        <v>0</v>
      </c>
      <c r="F26" s="75">
        <f>AnnualAverage(Childcare_A!$A26,Childcare_A!F$7,ChildcareParms,ChildcareDates,ChildcareNames)</f>
        <v>0</v>
      </c>
      <c r="G26" s="105">
        <f>AnnualAverage(Childcare_A!$A26,Childcare_A!G$7,ChildcareParms,ChildcareDates,ChildcareNames)</f>
        <v>0</v>
      </c>
      <c r="H26" s="33">
        <f>AnnualAverage(Childcare_A!$A26,Childcare_A!H$7,ChildcareParms,ChildcareDates,ChildcareNames)</f>
        <v>0</v>
      </c>
      <c r="I26" s="75">
        <f>AnnualAverage(Childcare_A!$A26,Childcare_A!I$7,ChildcareParms,ChildcareDates,ChildcareNames)</f>
        <v>0</v>
      </c>
      <c r="J26" s="106">
        <f>AnnualAverage(Childcare_A!$A26,Childcare_A!J$7,ChildcareParms,ChildcareDates,ChildcareNames)</f>
        <v>0</v>
      </c>
      <c r="K26" s="76">
        <f>AnnualAverage(Childcare_A!$A26,Childcare_A!K$7,ChildcareParms,ChildcareDates,ChildcareNames)</f>
        <v>0</v>
      </c>
      <c r="L26" s="106">
        <f>AnnualAverage(Childcare_A!$A26,Childcare_A!L$7,ChildcareParms,ChildcareDates,ChildcareNames)</f>
        <v>0</v>
      </c>
      <c r="M26" s="104">
        <f>AnnualAverage(Childcare_A!$A26,Childcare_A!M$7,ChildcareParms,ChildcareDates,ChildcareNames)</f>
        <v>0</v>
      </c>
      <c r="N26" s="30">
        <f>AnnualAverage(Childcare_A!$A26,Childcare_A!N$7,ChildcareParms,ChildcareDates,ChildcareNames)</f>
        <v>0</v>
      </c>
      <c r="O26" s="15">
        <f>AnnualAverage(Childcare_A!$A26,Childcare_A!O$7,ChildcareParms,ChildcareDates,ChildcareNames)</f>
        <v>0</v>
      </c>
      <c r="P26" s="31">
        <f>AnnualAverage(Childcare_A!$A26,Childcare_A!P$7,ChildcareParms,ChildcareDates,ChildcareNames)</f>
        <v>0</v>
      </c>
      <c r="Q26" s="30">
        <f>AnnualAverage(Childcare_A!$A26,Childcare_A!Q$7,ChildcareParms,ChildcareDates,ChildcareNames)</f>
        <v>5</v>
      </c>
      <c r="R26" s="30">
        <f>AnnualAverage(Childcare_A!$A26,Childcare_A!R$7,ChildcareParms,ChildcareDates,ChildcareNames)</f>
        <v>0</v>
      </c>
      <c r="S26" s="29">
        <f>AnnualAverage(Childcare_A!$A26,Childcare_A!S$7,ChildcareParms,ChildcareDates,ChildcareNames)</f>
        <v>0</v>
      </c>
      <c r="T26" s="29">
        <f>AnnualAverage(Childcare_A!$A26,Childcare_A!T$7,ChildcareParms,ChildcareDates,ChildcareNames)</f>
        <v>0</v>
      </c>
      <c r="U26" s="29">
        <f>AnnualAverage(Childcare_A!$A26,Childcare_A!U$7,ChildcareParms,ChildcareDates,ChildcareNames)</f>
        <v>0</v>
      </c>
      <c r="V26" s="15">
        <f>AnnualAverage(Childcare_A!$A26,Childcare_A!V$7,ChildcareParms,ChildcareDates,ChildcareNames)</f>
        <v>0</v>
      </c>
      <c r="W26" s="882">
        <f>AnnualAverage(Childcare_A!$A26,Childcare_A!W$7,ChildcareParms,ChildcareDates,ChildcareNames)</f>
        <v>0</v>
      </c>
      <c r="X26" s="29">
        <f>AnnualAverage(Childcare_A!$A26,Childcare_A!X$7,ChildcareParms,ChildcareDates,ChildcareNames)</f>
        <v>0</v>
      </c>
      <c r="Y26" s="29">
        <f>AnnualAverage(Childcare_A!$A26,Childcare_A!Y$7,ChildcareParms,ChildcareDates,ChildcareNames)</f>
        <v>0</v>
      </c>
      <c r="Z26" s="29">
        <f>AnnualAverage(Childcare_A!$A26,Childcare_A!Z$7,ChildcareParms,ChildcareDates,ChildcareNames)</f>
        <v>0</v>
      </c>
      <c r="AA26" s="29">
        <f>AnnualAverage(Childcare_A!$A26,Childcare_A!AA$7,ChildcareParms,ChildcareDates,ChildcareNames)</f>
        <v>0</v>
      </c>
      <c r="AB26" s="883">
        <f>AnnualAverage(Childcare_A!$A26,Childcare_A!AB$7,ChildcareParms,ChildcareDates,ChildcareNames)</f>
        <v>0</v>
      </c>
      <c r="AC26" s="106">
        <f>AnnualAverage(Childcare_A!$A26,Childcare_A!AC$7,ChildcareParms,ChildcareDates,ChildcareNames)</f>
        <v>0</v>
      </c>
      <c r="AD26" s="75">
        <f>AnnualAverage(Childcare_A!$A26,Childcare_A!AD$7,ChildcareParms,ChildcareDates,ChildcareNames)</f>
        <v>0</v>
      </c>
      <c r="AE26" s="902">
        <f>AnnualAverage(Childcare_A!$A26,Childcare_A!AE$7,ChildcareParms,ChildcareDates,ChildcareNames)</f>
        <v>11.73</v>
      </c>
      <c r="AF26" s="903">
        <f>AnnualAverage(Childcare_A!$A26,Childcare_A!AF$7,ChildcareParms,ChildcareDates,ChildcareNames)</f>
        <v>10.87</v>
      </c>
      <c r="AG26" s="915">
        <f>AnnualAverage(Childcare_A!$A26,Childcare_A!AG$7,ChildcareParms,ChildcareDates,ChildcareNames)</f>
        <v>10.26</v>
      </c>
      <c r="AH26" s="916">
        <f>AnnualAverage(Childcare_A!$A26,Childcare_A!AH$7,ChildcareParms,ChildcareDates,ChildcareNames)</f>
        <v>0.85</v>
      </c>
      <c r="AI26" s="984">
        <f>AnnualAverage(Childcare_A!$A26,Childcare_A!AI$7,ChildcareParms,ChildcareDates,ChildcareNames)</f>
        <v>0.5</v>
      </c>
      <c r="AJ26" s="984">
        <f>AnnualAverage(Childcare_A!$A26,Childcare_A!AJ$7,ChildcareParms,ChildcareDates,ChildcareNames)</f>
        <v>0.2</v>
      </c>
      <c r="AK26" s="1083">
        <f>AnnualAverage(Childcare_A!$A26,Childcare_A!AK$7,ChildcareParms,ChildcareDates,ChildcareNames)</f>
        <v>3000</v>
      </c>
      <c r="AL26" s="904">
        <f>AnnualAverage(Childcare_A!$A26,Childcare_A!AL$7,ChildcareParms,ChildcareDates,ChildcareNames)</f>
        <v>66761</v>
      </c>
      <c r="AM26" s="905">
        <f>AnnualAverage(Childcare_A!$A26,Childcare_A!AM$7,ChildcareParms,ChildcareDates,ChildcareNames)</f>
        <v>171761</v>
      </c>
      <c r="AN26" s="905">
        <f>AnnualAverage(Childcare_A!$A26,Childcare_A!AN$7,ChildcareParms,ChildcareDates,ChildcareNames)</f>
        <v>251051</v>
      </c>
      <c r="AO26" s="905">
        <f>AnnualAverage(Childcare_A!$A26,Childcare_A!AO$7,ChildcareParms,ChildcareDates,ChildcareNames)</f>
        <v>341051</v>
      </c>
      <c r="AP26" s="906">
        <f>AnnualAverage(Childcare_A!$A26,Childcare_A!AP$7,ChildcareParms,ChildcareDates,ChildcareNames)</f>
        <v>351051</v>
      </c>
      <c r="AQ26" s="905">
        <f>AnnualAverage(Childcare_A!$A26,Childcare_A!AQ$7,ChildcareParms,ChildcareDates,ChildcareNames)</f>
        <v>186761</v>
      </c>
      <c r="AR26" s="905">
        <f>AnnualAverage(Childcare_A!$A26,Childcare_A!AR$7,ChildcareParms,ChildcareDates,ChildcareNames)</f>
        <v>10160</v>
      </c>
      <c r="AS26" s="777">
        <f>AnnualAverage(Childcare_A!$A26,Childcare_A!AS$7,ChildcareParms,ChildcareDates,ChildcareNames)</f>
        <v>4</v>
      </c>
      <c r="AT26" s="725">
        <f>AnnualAverage(Childcare_A!$A26,Childcare_A!AT$7,ChildcareParms,ChildcareDates,ChildcareNames)</f>
        <v>8</v>
      </c>
      <c r="AU26" s="967">
        <f>AnnualAverage(Childcare_A!$A26,Childcare_A!AU$7,ChildcareParms,ChildcareDates,ChildcareNames)</f>
        <v>24</v>
      </c>
      <c r="AV26" s="777">
        <f>AnnualAverage(Childcare_A!$A26,Childcare_A!AV$7,ChildcareParms,ChildcareDates,ChildcareNames)</f>
        <v>0</v>
      </c>
      <c r="AW26" s="782">
        <f>AnnualAverage(Childcare_A!$A26,Childcare_A!AW$7,ChildcareParms,ChildcareDates,ChildcareNames)</f>
        <v>18</v>
      </c>
      <c r="AX26" s="782">
        <f>AnnualAverage(Childcare_A!$A26,Childcare_A!AX$7,ChildcareParms,ChildcareDates,ChildcareNames)</f>
        <v>36</v>
      </c>
      <c r="AY26" s="782">
        <f>AnnualAverage(Childcare_A!$A26,Childcare_A!AY$7,ChildcareParms,ChildcareDates,ChildcareNames)</f>
        <v>50</v>
      </c>
      <c r="AZ26" s="690">
        <f>AnnualAverage(Childcare_A!$A26,Childcare_A!AZ$7,ChildcareParms,ChildcareDates,ChildcareNames)</f>
        <v>12</v>
      </c>
    </row>
    <row r="27" spans="1:52" x14ac:dyDescent="0.25">
      <c r="A27" s="165">
        <v>43647</v>
      </c>
      <c r="B27" s="166">
        <v>44012</v>
      </c>
      <c r="C27" s="107">
        <f>AnnualAverage(Childcare_A!$A27,Childcare_A!C$7,ChildcareParms,ChildcareDates,ChildcareNames)</f>
        <v>0</v>
      </c>
      <c r="D27" s="850">
        <f>AnnualAverage(Childcare_A!$A27,Childcare_A!D$7,ChildcareParms,ChildcareDates,ChildcareNames)</f>
        <v>0</v>
      </c>
      <c r="E27" s="33">
        <f>AnnualAverage(Childcare_A!$A27,Childcare_A!E$7,ChildcareParms,ChildcareDates,ChildcareNames)</f>
        <v>0</v>
      </c>
      <c r="F27" s="75">
        <f>AnnualAverage(Childcare_A!$A27,Childcare_A!F$7,ChildcareParms,ChildcareDates,ChildcareNames)</f>
        <v>0</v>
      </c>
      <c r="G27" s="105">
        <f>AnnualAverage(Childcare_A!$A27,Childcare_A!G$7,ChildcareParms,ChildcareDates,ChildcareNames)</f>
        <v>0</v>
      </c>
      <c r="H27" s="33">
        <f>AnnualAverage(Childcare_A!$A27,Childcare_A!H$7,ChildcareParms,ChildcareDates,ChildcareNames)</f>
        <v>0</v>
      </c>
      <c r="I27" s="75">
        <f>AnnualAverage(Childcare_A!$A27,Childcare_A!I$7,ChildcareParms,ChildcareDates,ChildcareNames)</f>
        <v>0</v>
      </c>
      <c r="J27" s="106">
        <f>AnnualAverage(Childcare_A!$A27,Childcare_A!J$7,ChildcareParms,ChildcareDates,ChildcareNames)</f>
        <v>0</v>
      </c>
      <c r="K27" s="76">
        <f>AnnualAverage(Childcare_A!$A27,Childcare_A!K$7,ChildcareParms,ChildcareDates,ChildcareNames)</f>
        <v>0</v>
      </c>
      <c r="L27" s="106">
        <f>AnnualAverage(Childcare_A!$A27,Childcare_A!L$7,ChildcareParms,ChildcareDates,ChildcareNames)</f>
        <v>0</v>
      </c>
      <c r="M27" s="104">
        <f>AnnualAverage(Childcare_A!$A27,Childcare_A!M$7,ChildcareParms,ChildcareDates,ChildcareNames)</f>
        <v>0</v>
      </c>
      <c r="N27" s="30">
        <f>AnnualAverage(Childcare_A!$A27,Childcare_A!N$7,ChildcareParms,ChildcareDates,ChildcareNames)</f>
        <v>0</v>
      </c>
      <c r="O27" s="15">
        <f>AnnualAverage(Childcare_A!$A27,Childcare_A!O$7,ChildcareParms,ChildcareDates,ChildcareNames)</f>
        <v>0</v>
      </c>
      <c r="P27" s="31">
        <f>AnnualAverage(Childcare_A!$A27,Childcare_A!P$7,ChildcareParms,ChildcareDates,ChildcareNames)</f>
        <v>0</v>
      </c>
      <c r="Q27" s="30">
        <f>AnnualAverage(Childcare_A!$A27,Childcare_A!Q$7,ChildcareParms,ChildcareDates,ChildcareNames)</f>
        <v>5</v>
      </c>
      <c r="R27" s="30">
        <f>AnnualAverage(Childcare_A!$A27,Childcare_A!R$7,ChildcareParms,ChildcareDates,ChildcareNames)</f>
        <v>0</v>
      </c>
      <c r="S27" s="29">
        <f>AnnualAverage(Childcare_A!$A27,Childcare_A!S$7,ChildcareParms,ChildcareDates,ChildcareNames)</f>
        <v>0</v>
      </c>
      <c r="T27" s="29">
        <f>AnnualAverage(Childcare_A!$A27,Childcare_A!T$7,ChildcareParms,ChildcareDates,ChildcareNames)</f>
        <v>0</v>
      </c>
      <c r="U27" s="29">
        <f>AnnualAverage(Childcare_A!$A27,Childcare_A!U$7,ChildcareParms,ChildcareDates,ChildcareNames)</f>
        <v>0</v>
      </c>
      <c r="V27" s="15">
        <f>AnnualAverage(Childcare_A!$A27,Childcare_A!V$7,ChildcareParms,ChildcareDates,ChildcareNames)</f>
        <v>0</v>
      </c>
      <c r="W27" s="882">
        <f>AnnualAverage(Childcare_A!$A27,Childcare_A!W$7,ChildcareParms,ChildcareDates,ChildcareNames)</f>
        <v>0</v>
      </c>
      <c r="X27" s="29">
        <f>AnnualAverage(Childcare_A!$A27,Childcare_A!X$7,ChildcareParms,ChildcareDates,ChildcareNames)</f>
        <v>0</v>
      </c>
      <c r="Y27" s="29">
        <f>AnnualAverage(Childcare_A!$A27,Childcare_A!Y$7,ChildcareParms,ChildcareDates,ChildcareNames)</f>
        <v>0</v>
      </c>
      <c r="Z27" s="29">
        <f>AnnualAverage(Childcare_A!$A27,Childcare_A!Z$7,ChildcareParms,ChildcareDates,ChildcareNames)</f>
        <v>0</v>
      </c>
      <c r="AA27" s="29">
        <f>AnnualAverage(Childcare_A!$A27,Childcare_A!AA$7,ChildcareParms,ChildcareDates,ChildcareNames)</f>
        <v>0</v>
      </c>
      <c r="AB27" s="883">
        <f>AnnualAverage(Childcare_A!$A27,Childcare_A!AB$7,ChildcareParms,ChildcareDates,ChildcareNames)</f>
        <v>0</v>
      </c>
      <c r="AC27" s="106">
        <f>AnnualAverage(Childcare_A!$A27,Childcare_A!AC$7,ChildcareParms,ChildcareDates,ChildcareNames)</f>
        <v>0</v>
      </c>
      <c r="AD27" s="75">
        <f>AnnualAverage(Childcare_A!$A27,Childcare_A!AD$7,ChildcareParms,ChildcareDates,ChildcareNames)</f>
        <v>0</v>
      </c>
      <c r="AE27" s="902">
        <f>AnnualAverage(Childcare_A!$A27,Childcare_A!AE$7,ChildcareParms,ChildcareDates,ChildcareNames)</f>
        <v>11.98</v>
      </c>
      <c r="AF27" s="903">
        <f>AnnualAverage(Childcare_A!$A27,Childcare_A!AF$7,ChildcareParms,ChildcareDates,ChildcareNames)</f>
        <v>11.1</v>
      </c>
      <c r="AG27" s="915">
        <f>AnnualAverage(Childcare_A!$A27,Childcare_A!AG$7,ChildcareParms,ChildcareDates,ChildcareNames)</f>
        <v>10.48</v>
      </c>
      <c r="AH27" s="916">
        <f>AnnualAverage(Childcare_A!$A27,Childcare_A!AH$7,ChildcareParms,ChildcareDates,ChildcareNames)</f>
        <v>0.85</v>
      </c>
      <c r="AI27" s="984">
        <f>AnnualAverage(Childcare_A!$A27,Childcare_A!AI$7,ChildcareParms,ChildcareDates,ChildcareNames)</f>
        <v>0.5</v>
      </c>
      <c r="AJ27" s="984">
        <f>AnnualAverage(Childcare_A!$A27,Childcare_A!AJ$7,ChildcareParms,ChildcareDates,ChildcareNames)</f>
        <v>0.2</v>
      </c>
      <c r="AK27" s="1083">
        <f>AnnualAverage(Childcare_A!$A27,Childcare_A!AK$7,ChildcareParms,ChildcareDates,ChildcareNames)</f>
        <v>3000</v>
      </c>
      <c r="AL27" s="904">
        <f>AnnualAverage(Childcare_A!$A27,Childcare_A!AL$7,ChildcareParms,ChildcareDates,ChildcareNames)</f>
        <v>68163</v>
      </c>
      <c r="AM27" s="905">
        <f>AnnualAverage(Childcare_A!$A27,Childcare_A!AM$7,ChildcareParms,ChildcareDates,ChildcareNames)</f>
        <v>173163</v>
      </c>
      <c r="AN27" s="905">
        <f>AnnualAverage(Childcare_A!$A27,Childcare_A!AN$7,ChildcareParms,ChildcareDates,ChildcareNames)</f>
        <v>252453</v>
      </c>
      <c r="AO27" s="905">
        <f>AnnualAverage(Childcare_A!$A27,Childcare_A!AO$7,ChildcareParms,ChildcareDates,ChildcareNames)</f>
        <v>342453</v>
      </c>
      <c r="AP27" s="906">
        <f>AnnualAverage(Childcare_A!$A27,Childcare_A!AP$7,ChildcareParms,ChildcareDates,ChildcareNames)</f>
        <v>352453</v>
      </c>
      <c r="AQ27" s="905">
        <f>AnnualAverage(Childcare_A!$A27,Childcare_A!AQ$7,ChildcareParms,ChildcareDates,ChildcareNames)</f>
        <v>188163</v>
      </c>
      <c r="AR27" s="905">
        <f>AnnualAverage(Childcare_A!$A27,Childcare_A!AR$7,ChildcareParms,ChildcareDates,ChildcareNames)</f>
        <v>10373</v>
      </c>
      <c r="AS27" s="777">
        <f>AnnualAverage(Childcare_A!$A27,Childcare_A!AS$7,ChildcareParms,ChildcareDates,ChildcareNames)</f>
        <v>4</v>
      </c>
      <c r="AT27" s="725">
        <f>AnnualAverage(Childcare_A!$A27,Childcare_A!AT$7,ChildcareParms,ChildcareDates,ChildcareNames)</f>
        <v>8</v>
      </c>
      <c r="AU27" s="967">
        <f>AnnualAverage(Childcare_A!$A27,Childcare_A!AU$7,ChildcareParms,ChildcareDates,ChildcareNames)</f>
        <v>24</v>
      </c>
      <c r="AV27" s="777">
        <f>AnnualAverage(Childcare_A!$A27,Childcare_A!AV$7,ChildcareParms,ChildcareDates,ChildcareNames)</f>
        <v>0</v>
      </c>
      <c r="AW27" s="782">
        <f>AnnualAverage(Childcare_A!$A27,Childcare_A!AW$7,ChildcareParms,ChildcareDates,ChildcareNames)</f>
        <v>18</v>
      </c>
      <c r="AX27" s="782">
        <f>AnnualAverage(Childcare_A!$A27,Childcare_A!AX$7,ChildcareParms,ChildcareDates,ChildcareNames)</f>
        <v>36</v>
      </c>
      <c r="AY27" s="782">
        <f>AnnualAverage(Childcare_A!$A27,Childcare_A!AY$7,ChildcareParms,ChildcareDates,ChildcareNames)</f>
        <v>50</v>
      </c>
      <c r="AZ27" s="690">
        <f>AnnualAverage(Childcare_A!$A27,Childcare_A!AZ$7,ChildcareParms,ChildcareDates,ChildcareNames)</f>
        <v>12</v>
      </c>
    </row>
    <row r="28" spans="1:52" x14ac:dyDescent="0.25">
      <c r="A28" s="165">
        <v>44013</v>
      </c>
      <c r="B28" s="166">
        <v>44377</v>
      </c>
      <c r="C28" s="107">
        <f>AnnualAverage(Childcare_A!$A28,Childcare_A!C$7,ChildcareParms,ChildcareDates,ChildcareNames)</f>
        <v>0</v>
      </c>
      <c r="D28" s="850">
        <f>AnnualAverage(Childcare_A!$A28,Childcare_A!D$7,ChildcareParms,ChildcareDates,ChildcareNames)</f>
        <v>0</v>
      </c>
      <c r="E28" s="33">
        <f>AnnualAverage(Childcare_A!$A28,Childcare_A!E$7,ChildcareParms,ChildcareDates,ChildcareNames)</f>
        <v>0</v>
      </c>
      <c r="F28" s="75">
        <f>AnnualAverage(Childcare_A!$A28,Childcare_A!F$7,ChildcareParms,ChildcareDates,ChildcareNames)</f>
        <v>0</v>
      </c>
      <c r="G28" s="105">
        <f>AnnualAverage(Childcare_A!$A28,Childcare_A!G$7,ChildcareParms,ChildcareDates,ChildcareNames)</f>
        <v>0</v>
      </c>
      <c r="H28" s="33">
        <f>AnnualAverage(Childcare_A!$A28,Childcare_A!H$7,ChildcareParms,ChildcareDates,ChildcareNames)</f>
        <v>0</v>
      </c>
      <c r="I28" s="75">
        <f>AnnualAverage(Childcare_A!$A28,Childcare_A!I$7,ChildcareParms,ChildcareDates,ChildcareNames)</f>
        <v>0</v>
      </c>
      <c r="J28" s="106">
        <f>AnnualAverage(Childcare_A!$A28,Childcare_A!J$7,ChildcareParms,ChildcareDates,ChildcareNames)</f>
        <v>0</v>
      </c>
      <c r="K28" s="76">
        <f>AnnualAverage(Childcare_A!$A28,Childcare_A!K$7,ChildcareParms,ChildcareDates,ChildcareNames)</f>
        <v>0</v>
      </c>
      <c r="L28" s="106">
        <f>AnnualAverage(Childcare_A!$A28,Childcare_A!L$7,ChildcareParms,ChildcareDates,ChildcareNames)</f>
        <v>0</v>
      </c>
      <c r="M28" s="104">
        <f>AnnualAverage(Childcare_A!$A28,Childcare_A!M$7,ChildcareParms,ChildcareDates,ChildcareNames)</f>
        <v>0</v>
      </c>
      <c r="N28" s="30">
        <f>AnnualAverage(Childcare_A!$A28,Childcare_A!N$7,ChildcareParms,ChildcareDates,ChildcareNames)</f>
        <v>0</v>
      </c>
      <c r="O28" s="15">
        <f>AnnualAverage(Childcare_A!$A28,Childcare_A!O$7,ChildcareParms,ChildcareDates,ChildcareNames)</f>
        <v>0</v>
      </c>
      <c r="P28" s="31">
        <f>AnnualAverage(Childcare_A!$A28,Childcare_A!P$7,ChildcareParms,ChildcareDates,ChildcareNames)</f>
        <v>0</v>
      </c>
      <c r="Q28" s="30">
        <f>AnnualAverage(Childcare_A!$A28,Childcare_A!Q$7,ChildcareParms,ChildcareDates,ChildcareNames)</f>
        <v>5</v>
      </c>
      <c r="R28" s="30">
        <f>AnnualAverage(Childcare_A!$A28,Childcare_A!R$7,ChildcareParms,ChildcareDates,ChildcareNames)</f>
        <v>0</v>
      </c>
      <c r="S28" s="29">
        <f>AnnualAverage(Childcare_A!$A28,Childcare_A!S$7,ChildcareParms,ChildcareDates,ChildcareNames)</f>
        <v>0</v>
      </c>
      <c r="T28" s="29">
        <f>AnnualAverage(Childcare_A!$A28,Childcare_A!T$7,ChildcareParms,ChildcareDates,ChildcareNames)</f>
        <v>0</v>
      </c>
      <c r="U28" s="29">
        <f>AnnualAverage(Childcare_A!$A28,Childcare_A!U$7,ChildcareParms,ChildcareDates,ChildcareNames)</f>
        <v>0</v>
      </c>
      <c r="V28" s="15">
        <f>AnnualAverage(Childcare_A!$A28,Childcare_A!V$7,ChildcareParms,ChildcareDates,ChildcareNames)</f>
        <v>0</v>
      </c>
      <c r="W28" s="882">
        <f>AnnualAverage(Childcare_A!$A28,Childcare_A!W$7,ChildcareParms,ChildcareDates,ChildcareNames)</f>
        <v>0</v>
      </c>
      <c r="X28" s="29">
        <f>AnnualAverage(Childcare_A!$A28,Childcare_A!X$7,ChildcareParms,ChildcareDates,ChildcareNames)</f>
        <v>0</v>
      </c>
      <c r="Y28" s="29">
        <f>AnnualAverage(Childcare_A!$A28,Childcare_A!Y$7,ChildcareParms,ChildcareDates,ChildcareNames)</f>
        <v>0</v>
      </c>
      <c r="Z28" s="29">
        <f>AnnualAverage(Childcare_A!$A28,Childcare_A!Z$7,ChildcareParms,ChildcareDates,ChildcareNames)</f>
        <v>0</v>
      </c>
      <c r="AA28" s="29">
        <f>AnnualAverage(Childcare_A!$A28,Childcare_A!AA$7,ChildcareParms,ChildcareDates,ChildcareNames)</f>
        <v>0</v>
      </c>
      <c r="AB28" s="883">
        <f>AnnualAverage(Childcare_A!$A28,Childcare_A!AB$7,ChildcareParms,ChildcareDates,ChildcareNames)</f>
        <v>0</v>
      </c>
      <c r="AC28" s="106">
        <f>AnnualAverage(Childcare_A!$A28,Childcare_A!AC$7,ChildcareParms,ChildcareDates,ChildcareNames)</f>
        <v>0</v>
      </c>
      <c r="AD28" s="75">
        <f>AnnualAverage(Childcare_A!$A28,Childcare_A!AD$7,ChildcareParms,ChildcareDates,ChildcareNames)</f>
        <v>0</v>
      </c>
      <c r="AE28" s="902">
        <f>AnnualAverage(Childcare_A!$A28,Childcare_A!AE$7,ChildcareParms,ChildcareDates,ChildcareNames)</f>
        <v>12.27</v>
      </c>
      <c r="AF28" s="903">
        <f>AnnualAverage(Childcare_A!$A28,Childcare_A!AF$7,ChildcareParms,ChildcareDates,ChildcareNames)</f>
        <v>11.37</v>
      </c>
      <c r="AG28" s="915">
        <f>AnnualAverage(Childcare_A!$A28,Childcare_A!AG$7,ChildcareParms,ChildcareDates,ChildcareNames)</f>
        <v>10.73</v>
      </c>
      <c r="AH28" s="916">
        <f>AnnualAverage(Childcare_A!$A28,Childcare_A!AH$7,ChildcareParms,ChildcareDates,ChildcareNames)</f>
        <v>0.85</v>
      </c>
      <c r="AI28" s="984">
        <f>AnnualAverage(Childcare_A!$A28,Childcare_A!AI$7,ChildcareParms,ChildcareDates,ChildcareNames)</f>
        <v>0.5</v>
      </c>
      <c r="AJ28" s="984">
        <f>AnnualAverage(Childcare_A!$A28,Childcare_A!AJ$7,ChildcareParms,ChildcareDates,ChildcareNames)</f>
        <v>0.2</v>
      </c>
      <c r="AK28" s="1083">
        <f>AnnualAverage(Childcare_A!$A28,Childcare_A!AK$7,ChildcareParms,ChildcareDates,ChildcareNames)</f>
        <v>3000</v>
      </c>
      <c r="AL28" s="904">
        <f>AnnualAverage(Childcare_A!$A28,Childcare_A!AL$7,ChildcareParms,ChildcareDates,ChildcareNames)</f>
        <v>69799</v>
      </c>
      <c r="AM28" s="905">
        <f>AnnualAverage(Childcare_A!$A28,Childcare_A!AM$7,ChildcareParms,ChildcareDates,ChildcareNames)</f>
        <v>174799</v>
      </c>
      <c r="AN28" s="905">
        <f>AnnualAverage(Childcare_A!$A28,Childcare_A!AN$7,ChildcareParms,ChildcareDates,ChildcareNames)</f>
        <v>254089</v>
      </c>
      <c r="AO28" s="905">
        <f>AnnualAverage(Childcare_A!$A28,Childcare_A!AO$7,ChildcareParms,ChildcareDates,ChildcareNames)</f>
        <v>344089</v>
      </c>
      <c r="AP28" s="906">
        <f>AnnualAverage(Childcare_A!$A28,Childcare_A!AP$7,ChildcareParms,ChildcareDates,ChildcareNames)</f>
        <v>354089</v>
      </c>
      <c r="AQ28" s="905">
        <f>AnnualAverage(Childcare_A!$A28,Childcare_A!AQ$7,ChildcareParms,ChildcareDates,ChildcareNames)</f>
        <v>189799</v>
      </c>
      <c r="AR28" s="905">
        <f>AnnualAverage(Childcare_A!$A28,Childcare_A!AR$7,ChildcareParms,ChildcareDates,ChildcareNames)</f>
        <v>10622</v>
      </c>
      <c r="AS28" s="777">
        <f>AnnualAverage(Childcare_A!$A28,Childcare_A!AS$7,ChildcareParms,ChildcareDates,ChildcareNames)</f>
        <v>4</v>
      </c>
      <c r="AT28" s="725">
        <f>AnnualAverage(Childcare_A!$A28,Childcare_A!AT$7,ChildcareParms,ChildcareDates,ChildcareNames)</f>
        <v>8</v>
      </c>
      <c r="AU28" s="967">
        <f>AnnualAverage(Childcare_A!$A28,Childcare_A!AU$7,ChildcareParms,ChildcareDates,ChildcareNames)</f>
        <v>24</v>
      </c>
      <c r="AV28" s="777">
        <f>AnnualAverage(Childcare_A!$A28,Childcare_A!AV$7,ChildcareParms,ChildcareDates,ChildcareNames)</f>
        <v>0</v>
      </c>
      <c r="AW28" s="782">
        <f>AnnualAverage(Childcare_A!$A28,Childcare_A!AW$7,ChildcareParms,ChildcareDates,ChildcareNames)</f>
        <v>18</v>
      </c>
      <c r="AX28" s="782">
        <f>AnnualAverage(Childcare_A!$A28,Childcare_A!AX$7,ChildcareParms,ChildcareDates,ChildcareNames)</f>
        <v>36</v>
      </c>
      <c r="AY28" s="782">
        <f>AnnualAverage(Childcare_A!$A28,Childcare_A!AY$7,ChildcareParms,ChildcareDates,ChildcareNames)</f>
        <v>50</v>
      </c>
      <c r="AZ28" s="690">
        <f>AnnualAverage(Childcare_A!$A28,Childcare_A!AZ$7,ChildcareParms,ChildcareDates,ChildcareNames)</f>
        <v>12</v>
      </c>
    </row>
  </sheetData>
  <customSheetViews>
    <customSheetView guid="{E49C2F27-B0B9-497E-BEC0-5B59561292FE}" scale="80">
      <pane xSplit="2" ySplit="7" topLeftCell="AM8" activePane="bottomRight" state="frozen"/>
      <selection pane="bottomRight" activeCell="AY33" sqref="AY33"/>
      <pageMargins left="0.7" right="0.7" top="0.75" bottom="0.75" header="0.3" footer="0.3"/>
      <pageSetup paperSize="9" orientation="portrait" r:id="rId1"/>
    </customSheetView>
    <customSheetView guid="{A5953138-1481-4137-BEAD-32FA4FDF03E6}" scale="80">
      <pane xSplit="2" ySplit="7" topLeftCell="AM8" activePane="bottomRight" state="frozen"/>
      <selection pane="bottomRight" activeCell="AY33" sqref="AY33"/>
      <pageMargins left="0.7" right="0.7" top="0.75" bottom="0.75" header="0.3" footer="0.3"/>
      <pageSetup paperSize="9" orientation="portrait" r:id="rId2"/>
    </customSheetView>
    <customSheetView guid="{2A1F94CA-1A34-4418-88FD-EABF7586C2B2}" scale="80">
      <pane xSplit="2" ySplit="7" topLeftCell="AM8" activePane="bottomRight" state="frozen"/>
      <selection pane="bottomRight" activeCell="AY33" sqref="AY33"/>
      <pageMargins left="0.7" right="0.7" top="0.75" bottom="0.75" header="0.3" footer="0.3"/>
      <pageSetup paperSize="9" orientation="portrait" r:id="rId3"/>
    </customSheetView>
  </customSheetViews>
  <mergeCells count="71">
    <mergeCell ref="AO3:AO6"/>
    <mergeCell ref="AN3:AN6"/>
    <mergeCell ref="AQ3:AQ6"/>
    <mergeCell ref="AZ3:AZ6"/>
    <mergeCell ref="AV2:AZ2"/>
    <mergeCell ref="AV3:AV6"/>
    <mergeCell ref="AW3:AW6"/>
    <mergeCell ref="AX3:AX6"/>
    <mergeCell ref="AY3:AY6"/>
    <mergeCell ref="AP3:AP6"/>
    <mergeCell ref="AR3:AR6"/>
    <mergeCell ref="AS3:AS6"/>
    <mergeCell ref="AT3:AT6"/>
    <mergeCell ref="AU3:AU6"/>
    <mergeCell ref="D3:D6"/>
    <mergeCell ref="E3:F4"/>
    <mergeCell ref="J3:K3"/>
    <mergeCell ref="L3:M3"/>
    <mergeCell ref="R2:AB2"/>
    <mergeCell ref="R3:V3"/>
    <mergeCell ref="X4:X6"/>
    <mergeCell ref="Y4:Y6"/>
    <mergeCell ref="Z4:Z6"/>
    <mergeCell ref="AA4:AA6"/>
    <mergeCell ref="AB4:AB6"/>
    <mergeCell ref="AD3:AD6"/>
    <mergeCell ref="M4:M6"/>
    <mergeCell ref="N4:N6"/>
    <mergeCell ref="O4:O6"/>
    <mergeCell ref="P2:P6"/>
    <mergeCell ref="AC3:AC6"/>
    <mergeCell ref="N2:O3"/>
    <mergeCell ref="AC1:AD2"/>
    <mergeCell ref="Q2:Q6"/>
    <mergeCell ref="W3:AB3"/>
    <mergeCell ref="R4:R6"/>
    <mergeCell ref="S4:S6"/>
    <mergeCell ref="T4:T6"/>
    <mergeCell ref="U4:U6"/>
    <mergeCell ref="V4:V6"/>
    <mergeCell ref="W4:W6"/>
    <mergeCell ref="A1:B3"/>
    <mergeCell ref="A4:A5"/>
    <mergeCell ref="B4:B5"/>
    <mergeCell ref="H2:I3"/>
    <mergeCell ref="J2:M2"/>
    <mergeCell ref="C2:G2"/>
    <mergeCell ref="C3:C6"/>
    <mergeCell ref="E5:E6"/>
    <mergeCell ref="F5:F6"/>
    <mergeCell ref="G3:G6"/>
    <mergeCell ref="H4:H6"/>
    <mergeCell ref="I4:I6"/>
    <mergeCell ref="J4:J6"/>
    <mergeCell ref="K4:K6"/>
    <mergeCell ref="L4:L6"/>
    <mergeCell ref="C1:AB1"/>
    <mergeCell ref="AE2:AG2"/>
    <mergeCell ref="AL2:AR2"/>
    <mergeCell ref="AS2:AU2"/>
    <mergeCell ref="AH2:AK2"/>
    <mergeCell ref="AE1:AZ1"/>
    <mergeCell ref="AE3:AE6"/>
    <mergeCell ref="AF3:AF6"/>
    <mergeCell ref="AG3:AG6"/>
    <mergeCell ref="AL3:AL6"/>
    <mergeCell ref="AM3:AM6"/>
    <mergeCell ref="AH3:AH6"/>
    <mergeCell ref="AK3:AK6"/>
    <mergeCell ref="AI3:AI6"/>
    <mergeCell ref="AJ3:AJ6"/>
  </mergeCells>
  <pageMargins left="0.7" right="0.7" top="0.75" bottom="0.75" header="0.3" footer="0.3"/>
  <pageSetup paperSize="9" orientation="portrait" r:id="rId4"/>
  <legacyDrawing r:id="rId5"/>
</worksheet>
</file>

<file path=xl/worksheets/sheet4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900-000000000000}">
  <sheetPr codeName="Sheet31">
    <tabColor theme="9"/>
  </sheetPr>
  <dimension ref="A1:AM92"/>
  <sheetViews>
    <sheetView workbookViewId="0">
      <pane xSplit="2" ySplit="7" topLeftCell="Q58" activePane="bottomRight" state="frozen"/>
      <selection pane="topRight" activeCell="C1" sqref="C1"/>
      <selection pane="bottomLeft" activeCell="A8" sqref="A8"/>
      <selection pane="bottomRight" activeCell="G82" sqref="G82"/>
    </sheetView>
  </sheetViews>
  <sheetFormatPr defaultRowHeight="15" x14ac:dyDescent="0.25"/>
  <cols>
    <col min="1" max="2" width="14" style="408" customWidth="1"/>
    <col min="3" max="6" width="17.7109375" style="472" customWidth="1"/>
    <col min="7" max="7" width="28.42578125" style="472" customWidth="1"/>
    <col min="8" max="13" width="17.7109375" style="472" customWidth="1"/>
    <col min="14" max="14" width="17.7109375" style="473" customWidth="1"/>
    <col min="15" max="15" width="15.42578125" style="472" customWidth="1"/>
    <col min="16" max="16" width="18" style="472" customWidth="1"/>
    <col min="17" max="17" width="14.140625" style="472" customWidth="1"/>
    <col min="18" max="18" width="14.140625" style="759" customWidth="1"/>
    <col min="19" max="20" width="14.140625" style="472" customWidth="1"/>
    <col min="21" max="23" width="15.85546875" style="472" customWidth="1"/>
    <col min="24" max="24" width="16.85546875" style="472" customWidth="1"/>
    <col min="25" max="25" width="15.85546875" style="472" customWidth="1"/>
    <col min="26" max="26" width="15.140625" style="472" customWidth="1"/>
    <col min="27" max="27" width="15.42578125" style="472" customWidth="1"/>
    <col min="28" max="28" width="17.7109375" style="472" customWidth="1"/>
    <col min="29" max="29" width="22.5703125" style="472" bestFit="1" customWidth="1"/>
    <col min="30" max="30" width="17.7109375" style="474" customWidth="1"/>
    <col min="31" max="35" width="17.7109375" style="472" customWidth="1"/>
    <col min="36" max="36" width="17.7109375" style="474" customWidth="1"/>
    <col min="37" max="38" width="21.42578125" style="472" customWidth="1"/>
    <col min="39" max="39" width="20.7109375" style="408" customWidth="1"/>
    <col min="40" max="16384" width="9.140625" style="408"/>
  </cols>
  <sheetData>
    <row r="1" spans="1:39" ht="15.75" thickBot="1" x14ac:dyDescent="0.3">
      <c r="A1" s="407"/>
      <c r="B1" s="407"/>
      <c r="C1" s="1382" t="s">
        <v>23</v>
      </c>
      <c r="D1" s="1435"/>
      <c r="E1" s="1435"/>
      <c r="F1" s="1435"/>
      <c r="G1" s="1435"/>
      <c r="H1" s="1435"/>
      <c r="I1" s="1435"/>
      <c r="J1" s="1435"/>
      <c r="K1" s="1435"/>
      <c r="L1" s="1435"/>
      <c r="M1" s="1435"/>
      <c r="N1" s="1435"/>
      <c r="O1" s="1435"/>
      <c r="P1" s="1435"/>
      <c r="Q1" s="1435"/>
      <c r="R1" s="760"/>
      <c r="S1" s="618"/>
      <c r="T1" s="618"/>
      <c r="U1" s="618"/>
      <c r="V1" s="618"/>
      <c r="W1" s="618"/>
      <c r="X1" s="618"/>
      <c r="Y1" s="761"/>
      <c r="Z1" s="761"/>
      <c r="AA1" s="618"/>
      <c r="AB1" s="1382" t="s">
        <v>24</v>
      </c>
      <c r="AC1" s="1383"/>
      <c r="AD1" s="1383"/>
      <c r="AE1" s="1383"/>
      <c r="AF1" s="1383"/>
      <c r="AG1" s="1383"/>
      <c r="AH1" s="1383"/>
      <c r="AI1" s="1383"/>
      <c r="AJ1" s="1384"/>
      <c r="AK1" s="1385" t="s">
        <v>251</v>
      </c>
      <c r="AL1" s="1386"/>
      <c r="AM1" s="1387"/>
    </row>
    <row r="2" spans="1:39" ht="15.75" customHeight="1" thickBot="1" x14ac:dyDescent="0.3">
      <c r="A2" s="1385" t="s">
        <v>13</v>
      </c>
      <c r="B2" s="1387"/>
      <c r="C2" s="1411" t="s">
        <v>117</v>
      </c>
      <c r="D2" s="1412"/>
      <c r="E2" s="1412"/>
      <c r="F2" s="1412"/>
      <c r="G2" s="1412"/>
      <c r="H2" s="1412"/>
      <c r="I2" s="1412"/>
      <c r="J2" s="1412"/>
      <c r="K2" s="1412"/>
      <c r="L2" s="1412"/>
      <c r="M2" s="1412"/>
      <c r="N2" s="1412"/>
      <c r="O2" s="1421" t="s">
        <v>44</v>
      </c>
      <c r="P2" s="1421" t="s">
        <v>869</v>
      </c>
      <c r="Q2" s="1371" t="s">
        <v>45</v>
      </c>
      <c r="R2" s="1373"/>
      <c r="S2" s="1371" t="s">
        <v>346</v>
      </c>
      <c r="T2" s="1372"/>
      <c r="U2" s="1372"/>
      <c r="V2" s="1373"/>
      <c r="W2" s="1371" t="s">
        <v>477</v>
      </c>
      <c r="X2" s="1372"/>
      <c r="Y2" s="1373"/>
      <c r="Z2" s="1385" t="s">
        <v>235</v>
      </c>
      <c r="AA2" s="1387"/>
      <c r="AB2" s="1385" t="s">
        <v>876</v>
      </c>
      <c r="AC2" s="1386"/>
      <c r="AD2" s="1387"/>
      <c r="AE2" s="1385" t="s">
        <v>250</v>
      </c>
      <c r="AF2" s="1386"/>
      <c r="AG2" s="1411" t="s">
        <v>244</v>
      </c>
      <c r="AH2" s="1412"/>
      <c r="AI2" s="1412"/>
      <c r="AJ2" s="1413"/>
      <c r="AK2" s="1388"/>
      <c r="AL2" s="1389"/>
      <c r="AM2" s="1390"/>
    </row>
    <row r="3" spans="1:39" ht="15.75" customHeight="1" thickBot="1" x14ac:dyDescent="0.3">
      <c r="A3" s="1400"/>
      <c r="B3" s="1401"/>
      <c r="C3" s="1428" t="s">
        <v>116</v>
      </c>
      <c r="D3" s="1429"/>
      <c r="E3" s="1429"/>
      <c r="F3" s="1429"/>
      <c r="G3" s="1429"/>
      <c r="H3" s="1429"/>
      <c r="I3" s="1429"/>
      <c r="J3" s="1430"/>
      <c r="K3" s="1436" t="s">
        <v>115</v>
      </c>
      <c r="L3" s="1437"/>
      <c r="M3" s="1437"/>
      <c r="N3" s="1438"/>
      <c r="O3" s="1422"/>
      <c r="P3" s="1422"/>
      <c r="Q3" s="1374"/>
      <c r="R3" s="1376"/>
      <c r="S3" s="1374"/>
      <c r="T3" s="1375"/>
      <c r="U3" s="1375"/>
      <c r="V3" s="1376"/>
      <c r="W3" s="1374"/>
      <c r="X3" s="1375"/>
      <c r="Y3" s="1376"/>
      <c r="Z3" s="1400"/>
      <c r="AA3" s="1401"/>
      <c r="AB3" s="1388"/>
      <c r="AC3" s="1389"/>
      <c r="AD3" s="1390"/>
      <c r="AE3" s="1388"/>
      <c r="AF3" s="1389"/>
      <c r="AG3" s="1406" t="s">
        <v>248</v>
      </c>
      <c r="AH3" s="1407"/>
      <c r="AI3" s="1407"/>
      <c r="AJ3" s="1414" t="s">
        <v>249</v>
      </c>
      <c r="AK3" s="1380" t="s">
        <v>52</v>
      </c>
      <c r="AL3" s="1403" t="s">
        <v>523</v>
      </c>
      <c r="AM3" s="1403" t="s">
        <v>524</v>
      </c>
    </row>
    <row r="4" spans="1:39" ht="15" customHeight="1" thickBot="1" x14ac:dyDescent="0.3">
      <c r="A4" s="1417" t="s">
        <v>16</v>
      </c>
      <c r="B4" s="1419" t="s">
        <v>17</v>
      </c>
      <c r="C4" s="1424" t="s">
        <v>50</v>
      </c>
      <c r="D4" s="1425"/>
      <c r="E4" s="1424" t="s">
        <v>349</v>
      </c>
      <c r="F4" s="1425"/>
      <c r="G4" s="1424" t="s">
        <v>348</v>
      </c>
      <c r="H4" s="1425"/>
      <c r="I4" s="1424" t="s">
        <v>49</v>
      </c>
      <c r="J4" s="1425"/>
      <c r="K4" s="1431" t="s">
        <v>48</v>
      </c>
      <c r="L4" s="1432"/>
      <c r="M4" s="1431" t="s">
        <v>49</v>
      </c>
      <c r="N4" s="1432"/>
      <c r="O4" s="1422"/>
      <c r="P4" s="1422"/>
      <c r="Q4" s="1377"/>
      <c r="R4" s="1379"/>
      <c r="S4" s="1377"/>
      <c r="T4" s="1378"/>
      <c r="U4" s="649"/>
      <c r="V4" s="650"/>
      <c r="W4" s="1377"/>
      <c r="X4" s="1378"/>
      <c r="Y4" s="1379"/>
      <c r="Z4" s="1388"/>
      <c r="AA4" s="1390"/>
      <c r="AB4" s="1391" t="s">
        <v>238</v>
      </c>
      <c r="AC4" s="1394" t="s">
        <v>46</v>
      </c>
      <c r="AD4" s="1397" t="s">
        <v>47</v>
      </c>
      <c r="AE4" s="1391" t="s">
        <v>239</v>
      </c>
      <c r="AF4" s="1394" t="s">
        <v>47</v>
      </c>
      <c r="AG4" s="1391" t="s">
        <v>245</v>
      </c>
      <c r="AH4" s="1394" t="s">
        <v>246</v>
      </c>
      <c r="AI4" s="1408" t="s">
        <v>57</v>
      </c>
      <c r="AJ4" s="1415"/>
      <c r="AK4" s="1402"/>
      <c r="AL4" s="1404"/>
      <c r="AM4" s="1404"/>
    </row>
    <row r="5" spans="1:39" ht="15.75" customHeight="1" thickBot="1" x14ac:dyDescent="0.3">
      <c r="A5" s="1417"/>
      <c r="B5" s="1419"/>
      <c r="C5" s="1426"/>
      <c r="D5" s="1427"/>
      <c r="E5" s="1426"/>
      <c r="F5" s="1427"/>
      <c r="G5" s="1426"/>
      <c r="H5" s="1427"/>
      <c r="I5" s="1426"/>
      <c r="J5" s="1427"/>
      <c r="K5" s="1433"/>
      <c r="L5" s="1434"/>
      <c r="M5" s="1433"/>
      <c r="N5" s="1434"/>
      <c r="O5" s="1422"/>
      <c r="P5" s="1422"/>
      <c r="Q5" s="1380" t="s">
        <v>566</v>
      </c>
      <c r="R5" s="1439" t="s">
        <v>565</v>
      </c>
      <c r="S5" s="1402" t="s">
        <v>350</v>
      </c>
      <c r="T5" s="1380" t="s">
        <v>351</v>
      </c>
      <c r="U5" s="1402" t="s">
        <v>347</v>
      </c>
      <c r="V5" s="1402" t="s">
        <v>352</v>
      </c>
      <c r="W5" s="1380" t="s">
        <v>479</v>
      </c>
      <c r="X5" s="1380" t="s">
        <v>480</v>
      </c>
      <c r="Y5" s="1380" t="s">
        <v>478</v>
      </c>
      <c r="Z5" s="1380" t="s">
        <v>236</v>
      </c>
      <c r="AA5" s="1380" t="s">
        <v>237</v>
      </c>
      <c r="AB5" s="1392"/>
      <c r="AC5" s="1395"/>
      <c r="AD5" s="1398"/>
      <c r="AE5" s="1392"/>
      <c r="AF5" s="1395"/>
      <c r="AG5" s="1392"/>
      <c r="AH5" s="1395"/>
      <c r="AI5" s="1409"/>
      <c r="AJ5" s="1415"/>
      <c r="AK5" s="1402"/>
      <c r="AL5" s="1404"/>
      <c r="AM5" s="1404"/>
    </row>
    <row r="6" spans="1:39" ht="30.75" customHeight="1" thickBot="1" x14ac:dyDescent="0.3">
      <c r="A6" s="1418"/>
      <c r="B6" s="1420"/>
      <c r="C6" s="839" t="s">
        <v>233</v>
      </c>
      <c r="D6" s="836" t="s">
        <v>605</v>
      </c>
      <c r="E6" s="839" t="s">
        <v>233</v>
      </c>
      <c r="F6" s="836" t="s">
        <v>605</v>
      </c>
      <c r="G6" s="839" t="s">
        <v>233</v>
      </c>
      <c r="H6" s="836" t="s">
        <v>605</v>
      </c>
      <c r="I6" s="839" t="s">
        <v>233</v>
      </c>
      <c r="J6" s="836" t="s">
        <v>605</v>
      </c>
      <c r="K6" s="839" t="s">
        <v>233</v>
      </c>
      <c r="L6" s="836" t="s">
        <v>605</v>
      </c>
      <c r="M6" s="839" t="s">
        <v>233</v>
      </c>
      <c r="N6" s="836" t="s">
        <v>605</v>
      </c>
      <c r="O6" s="1423"/>
      <c r="P6" s="1423"/>
      <c r="Q6" s="1381"/>
      <c r="R6" s="1440"/>
      <c r="S6" s="1381"/>
      <c r="T6" s="1381"/>
      <c r="U6" s="1381"/>
      <c r="V6" s="1381"/>
      <c r="W6" s="1381"/>
      <c r="X6" s="1381"/>
      <c r="Y6" s="1381"/>
      <c r="Z6" s="1381"/>
      <c r="AA6" s="1381"/>
      <c r="AB6" s="1393"/>
      <c r="AC6" s="1396"/>
      <c r="AD6" s="1399"/>
      <c r="AE6" s="1393"/>
      <c r="AF6" s="1396"/>
      <c r="AG6" s="1393"/>
      <c r="AH6" s="1396"/>
      <c r="AI6" s="1410"/>
      <c r="AJ6" s="1416"/>
      <c r="AK6" s="1381"/>
      <c r="AL6" s="1405"/>
      <c r="AM6" s="1405"/>
    </row>
    <row r="7" spans="1:39" ht="15" customHeight="1" thickBot="1" x14ac:dyDescent="0.3">
      <c r="A7" s="713" t="s">
        <v>550</v>
      </c>
      <c r="B7" s="714" t="s">
        <v>551</v>
      </c>
      <c r="C7" s="409" t="s">
        <v>443</v>
      </c>
      <c r="D7" s="410" t="s">
        <v>635</v>
      </c>
      <c r="E7" s="409" t="s">
        <v>444</v>
      </c>
      <c r="F7" s="410" t="s">
        <v>636</v>
      </c>
      <c r="G7" s="409" t="s">
        <v>445</v>
      </c>
      <c r="H7" s="410" t="s">
        <v>637</v>
      </c>
      <c r="I7" s="409" t="s">
        <v>792</v>
      </c>
      <c r="J7" s="410" t="s">
        <v>793</v>
      </c>
      <c r="K7" s="409" t="s">
        <v>446</v>
      </c>
      <c r="L7" s="410" t="s">
        <v>638</v>
      </c>
      <c r="M7" s="412" t="s">
        <v>794</v>
      </c>
      <c r="N7" s="411" t="s">
        <v>795</v>
      </c>
      <c r="O7" s="411" t="s">
        <v>447</v>
      </c>
      <c r="P7" s="411" t="s">
        <v>870</v>
      </c>
      <c r="Q7" s="413" t="s">
        <v>448</v>
      </c>
      <c r="R7" s="764" t="s">
        <v>564</v>
      </c>
      <c r="S7" s="412" t="s">
        <v>519</v>
      </c>
      <c r="T7" s="414" t="s">
        <v>520</v>
      </c>
      <c r="U7" s="414" t="s">
        <v>521</v>
      </c>
      <c r="V7" s="411" t="s">
        <v>522</v>
      </c>
      <c r="W7" s="695" t="s">
        <v>796</v>
      </c>
      <c r="X7" s="698" t="s">
        <v>797</v>
      </c>
      <c r="Y7" s="696" t="s">
        <v>798</v>
      </c>
      <c r="Z7" s="412" t="s">
        <v>799</v>
      </c>
      <c r="AA7" s="411" t="s">
        <v>800</v>
      </c>
      <c r="AB7" s="412" t="s">
        <v>449</v>
      </c>
      <c r="AC7" s="414" t="s">
        <v>450</v>
      </c>
      <c r="AD7" s="415" t="s">
        <v>451</v>
      </c>
      <c r="AE7" s="412" t="s">
        <v>452</v>
      </c>
      <c r="AF7" s="698" t="s">
        <v>453</v>
      </c>
      <c r="AG7" s="412" t="s">
        <v>454</v>
      </c>
      <c r="AH7" s="414" t="s">
        <v>455</v>
      </c>
      <c r="AI7" s="411" t="s">
        <v>456</v>
      </c>
      <c r="AJ7" s="416" t="s">
        <v>457</v>
      </c>
      <c r="AK7" s="413" t="s">
        <v>664</v>
      </c>
      <c r="AL7" s="417" t="s">
        <v>801</v>
      </c>
      <c r="AM7" s="800" t="s">
        <v>802</v>
      </c>
    </row>
    <row r="8" spans="1:39" x14ac:dyDescent="0.25">
      <c r="A8" s="418">
        <v>36708</v>
      </c>
      <c r="B8" s="419">
        <v>36788</v>
      </c>
      <c r="C8" s="420">
        <v>3029.5</v>
      </c>
      <c r="D8" s="421"/>
      <c r="E8" s="420">
        <v>3839.8</v>
      </c>
      <c r="F8" s="421"/>
      <c r="G8" s="420">
        <v>974.55</v>
      </c>
      <c r="H8" s="421"/>
      <c r="I8" s="420">
        <v>1306.7</v>
      </c>
      <c r="J8" s="421"/>
      <c r="K8" s="420">
        <v>974.55</v>
      </c>
      <c r="L8" s="421"/>
      <c r="M8" s="420">
        <v>1306.7</v>
      </c>
      <c r="N8" s="421"/>
      <c r="O8" s="422">
        <v>0</v>
      </c>
      <c r="P8" s="422"/>
      <c r="Q8" s="422">
        <v>208.05</v>
      </c>
      <c r="R8" s="765"/>
      <c r="S8" s="429"/>
      <c r="T8" s="432"/>
      <c r="U8" s="423"/>
      <c r="V8" s="421"/>
      <c r="W8" s="423"/>
      <c r="X8" s="423"/>
      <c r="Y8" s="423"/>
      <c r="Z8" s="420">
        <v>2533.1</v>
      </c>
      <c r="AA8" s="421">
        <v>3379.9</v>
      </c>
      <c r="AB8" s="420">
        <v>73000</v>
      </c>
      <c r="AC8" s="423">
        <v>3000</v>
      </c>
      <c r="AD8" s="424">
        <v>0.3</v>
      </c>
      <c r="AE8" s="420">
        <v>28200</v>
      </c>
      <c r="AF8" s="1066">
        <v>0.3</v>
      </c>
      <c r="AG8" s="420">
        <v>1007.4</v>
      </c>
      <c r="AH8" s="423">
        <v>2014.8</v>
      </c>
      <c r="AI8" s="421">
        <v>335.8</v>
      </c>
      <c r="AJ8" s="425">
        <v>0.5</v>
      </c>
      <c r="AK8" s="422"/>
      <c r="AL8" s="426">
        <v>25</v>
      </c>
      <c r="AM8" s="710"/>
    </row>
    <row r="9" spans="1:39" x14ac:dyDescent="0.25">
      <c r="A9" s="427">
        <v>36789</v>
      </c>
      <c r="B9" s="428">
        <v>36891</v>
      </c>
      <c r="C9" s="429">
        <v>3029.5</v>
      </c>
      <c r="D9" s="430"/>
      <c r="E9" s="429">
        <v>3839.8</v>
      </c>
      <c r="F9" s="430"/>
      <c r="G9" s="429">
        <v>974.55</v>
      </c>
      <c r="H9" s="430"/>
      <c r="I9" s="429">
        <v>1306.7</v>
      </c>
      <c r="J9" s="430"/>
      <c r="K9" s="429">
        <v>974.55</v>
      </c>
      <c r="L9" s="430"/>
      <c r="M9" s="429">
        <v>1306.7</v>
      </c>
      <c r="N9" s="430"/>
      <c r="O9" s="431">
        <v>0</v>
      </c>
      <c r="P9" s="431"/>
      <c r="Q9" s="431">
        <v>208.05</v>
      </c>
      <c r="R9" s="765"/>
      <c r="S9" s="429"/>
      <c r="T9" s="432"/>
      <c r="U9" s="432"/>
      <c r="V9" s="430"/>
      <c r="W9" s="432"/>
      <c r="X9" s="432"/>
      <c r="Y9" s="432"/>
      <c r="Z9" s="429">
        <v>2533.1</v>
      </c>
      <c r="AA9" s="430">
        <v>3379.9</v>
      </c>
      <c r="AB9" s="429">
        <v>73000</v>
      </c>
      <c r="AC9" s="432">
        <v>3000</v>
      </c>
      <c r="AD9" s="433">
        <v>0.3</v>
      </c>
      <c r="AE9" s="429">
        <v>28200</v>
      </c>
      <c r="AF9" s="1067">
        <v>0.3</v>
      </c>
      <c r="AG9" s="429">
        <v>1007.4</v>
      </c>
      <c r="AH9" s="432">
        <v>2014.8</v>
      </c>
      <c r="AI9" s="430">
        <v>335.8</v>
      </c>
      <c r="AJ9" s="434">
        <v>0.5</v>
      </c>
      <c r="AK9" s="431"/>
      <c r="AL9" s="435">
        <v>25</v>
      </c>
      <c r="AM9" s="709"/>
    </row>
    <row r="10" spans="1:39" x14ac:dyDescent="0.25">
      <c r="A10" s="427">
        <v>36892</v>
      </c>
      <c r="B10" s="428">
        <v>36969</v>
      </c>
      <c r="C10" s="429">
        <v>3029.5</v>
      </c>
      <c r="D10" s="430"/>
      <c r="E10" s="429">
        <v>3839.8</v>
      </c>
      <c r="F10" s="430"/>
      <c r="G10" s="429">
        <v>974.55</v>
      </c>
      <c r="H10" s="430"/>
      <c r="I10" s="429">
        <v>1306.7</v>
      </c>
      <c r="J10" s="430"/>
      <c r="K10" s="429">
        <v>974.55</v>
      </c>
      <c r="L10" s="430"/>
      <c r="M10" s="429">
        <v>1306.7</v>
      </c>
      <c r="N10" s="430"/>
      <c r="O10" s="431">
        <v>0</v>
      </c>
      <c r="P10" s="431"/>
      <c r="Q10" s="431">
        <v>208.05</v>
      </c>
      <c r="R10" s="765"/>
      <c r="S10" s="429"/>
      <c r="T10" s="432"/>
      <c r="U10" s="432"/>
      <c r="V10" s="430"/>
      <c r="W10" s="432"/>
      <c r="X10" s="432"/>
      <c r="Y10" s="432"/>
      <c r="Z10" s="429">
        <v>2533.1</v>
      </c>
      <c r="AA10" s="430">
        <v>3379.9</v>
      </c>
      <c r="AB10" s="429">
        <v>73000</v>
      </c>
      <c r="AC10" s="432">
        <v>3000</v>
      </c>
      <c r="AD10" s="433">
        <v>0.3</v>
      </c>
      <c r="AE10" s="429">
        <v>28200</v>
      </c>
      <c r="AF10" s="1067">
        <v>0.3</v>
      </c>
      <c r="AG10" s="429">
        <v>1007.4</v>
      </c>
      <c r="AH10" s="432">
        <v>2014.8</v>
      </c>
      <c r="AI10" s="430">
        <v>335.8</v>
      </c>
      <c r="AJ10" s="434">
        <v>0.5</v>
      </c>
      <c r="AK10" s="431"/>
      <c r="AL10" s="435">
        <v>25</v>
      </c>
      <c r="AM10" s="709"/>
    </row>
    <row r="11" spans="1:39" ht="15.75" thickBot="1" x14ac:dyDescent="0.3">
      <c r="A11" s="436">
        <v>36970</v>
      </c>
      <c r="B11" s="437">
        <v>37072</v>
      </c>
      <c r="C11" s="438">
        <v>3029.5</v>
      </c>
      <c r="D11" s="439"/>
      <c r="E11" s="438">
        <v>3839.8</v>
      </c>
      <c r="F11" s="439"/>
      <c r="G11" s="438">
        <v>974.55</v>
      </c>
      <c r="H11" s="439"/>
      <c r="I11" s="438">
        <v>1306.7</v>
      </c>
      <c r="J11" s="439"/>
      <c r="K11" s="438">
        <v>974.55</v>
      </c>
      <c r="L11" s="439"/>
      <c r="M11" s="438">
        <v>1306.7</v>
      </c>
      <c r="N11" s="439"/>
      <c r="O11" s="440">
        <v>0</v>
      </c>
      <c r="P11" s="440"/>
      <c r="Q11" s="440">
        <v>208.05</v>
      </c>
      <c r="R11" s="766"/>
      <c r="S11" s="438"/>
      <c r="T11" s="441"/>
      <c r="U11" s="441"/>
      <c r="V11" s="439"/>
      <c r="W11" s="441"/>
      <c r="X11" s="441"/>
      <c r="Y11" s="441"/>
      <c r="Z11" s="438">
        <v>2533.1</v>
      </c>
      <c r="AA11" s="439">
        <v>3379.9</v>
      </c>
      <c r="AB11" s="438">
        <v>73000</v>
      </c>
      <c r="AC11" s="441">
        <v>3000</v>
      </c>
      <c r="AD11" s="442">
        <v>0.3</v>
      </c>
      <c r="AE11" s="438">
        <v>28200</v>
      </c>
      <c r="AF11" s="1068">
        <v>0.3</v>
      </c>
      <c r="AG11" s="438">
        <v>1007.4</v>
      </c>
      <c r="AH11" s="441">
        <v>2014.8</v>
      </c>
      <c r="AI11" s="439">
        <v>335.8</v>
      </c>
      <c r="AJ11" s="443">
        <v>0.5</v>
      </c>
      <c r="AK11" s="440"/>
      <c r="AL11" s="444">
        <v>25</v>
      </c>
      <c r="AM11" s="801"/>
    </row>
    <row r="12" spans="1:39" x14ac:dyDescent="0.25">
      <c r="A12" s="418">
        <v>37073</v>
      </c>
      <c r="B12" s="419">
        <v>37153</v>
      </c>
      <c r="C12" s="420">
        <v>3204.7</v>
      </c>
      <c r="D12" s="421"/>
      <c r="E12" s="420">
        <v>4062.45</v>
      </c>
      <c r="F12" s="421"/>
      <c r="G12" s="420">
        <v>1029.3</v>
      </c>
      <c r="H12" s="421"/>
      <c r="I12" s="420">
        <v>1383.35</v>
      </c>
      <c r="J12" s="421"/>
      <c r="K12" s="420">
        <v>1029.3</v>
      </c>
      <c r="L12" s="421"/>
      <c r="M12" s="420">
        <v>1383.35</v>
      </c>
      <c r="N12" s="421"/>
      <c r="O12" s="422">
        <v>0</v>
      </c>
      <c r="P12" s="422"/>
      <c r="Q12" s="422">
        <v>219</v>
      </c>
      <c r="R12" s="767"/>
      <c r="S12" s="420"/>
      <c r="T12" s="423"/>
      <c r="U12" s="423"/>
      <c r="V12" s="421"/>
      <c r="W12" s="423"/>
      <c r="X12" s="423"/>
      <c r="Y12" s="423"/>
      <c r="Z12" s="420">
        <v>2679.1</v>
      </c>
      <c r="AA12" s="421">
        <v>3577</v>
      </c>
      <c r="AB12" s="420">
        <v>77234</v>
      </c>
      <c r="AC12" s="423">
        <v>3139</v>
      </c>
      <c r="AD12" s="424">
        <v>0.3</v>
      </c>
      <c r="AE12" s="420">
        <v>29857</v>
      </c>
      <c r="AF12" s="1066">
        <v>0.3</v>
      </c>
      <c r="AG12" s="420">
        <v>1062.1499999999999</v>
      </c>
      <c r="AH12" s="423">
        <v>2124.2999999999997</v>
      </c>
      <c r="AI12" s="421">
        <v>354.05</v>
      </c>
      <c r="AJ12" s="425">
        <v>0.5</v>
      </c>
      <c r="AK12" s="422"/>
      <c r="AL12" s="426">
        <v>25</v>
      </c>
      <c r="AM12" s="710"/>
    </row>
    <row r="13" spans="1:39" x14ac:dyDescent="0.25">
      <c r="A13" s="427">
        <v>37154</v>
      </c>
      <c r="B13" s="428">
        <v>37256</v>
      </c>
      <c r="C13" s="429">
        <v>3204.7</v>
      </c>
      <c r="D13" s="430"/>
      <c r="E13" s="429">
        <v>4062.45</v>
      </c>
      <c r="F13" s="430"/>
      <c r="G13" s="429">
        <v>1029.3</v>
      </c>
      <c r="H13" s="430"/>
      <c r="I13" s="429">
        <v>1383.35</v>
      </c>
      <c r="J13" s="430"/>
      <c r="K13" s="429">
        <v>1029.3</v>
      </c>
      <c r="L13" s="430"/>
      <c r="M13" s="429">
        <v>1383.35</v>
      </c>
      <c r="N13" s="430"/>
      <c r="O13" s="431">
        <v>0</v>
      </c>
      <c r="P13" s="431"/>
      <c r="Q13" s="431">
        <v>219</v>
      </c>
      <c r="R13" s="765"/>
      <c r="S13" s="429"/>
      <c r="T13" s="432"/>
      <c r="U13" s="432"/>
      <c r="V13" s="430"/>
      <c r="W13" s="432"/>
      <c r="X13" s="432"/>
      <c r="Y13" s="432"/>
      <c r="Z13" s="429">
        <v>2679.1</v>
      </c>
      <c r="AA13" s="430">
        <v>3577</v>
      </c>
      <c r="AB13" s="429">
        <v>77234</v>
      </c>
      <c r="AC13" s="432">
        <v>3139</v>
      </c>
      <c r="AD13" s="433">
        <v>0.3</v>
      </c>
      <c r="AE13" s="429">
        <v>29857</v>
      </c>
      <c r="AF13" s="1067">
        <v>0.3</v>
      </c>
      <c r="AG13" s="429">
        <v>1062.1499999999999</v>
      </c>
      <c r="AH13" s="432">
        <v>2124.2999999999997</v>
      </c>
      <c r="AI13" s="430">
        <v>354.05</v>
      </c>
      <c r="AJ13" s="434">
        <v>0.5</v>
      </c>
      <c r="AK13" s="431"/>
      <c r="AL13" s="435">
        <v>25</v>
      </c>
      <c r="AM13" s="709"/>
    </row>
    <row r="14" spans="1:39" x14ac:dyDescent="0.25">
      <c r="A14" s="427">
        <v>37257</v>
      </c>
      <c r="B14" s="428">
        <v>37334</v>
      </c>
      <c r="C14" s="429">
        <v>3204.7</v>
      </c>
      <c r="D14" s="430"/>
      <c r="E14" s="429">
        <v>4062.45</v>
      </c>
      <c r="F14" s="430"/>
      <c r="G14" s="429">
        <v>1029.3</v>
      </c>
      <c r="H14" s="430"/>
      <c r="I14" s="429">
        <v>1383.35</v>
      </c>
      <c r="J14" s="430"/>
      <c r="K14" s="429">
        <v>1029.3</v>
      </c>
      <c r="L14" s="430"/>
      <c r="M14" s="429">
        <v>1383.35</v>
      </c>
      <c r="N14" s="430"/>
      <c r="O14" s="431">
        <v>0</v>
      </c>
      <c r="P14" s="431"/>
      <c r="Q14" s="431">
        <v>219</v>
      </c>
      <c r="R14" s="765"/>
      <c r="S14" s="429"/>
      <c r="T14" s="432"/>
      <c r="U14" s="432"/>
      <c r="V14" s="430"/>
      <c r="W14" s="432"/>
      <c r="X14" s="432"/>
      <c r="Y14" s="432"/>
      <c r="Z14" s="429">
        <v>2679.1</v>
      </c>
      <c r="AA14" s="430">
        <v>3577</v>
      </c>
      <c r="AB14" s="429">
        <v>77234</v>
      </c>
      <c r="AC14" s="432">
        <v>3139</v>
      </c>
      <c r="AD14" s="433">
        <v>0.3</v>
      </c>
      <c r="AE14" s="429">
        <v>29857</v>
      </c>
      <c r="AF14" s="1067">
        <v>0.3</v>
      </c>
      <c r="AG14" s="429">
        <v>1062.1499999999999</v>
      </c>
      <c r="AH14" s="432">
        <v>2124.2999999999997</v>
      </c>
      <c r="AI14" s="430">
        <v>354.05</v>
      </c>
      <c r="AJ14" s="434">
        <v>0.5</v>
      </c>
      <c r="AK14" s="431"/>
      <c r="AL14" s="435">
        <v>25</v>
      </c>
      <c r="AM14" s="709"/>
    </row>
    <row r="15" spans="1:39" ht="15.75" thickBot="1" x14ac:dyDescent="0.3">
      <c r="A15" s="436">
        <v>37335</v>
      </c>
      <c r="B15" s="437">
        <v>37437</v>
      </c>
      <c r="C15" s="438">
        <v>3204.7</v>
      </c>
      <c r="D15" s="439"/>
      <c r="E15" s="438">
        <v>4062.45</v>
      </c>
      <c r="F15" s="439"/>
      <c r="G15" s="438">
        <v>1029.3</v>
      </c>
      <c r="H15" s="439"/>
      <c r="I15" s="438">
        <v>1383.35</v>
      </c>
      <c r="J15" s="439"/>
      <c r="K15" s="438">
        <v>1029.3</v>
      </c>
      <c r="L15" s="439"/>
      <c r="M15" s="438">
        <v>1383.35</v>
      </c>
      <c r="N15" s="439"/>
      <c r="O15" s="440">
        <v>0</v>
      </c>
      <c r="P15" s="440"/>
      <c r="Q15" s="440">
        <v>219</v>
      </c>
      <c r="R15" s="766"/>
      <c r="S15" s="438"/>
      <c r="T15" s="441"/>
      <c r="U15" s="441"/>
      <c r="V15" s="439"/>
      <c r="W15" s="441"/>
      <c r="X15" s="441"/>
      <c r="Y15" s="441"/>
      <c r="Z15" s="438">
        <v>2679.1</v>
      </c>
      <c r="AA15" s="439">
        <v>3577</v>
      </c>
      <c r="AB15" s="438">
        <v>77234</v>
      </c>
      <c r="AC15" s="441">
        <v>3139</v>
      </c>
      <c r="AD15" s="442">
        <v>0.3</v>
      </c>
      <c r="AE15" s="438">
        <v>29857</v>
      </c>
      <c r="AF15" s="1068">
        <v>0.3</v>
      </c>
      <c r="AG15" s="438">
        <v>1062.1499999999999</v>
      </c>
      <c r="AH15" s="441">
        <v>2124.2999999999997</v>
      </c>
      <c r="AI15" s="439">
        <v>354.05</v>
      </c>
      <c r="AJ15" s="443">
        <v>0.5</v>
      </c>
      <c r="AK15" s="440"/>
      <c r="AL15" s="444">
        <v>25</v>
      </c>
      <c r="AM15" s="801"/>
    </row>
    <row r="16" spans="1:39" x14ac:dyDescent="0.25">
      <c r="A16" s="418">
        <v>37438</v>
      </c>
      <c r="B16" s="419">
        <v>37518</v>
      </c>
      <c r="C16" s="420">
        <v>3303.25</v>
      </c>
      <c r="D16" s="421"/>
      <c r="E16" s="420">
        <v>4190.2</v>
      </c>
      <c r="F16" s="421"/>
      <c r="G16" s="420">
        <v>1062.1499999999999</v>
      </c>
      <c r="H16" s="421"/>
      <c r="I16" s="420">
        <v>1427.1499999999999</v>
      </c>
      <c r="J16" s="421"/>
      <c r="K16" s="420">
        <v>1062.1499999999999</v>
      </c>
      <c r="L16" s="421"/>
      <c r="M16" s="420">
        <v>1427.1499999999999</v>
      </c>
      <c r="N16" s="421"/>
      <c r="O16" s="422">
        <v>0</v>
      </c>
      <c r="P16" s="422"/>
      <c r="Q16" s="422">
        <v>226.29999999999998</v>
      </c>
      <c r="R16" s="767"/>
      <c r="S16" s="420"/>
      <c r="T16" s="423"/>
      <c r="U16" s="423"/>
      <c r="V16" s="421"/>
      <c r="W16" s="423"/>
      <c r="X16" s="423"/>
      <c r="Y16" s="423"/>
      <c r="Z16" s="420">
        <v>2763.0499999999997</v>
      </c>
      <c r="AA16" s="421">
        <v>3686.5</v>
      </c>
      <c r="AB16" s="420">
        <v>79643</v>
      </c>
      <c r="AC16" s="423">
        <v>3212</v>
      </c>
      <c r="AD16" s="424">
        <v>0.3</v>
      </c>
      <c r="AE16" s="420">
        <v>30806</v>
      </c>
      <c r="AF16" s="1066">
        <v>0.3</v>
      </c>
      <c r="AG16" s="420">
        <v>1095</v>
      </c>
      <c r="AH16" s="423">
        <v>2190</v>
      </c>
      <c r="AI16" s="421">
        <v>365</v>
      </c>
      <c r="AJ16" s="425">
        <v>0.5</v>
      </c>
      <c r="AK16" s="422"/>
      <c r="AL16" s="426">
        <v>25</v>
      </c>
      <c r="AM16" s="710"/>
    </row>
    <row r="17" spans="1:39" x14ac:dyDescent="0.25">
      <c r="A17" s="427">
        <v>37519</v>
      </c>
      <c r="B17" s="428">
        <v>37621</v>
      </c>
      <c r="C17" s="429">
        <v>3303.25</v>
      </c>
      <c r="D17" s="430"/>
      <c r="E17" s="429">
        <v>4190.2</v>
      </c>
      <c r="F17" s="430"/>
      <c r="G17" s="429">
        <v>1062.1499999999999</v>
      </c>
      <c r="H17" s="430"/>
      <c r="I17" s="429">
        <v>1427.1499999999999</v>
      </c>
      <c r="J17" s="430"/>
      <c r="K17" s="429">
        <v>1062.1499999999999</v>
      </c>
      <c r="L17" s="430"/>
      <c r="M17" s="429">
        <v>1427.1499999999999</v>
      </c>
      <c r="N17" s="430"/>
      <c r="O17" s="431">
        <v>0</v>
      </c>
      <c r="P17" s="431"/>
      <c r="Q17" s="431">
        <v>226.29999999999998</v>
      </c>
      <c r="R17" s="765"/>
      <c r="S17" s="429"/>
      <c r="T17" s="432"/>
      <c r="U17" s="432"/>
      <c r="V17" s="430"/>
      <c r="W17" s="432"/>
      <c r="X17" s="432"/>
      <c r="Y17" s="432"/>
      <c r="Z17" s="429">
        <v>2763.0499999999997</v>
      </c>
      <c r="AA17" s="430">
        <v>3686.5</v>
      </c>
      <c r="AB17" s="429">
        <v>79643</v>
      </c>
      <c r="AC17" s="432">
        <v>3212</v>
      </c>
      <c r="AD17" s="433">
        <v>0.3</v>
      </c>
      <c r="AE17" s="429">
        <v>30806</v>
      </c>
      <c r="AF17" s="1067">
        <v>0.3</v>
      </c>
      <c r="AG17" s="429">
        <v>1095</v>
      </c>
      <c r="AH17" s="432">
        <v>2190</v>
      </c>
      <c r="AI17" s="430">
        <v>365</v>
      </c>
      <c r="AJ17" s="434">
        <v>0.5</v>
      </c>
      <c r="AK17" s="431"/>
      <c r="AL17" s="435">
        <v>25</v>
      </c>
      <c r="AM17" s="709"/>
    </row>
    <row r="18" spans="1:39" x14ac:dyDescent="0.25">
      <c r="A18" s="427">
        <v>37622</v>
      </c>
      <c r="B18" s="428">
        <v>37699</v>
      </c>
      <c r="C18" s="429">
        <v>3303.25</v>
      </c>
      <c r="D18" s="430"/>
      <c r="E18" s="429">
        <v>4190.2</v>
      </c>
      <c r="F18" s="430"/>
      <c r="G18" s="429">
        <v>1062.1499999999999</v>
      </c>
      <c r="H18" s="430"/>
      <c r="I18" s="429">
        <v>1427.1499999999999</v>
      </c>
      <c r="J18" s="430"/>
      <c r="K18" s="429">
        <v>1062.1499999999999</v>
      </c>
      <c r="L18" s="430"/>
      <c r="M18" s="429">
        <v>1427.1499999999999</v>
      </c>
      <c r="N18" s="430"/>
      <c r="O18" s="431">
        <v>0</v>
      </c>
      <c r="P18" s="431"/>
      <c r="Q18" s="431">
        <v>226.29999999999998</v>
      </c>
      <c r="R18" s="765"/>
      <c r="S18" s="429"/>
      <c r="T18" s="432"/>
      <c r="U18" s="432"/>
      <c r="V18" s="430"/>
      <c r="W18" s="432"/>
      <c r="X18" s="432"/>
      <c r="Y18" s="432"/>
      <c r="Z18" s="429">
        <v>2763.0499999999997</v>
      </c>
      <c r="AA18" s="430">
        <v>3686.5</v>
      </c>
      <c r="AB18" s="429">
        <v>79643</v>
      </c>
      <c r="AC18" s="432">
        <v>3212</v>
      </c>
      <c r="AD18" s="433">
        <v>0.3</v>
      </c>
      <c r="AE18" s="429">
        <v>30806</v>
      </c>
      <c r="AF18" s="1067">
        <v>0.3</v>
      </c>
      <c r="AG18" s="429">
        <v>1095</v>
      </c>
      <c r="AH18" s="432">
        <v>2190</v>
      </c>
      <c r="AI18" s="430">
        <v>365</v>
      </c>
      <c r="AJ18" s="434">
        <v>0.5</v>
      </c>
      <c r="AK18" s="431"/>
      <c r="AL18" s="435">
        <v>25</v>
      </c>
      <c r="AM18" s="709"/>
    </row>
    <row r="19" spans="1:39" ht="15.75" thickBot="1" x14ac:dyDescent="0.3">
      <c r="A19" s="436">
        <v>37700</v>
      </c>
      <c r="B19" s="437">
        <v>37802</v>
      </c>
      <c r="C19" s="438">
        <v>3303.25</v>
      </c>
      <c r="D19" s="439"/>
      <c r="E19" s="438">
        <v>4190.2</v>
      </c>
      <c r="F19" s="439"/>
      <c r="G19" s="438">
        <v>1062.1499999999999</v>
      </c>
      <c r="H19" s="439"/>
      <c r="I19" s="438">
        <v>1427.1499999999999</v>
      </c>
      <c r="J19" s="439"/>
      <c r="K19" s="438">
        <v>1062.1499999999999</v>
      </c>
      <c r="L19" s="439"/>
      <c r="M19" s="438">
        <v>1427.1499999999999</v>
      </c>
      <c r="N19" s="439"/>
      <c r="O19" s="440">
        <v>0</v>
      </c>
      <c r="P19" s="440"/>
      <c r="Q19" s="440">
        <v>226.29999999999998</v>
      </c>
      <c r="R19" s="766"/>
      <c r="S19" s="438"/>
      <c r="T19" s="441"/>
      <c r="U19" s="441"/>
      <c r="V19" s="439"/>
      <c r="W19" s="441"/>
      <c r="X19" s="441"/>
      <c r="Y19" s="441"/>
      <c r="Z19" s="438">
        <v>2763.0499999999997</v>
      </c>
      <c r="AA19" s="439">
        <v>3686.5</v>
      </c>
      <c r="AB19" s="438">
        <v>79643</v>
      </c>
      <c r="AC19" s="441">
        <v>3212</v>
      </c>
      <c r="AD19" s="442">
        <v>0.3</v>
      </c>
      <c r="AE19" s="438">
        <v>30806</v>
      </c>
      <c r="AF19" s="1068">
        <v>0.3</v>
      </c>
      <c r="AG19" s="438">
        <v>1095</v>
      </c>
      <c r="AH19" s="441">
        <v>2190</v>
      </c>
      <c r="AI19" s="439">
        <v>365</v>
      </c>
      <c r="AJ19" s="443">
        <v>0.5</v>
      </c>
      <c r="AK19" s="440"/>
      <c r="AL19" s="444">
        <v>25</v>
      </c>
      <c r="AM19" s="801"/>
    </row>
    <row r="20" spans="1:39" x14ac:dyDescent="0.25">
      <c r="A20" s="418">
        <v>37803</v>
      </c>
      <c r="B20" s="419">
        <v>37883</v>
      </c>
      <c r="C20" s="420">
        <v>3401.7999999999997</v>
      </c>
      <c r="D20" s="421"/>
      <c r="E20" s="420">
        <v>4314.3</v>
      </c>
      <c r="F20" s="421"/>
      <c r="G20" s="420">
        <v>1095</v>
      </c>
      <c r="H20" s="421"/>
      <c r="I20" s="420">
        <v>1470.95</v>
      </c>
      <c r="J20" s="421"/>
      <c r="K20" s="420">
        <v>1095</v>
      </c>
      <c r="L20" s="421"/>
      <c r="M20" s="420">
        <v>1470.95</v>
      </c>
      <c r="N20" s="421"/>
      <c r="O20" s="422">
        <v>600</v>
      </c>
      <c r="P20" s="422"/>
      <c r="Q20" s="422">
        <v>233.6</v>
      </c>
      <c r="R20" s="767"/>
      <c r="S20" s="420"/>
      <c r="T20" s="423"/>
      <c r="U20" s="423"/>
      <c r="V20" s="421"/>
      <c r="W20" s="423"/>
      <c r="X20" s="423"/>
      <c r="Y20" s="423"/>
      <c r="Z20" s="420">
        <v>2847</v>
      </c>
      <c r="AA20" s="421">
        <v>3796</v>
      </c>
      <c r="AB20" s="420">
        <v>82052</v>
      </c>
      <c r="AC20" s="423">
        <v>3285</v>
      </c>
      <c r="AD20" s="424">
        <v>0.3</v>
      </c>
      <c r="AE20" s="420">
        <v>31755</v>
      </c>
      <c r="AF20" s="1066">
        <v>0.3</v>
      </c>
      <c r="AG20" s="420">
        <v>1127.8499999999999</v>
      </c>
      <c r="AH20" s="423">
        <v>2255.6999999999998</v>
      </c>
      <c r="AI20" s="421">
        <v>375.95</v>
      </c>
      <c r="AJ20" s="425">
        <v>0.5</v>
      </c>
      <c r="AK20" s="422"/>
      <c r="AL20" s="426">
        <v>25</v>
      </c>
      <c r="AM20" s="710"/>
    </row>
    <row r="21" spans="1:39" x14ac:dyDescent="0.25">
      <c r="A21" s="427">
        <v>37884</v>
      </c>
      <c r="B21" s="428">
        <v>37986</v>
      </c>
      <c r="C21" s="429">
        <v>3401.7999999999997</v>
      </c>
      <c r="D21" s="430"/>
      <c r="E21" s="429">
        <v>4314.3</v>
      </c>
      <c r="F21" s="430"/>
      <c r="G21" s="429">
        <v>1095</v>
      </c>
      <c r="H21" s="430"/>
      <c r="I21" s="429">
        <v>1470.95</v>
      </c>
      <c r="J21" s="430"/>
      <c r="K21" s="429">
        <v>1095</v>
      </c>
      <c r="L21" s="430"/>
      <c r="M21" s="429">
        <v>1470.95</v>
      </c>
      <c r="N21" s="430"/>
      <c r="O21" s="431">
        <v>600</v>
      </c>
      <c r="P21" s="431"/>
      <c r="Q21" s="431">
        <v>233.6</v>
      </c>
      <c r="R21" s="765"/>
      <c r="S21" s="429"/>
      <c r="T21" s="432"/>
      <c r="U21" s="432"/>
      <c r="V21" s="430"/>
      <c r="W21" s="432"/>
      <c r="X21" s="432"/>
      <c r="Y21" s="432"/>
      <c r="Z21" s="429">
        <v>2847</v>
      </c>
      <c r="AA21" s="430">
        <v>3796</v>
      </c>
      <c r="AB21" s="429">
        <v>82052</v>
      </c>
      <c r="AC21" s="432">
        <v>3285</v>
      </c>
      <c r="AD21" s="433">
        <v>0.3</v>
      </c>
      <c r="AE21" s="429">
        <v>31755</v>
      </c>
      <c r="AF21" s="1067">
        <v>0.3</v>
      </c>
      <c r="AG21" s="429">
        <v>1127.8499999999999</v>
      </c>
      <c r="AH21" s="432">
        <v>2255.6999999999998</v>
      </c>
      <c r="AI21" s="430">
        <v>375.95</v>
      </c>
      <c r="AJ21" s="434">
        <v>0.5</v>
      </c>
      <c r="AK21" s="431"/>
      <c r="AL21" s="435">
        <v>25</v>
      </c>
      <c r="AM21" s="709"/>
    </row>
    <row r="22" spans="1:39" x14ac:dyDescent="0.25">
      <c r="A22" s="427">
        <v>37987</v>
      </c>
      <c r="B22" s="428">
        <v>38065</v>
      </c>
      <c r="C22" s="429">
        <v>3401.7999999999997</v>
      </c>
      <c r="D22" s="430"/>
      <c r="E22" s="429">
        <v>4314.3</v>
      </c>
      <c r="F22" s="430"/>
      <c r="G22" s="429">
        <v>1095</v>
      </c>
      <c r="H22" s="430"/>
      <c r="I22" s="429">
        <v>1470.95</v>
      </c>
      <c r="J22" s="430"/>
      <c r="K22" s="429">
        <v>1095</v>
      </c>
      <c r="L22" s="430"/>
      <c r="M22" s="429">
        <v>1470.95</v>
      </c>
      <c r="N22" s="430"/>
      <c r="O22" s="431">
        <v>600</v>
      </c>
      <c r="P22" s="431"/>
      <c r="Q22" s="431">
        <v>233.6</v>
      </c>
      <c r="R22" s="765"/>
      <c r="S22" s="429"/>
      <c r="T22" s="432"/>
      <c r="U22" s="432"/>
      <c r="V22" s="430"/>
      <c r="W22" s="432"/>
      <c r="X22" s="432"/>
      <c r="Y22" s="432"/>
      <c r="Z22" s="429">
        <v>2847</v>
      </c>
      <c r="AA22" s="430">
        <v>3796</v>
      </c>
      <c r="AB22" s="429">
        <v>82052</v>
      </c>
      <c r="AC22" s="432">
        <v>3285</v>
      </c>
      <c r="AD22" s="433">
        <v>0.3</v>
      </c>
      <c r="AE22" s="429">
        <v>31755</v>
      </c>
      <c r="AF22" s="1067">
        <v>0.3</v>
      </c>
      <c r="AG22" s="429">
        <v>1127.8499999999999</v>
      </c>
      <c r="AH22" s="432">
        <v>2255.6999999999998</v>
      </c>
      <c r="AI22" s="430">
        <v>375.95</v>
      </c>
      <c r="AJ22" s="434">
        <v>0.5</v>
      </c>
      <c r="AK22" s="431"/>
      <c r="AL22" s="435">
        <v>25</v>
      </c>
      <c r="AM22" s="709"/>
    </row>
    <row r="23" spans="1:39" ht="15.75" thickBot="1" x14ac:dyDescent="0.3">
      <c r="A23" s="436">
        <v>38066</v>
      </c>
      <c r="B23" s="437">
        <v>38168</v>
      </c>
      <c r="C23" s="438">
        <v>3401.7999999999997</v>
      </c>
      <c r="D23" s="439"/>
      <c r="E23" s="438">
        <v>4314.3</v>
      </c>
      <c r="F23" s="439"/>
      <c r="G23" s="438">
        <v>1095</v>
      </c>
      <c r="H23" s="439"/>
      <c r="I23" s="438">
        <v>1470.95</v>
      </c>
      <c r="J23" s="439"/>
      <c r="K23" s="438">
        <v>1095</v>
      </c>
      <c r="L23" s="439"/>
      <c r="M23" s="438">
        <v>1470.95</v>
      </c>
      <c r="N23" s="439"/>
      <c r="O23" s="440">
        <v>600</v>
      </c>
      <c r="P23" s="440"/>
      <c r="Q23" s="440">
        <v>233.6</v>
      </c>
      <c r="R23" s="766"/>
      <c r="S23" s="438"/>
      <c r="T23" s="441"/>
      <c r="U23" s="441"/>
      <c r="V23" s="439"/>
      <c r="W23" s="441"/>
      <c r="X23" s="441"/>
      <c r="Y23" s="441"/>
      <c r="Z23" s="438">
        <v>2847</v>
      </c>
      <c r="AA23" s="439">
        <v>3796</v>
      </c>
      <c r="AB23" s="438">
        <v>82052</v>
      </c>
      <c r="AC23" s="441">
        <v>3285</v>
      </c>
      <c r="AD23" s="442">
        <v>0.3</v>
      </c>
      <c r="AE23" s="438">
        <v>31755</v>
      </c>
      <c r="AF23" s="1068">
        <v>0.3</v>
      </c>
      <c r="AG23" s="438">
        <v>1127.8499999999999</v>
      </c>
      <c r="AH23" s="441">
        <v>2255.6999999999998</v>
      </c>
      <c r="AI23" s="439">
        <v>375.95</v>
      </c>
      <c r="AJ23" s="443">
        <v>0.5</v>
      </c>
      <c r="AK23" s="440"/>
      <c r="AL23" s="444">
        <v>25</v>
      </c>
      <c r="AM23" s="801"/>
    </row>
    <row r="24" spans="1:39" x14ac:dyDescent="0.25">
      <c r="A24" s="418">
        <v>38169</v>
      </c>
      <c r="B24" s="419">
        <v>38249</v>
      </c>
      <c r="C24" s="420">
        <v>3482.1</v>
      </c>
      <c r="D24" s="421"/>
      <c r="E24" s="420">
        <v>4416.5</v>
      </c>
      <c r="F24" s="421"/>
      <c r="G24" s="420">
        <v>1120.55</v>
      </c>
      <c r="H24" s="421"/>
      <c r="I24" s="420">
        <v>1507.45</v>
      </c>
      <c r="J24" s="421"/>
      <c r="K24" s="420">
        <v>1120.55</v>
      </c>
      <c r="L24" s="421"/>
      <c r="M24" s="420">
        <v>1507.45</v>
      </c>
      <c r="N24" s="421"/>
      <c r="O24" s="422">
        <v>613.19999999999993</v>
      </c>
      <c r="P24" s="422"/>
      <c r="Q24" s="422">
        <v>240.9</v>
      </c>
      <c r="R24" s="767"/>
      <c r="S24" s="420"/>
      <c r="T24" s="423"/>
      <c r="U24" s="423"/>
      <c r="V24" s="421"/>
      <c r="W24" s="423"/>
      <c r="X24" s="423"/>
      <c r="Y24" s="423"/>
      <c r="Z24" s="420">
        <v>2916.35</v>
      </c>
      <c r="AA24" s="421">
        <v>3887.25</v>
      </c>
      <c r="AB24" s="420">
        <v>84023</v>
      </c>
      <c r="AC24" s="423">
        <v>3358</v>
      </c>
      <c r="AD24" s="424">
        <v>0.3</v>
      </c>
      <c r="AE24" s="420">
        <v>32485</v>
      </c>
      <c r="AF24" s="1066">
        <v>0.2</v>
      </c>
      <c r="AG24" s="420">
        <v>1149.75</v>
      </c>
      <c r="AH24" s="423">
        <v>2299.5</v>
      </c>
      <c r="AI24" s="421">
        <v>383.25</v>
      </c>
      <c r="AJ24" s="425">
        <v>0.5</v>
      </c>
      <c r="AK24" s="422"/>
      <c r="AL24" s="426">
        <v>25</v>
      </c>
      <c r="AM24" s="710"/>
    </row>
    <row r="25" spans="1:39" x14ac:dyDescent="0.25">
      <c r="A25" s="427">
        <v>38250</v>
      </c>
      <c r="B25" s="428">
        <v>38352</v>
      </c>
      <c r="C25" s="429">
        <v>3482.1</v>
      </c>
      <c r="D25" s="430"/>
      <c r="E25" s="429">
        <v>4416.5</v>
      </c>
      <c r="F25" s="430"/>
      <c r="G25" s="429">
        <v>1120.55</v>
      </c>
      <c r="H25" s="430"/>
      <c r="I25" s="429">
        <v>1507.45</v>
      </c>
      <c r="J25" s="430"/>
      <c r="K25" s="429">
        <v>1120.55</v>
      </c>
      <c r="L25" s="430"/>
      <c r="M25" s="429">
        <v>1507.45</v>
      </c>
      <c r="N25" s="430"/>
      <c r="O25" s="431">
        <v>613.19999999999993</v>
      </c>
      <c r="P25" s="431"/>
      <c r="Q25" s="431">
        <v>240.9</v>
      </c>
      <c r="R25" s="765"/>
      <c r="S25" s="429"/>
      <c r="T25" s="432"/>
      <c r="U25" s="432"/>
      <c r="V25" s="430"/>
      <c r="W25" s="432"/>
      <c r="X25" s="432"/>
      <c r="Y25" s="432"/>
      <c r="Z25" s="429">
        <v>2916.35</v>
      </c>
      <c r="AA25" s="430">
        <v>3887.25</v>
      </c>
      <c r="AB25" s="429">
        <v>84023</v>
      </c>
      <c r="AC25" s="432">
        <v>3358</v>
      </c>
      <c r="AD25" s="433">
        <v>0.3</v>
      </c>
      <c r="AE25" s="429">
        <v>32485</v>
      </c>
      <c r="AF25" s="1067">
        <v>0.2</v>
      </c>
      <c r="AG25" s="429">
        <v>1149.75</v>
      </c>
      <c r="AH25" s="432">
        <v>2299.5</v>
      </c>
      <c r="AI25" s="430">
        <v>383.25</v>
      </c>
      <c r="AJ25" s="434">
        <v>0.5</v>
      </c>
      <c r="AK25" s="431"/>
      <c r="AL25" s="435">
        <v>25</v>
      </c>
      <c r="AM25" s="709"/>
    </row>
    <row r="26" spans="1:39" x14ac:dyDescent="0.25">
      <c r="A26" s="427">
        <v>38353</v>
      </c>
      <c r="B26" s="428">
        <v>38430</v>
      </c>
      <c r="C26" s="429">
        <v>3482.1</v>
      </c>
      <c r="D26" s="430"/>
      <c r="E26" s="429">
        <v>4416.5</v>
      </c>
      <c r="F26" s="430"/>
      <c r="G26" s="429">
        <v>1120.55</v>
      </c>
      <c r="H26" s="430"/>
      <c r="I26" s="429">
        <v>1507.45</v>
      </c>
      <c r="J26" s="430"/>
      <c r="K26" s="429">
        <v>1120.55</v>
      </c>
      <c r="L26" s="430"/>
      <c r="M26" s="429">
        <v>1507.45</v>
      </c>
      <c r="N26" s="430"/>
      <c r="O26" s="431">
        <v>613.19999999999993</v>
      </c>
      <c r="P26" s="431"/>
      <c r="Q26" s="431">
        <v>240.9</v>
      </c>
      <c r="R26" s="765"/>
      <c r="S26" s="429"/>
      <c r="T26" s="432"/>
      <c r="U26" s="432"/>
      <c r="V26" s="430"/>
      <c r="W26" s="432"/>
      <c r="X26" s="432"/>
      <c r="Y26" s="432"/>
      <c r="Z26" s="429">
        <v>2916.35</v>
      </c>
      <c r="AA26" s="430">
        <v>3887.25</v>
      </c>
      <c r="AB26" s="429">
        <v>84023</v>
      </c>
      <c r="AC26" s="432">
        <v>3358</v>
      </c>
      <c r="AD26" s="433">
        <v>0.3</v>
      </c>
      <c r="AE26" s="429">
        <v>32485</v>
      </c>
      <c r="AF26" s="1067">
        <v>0.2</v>
      </c>
      <c r="AG26" s="429">
        <v>1149.75</v>
      </c>
      <c r="AH26" s="432">
        <v>2299.5</v>
      </c>
      <c r="AI26" s="430">
        <v>383.25</v>
      </c>
      <c r="AJ26" s="434">
        <v>0.5</v>
      </c>
      <c r="AK26" s="431"/>
      <c r="AL26" s="435">
        <v>25</v>
      </c>
      <c r="AM26" s="709"/>
    </row>
    <row r="27" spans="1:39" ht="15.75" thickBot="1" x14ac:dyDescent="0.3">
      <c r="A27" s="436">
        <v>38431</v>
      </c>
      <c r="B27" s="437">
        <v>38533</v>
      </c>
      <c r="C27" s="438">
        <v>3482.1</v>
      </c>
      <c r="D27" s="439"/>
      <c r="E27" s="438">
        <v>4416.5</v>
      </c>
      <c r="F27" s="439"/>
      <c r="G27" s="438">
        <v>1120.55</v>
      </c>
      <c r="H27" s="439"/>
      <c r="I27" s="438">
        <v>1507.45</v>
      </c>
      <c r="J27" s="439"/>
      <c r="K27" s="438">
        <v>1120.55</v>
      </c>
      <c r="L27" s="439"/>
      <c r="M27" s="438">
        <v>1507.45</v>
      </c>
      <c r="N27" s="439"/>
      <c r="O27" s="440">
        <v>613.19999999999993</v>
      </c>
      <c r="P27" s="440"/>
      <c r="Q27" s="440">
        <v>240.9</v>
      </c>
      <c r="R27" s="766"/>
      <c r="S27" s="438"/>
      <c r="T27" s="441"/>
      <c r="U27" s="441"/>
      <c r="V27" s="439"/>
      <c r="W27" s="441"/>
      <c r="X27" s="441"/>
      <c r="Y27" s="441"/>
      <c r="Z27" s="438">
        <v>2916.35</v>
      </c>
      <c r="AA27" s="439">
        <v>3887.25</v>
      </c>
      <c r="AB27" s="438">
        <v>84023</v>
      </c>
      <c r="AC27" s="441">
        <v>3358</v>
      </c>
      <c r="AD27" s="442">
        <v>0.3</v>
      </c>
      <c r="AE27" s="438">
        <v>32485</v>
      </c>
      <c r="AF27" s="1068">
        <v>0.2</v>
      </c>
      <c r="AG27" s="438">
        <v>1149.75</v>
      </c>
      <c r="AH27" s="441">
        <v>2299.5</v>
      </c>
      <c r="AI27" s="439">
        <v>383.25</v>
      </c>
      <c r="AJ27" s="443">
        <v>0.5</v>
      </c>
      <c r="AK27" s="440"/>
      <c r="AL27" s="444">
        <v>25</v>
      </c>
      <c r="AM27" s="801"/>
    </row>
    <row r="28" spans="1:39" x14ac:dyDescent="0.25">
      <c r="A28" s="418">
        <v>38534</v>
      </c>
      <c r="B28" s="419">
        <v>38614</v>
      </c>
      <c r="C28" s="420">
        <v>3573.35</v>
      </c>
      <c r="D28" s="421"/>
      <c r="E28" s="420">
        <v>4529.6499999999996</v>
      </c>
      <c r="F28" s="421"/>
      <c r="G28" s="420">
        <v>1149.75</v>
      </c>
      <c r="H28" s="421"/>
      <c r="I28" s="420">
        <v>1547.6</v>
      </c>
      <c r="J28" s="421"/>
      <c r="K28" s="420">
        <v>1149.75</v>
      </c>
      <c r="L28" s="421"/>
      <c r="M28" s="420">
        <v>1547.6</v>
      </c>
      <c r="N28" s="421"/>
      <c r="O28" s="422">
        <v>627.79999999999995</v>
      </c>
      <c r="P28" s="422"/>
      <c r="Q28" s="422">
        <v>248.2</v>
      </c>
      <c r="R28" s="767"/>
      <c r="S28" s="420"/>
      <c r="T28" s="423"/>
      <c r="U28" s="423"/>
      <c r="V28" s="421"/>
      <c r="W28" s="423"/>
      <c r="X28" s="423"/>
      <c r="Y28" s="423"/>
      <c r="Z28" s="420">
        <v>2993</v>
      </c>
      <c r="AA28" s="421">
        <v>3989.45</v>
      </c>
      <c r="AB28" s="420">
        <v>86213</v>
      </c>
      <c r="AC28" s="423">
        <v>3431</v>
      </c>
      <c r="AD28" s="424">
        <v>0.3</v>
      </c>
      <c r="AE28" s="420">
        <v>33361</v>
      </c>
      <c r="AF28" s="1066">
        <v>0.2</v>
      </c>
      <c r="AG28" s="420">
        <v>1182.5999999999999</v>
      </c>
      <c r="AH28" s="423">
        <v>2365.1999999999998</v>
      </c>
      <c r="AI28" s="421">
        <v>394.2</v>
      </c>
      <c r="AJ28" s="425">
        <v>0.5</v>
      </c>
      <c r="AK28" s="422">
        <v>11233</v>
      </c>
      <c r="AL28" s="426">
        <v>25</v>
      </c>
      <c r="AM28" s="710"/>
    </row>
    <row r="29" spans="1:39" x14ac:dyDescent="0.25">
      <c r="A29" s="427">
        <v>38615</v>
      </c>
      <c r="B29" s="428">
        <v>38717</v>
      </c>
      <c r="C29" s="429">
        <v>3573.35</v>
      </c>
      <c r="D29" s="430"/>
      <c r="E29" s="429">
        <v>4529.6499999999996</v>
      </c>
      <c r="F29" s="430"/>
      <c r="G29" s="429">
        <v>1149.75</v>
      </c>
      <c r="H29" s="430"/>
      <c r="I29" s="429">
        <v>1547.6</v>
      </c>
      <c r="J29" s="430"/>
      <c r="K29" s="429">
        <v>1149.75</v>
      </c>
      <c r="L29" s="430"/>
      <c r="M29" s="429">
        <v>1547.6</v>
      </c>
      <c r="N29" s="430"/>
      <c r="O29" s="431">
        <v>627.79999999999995</v>
      </c>
      <c r="P29" s="431"/>
      <c r="Q29" s="431">
        <v>248.2</v>
      </c>
      <c r="R29" s="765"/>
      <c r="S29" s="429"/>
      <c r="T29" s="432"/>
      <c r="U29" s="432"/>
      <c r="V29" s="430"/>
      <c r="W29" s="432"/>
      <c r="X29" s="432"/>
      <c r="Y29" s="432"/>
      <c r="Z29" s="429">
        <v>2993</v>
      </c>
      <c r="AA29" s="430">
        <v>3989.45</v>
      </c>
      <c r="AB29" s="429">
        <v>86213</v>
      </c>
      <c r="AC29" s="432">
        <v>3431</v>
      </c>
      <c r="AD29" s="433">
        <v>0.3</v>
      </c>
      <c r="AE29" s="429">
        <v>33361</v>
      </c>
      <c r="AF29" s="1067">
        <v>0.2</v>
      </c>
      <c r="AG29" s="429">
        <v>1182.5999999999999</v>
      </c>
      <c r="AH29" s="432">
        <v>2365.1999999999998</v>
      </c>
      <c r="AI29" s="430">
        <v>394.2</v>
      </c>
      <c r="AJ29" s="434">
        <v>0.5</v>
      </c>
      <c r="AK29" s="431">
        <v>11233</v>
      </c>
      <c r="AL29" s="435">
        <v>25</v>
      </c>
      <c r="AM29" s="709"/>
    </row>
    <row r="30" spans="1:39" x14ac:dyDescent="0.25">
      <c r="A30" s="427">
        <v>38718</v>
      </c>
      <c r="B30" s="428">
        <v>38795</v>
      </c>
      <c r="C30" s="429">
        <v>3573.35</v>
      </c>
      <c r="D30" s="430"/>
      <c r="E30" s="429">
        <v>4529.6499999999996</v>
      </c>
      <c r="F30" s="430"/>
      <c r="G30" s="429">
        <v>1149.75</v>
      </c>
      <c r="H30" s="430"/>
      <c r="I30" s="429">
        <v>1547.6</v>
      </c>
      <c r="J30" s="430"/>
      <c r="K30" s="429">
        <v>1149.75</v>
      </c>
      <c r="L30" s="430"/>
      <c r="M30" s="429">
        <v>1547.6</v>
      </c>
      <c r="N30" s="430"/>
      <c r="O30" s="431">
        <v>627.79999999999995</v>
      </c>
      <c r="P30" s="431"/>
      <c r="Q30" s="431">
        <v>248.2</v>
      </c>
      <c r="R30" s="765"/>
      <c r="S30" s="429"/>
      <c r="T30" s="432"/>
      <c r="U30" s="432"/>
      <c r="V30" s="430"/>
      <c r="W30" s="432"/>
      <c r="X30" s="432"/>
      <c r="Y30" s="432"/>
      <c r="Z30" s="429">
        <v>2993</v>
      </c>
      <c r="AA30" s="430">
        <v>3989.45</v>
      </c>
      <c r="AB30" s="429">
        <v>86213</v>
      </c>
      <c r="AC30" s="432">
        <v>3431</v>
      </c>
      <c r="AD30" s="433">
        <v>0.3</v>
      </c>
      <c r="AE30" s="429">
        <v>33361</v>
      </c>
      <c r="AF30" s="1067">
        <v>0.2</v>
      </c>
      <c r="AG30" s="429">
        <v>1182.5999999999999</v>
      </c>
      <c r="AH30" s="432">
        <v>2365.1999999999998</v>
      </c>
      <c r="AI30" s="430">
        <v>394.2</v>
      </c>
      <c r="AJ30" s="434">
        <v>0.5</v>
      </c>
      <c r="AK30" s="431">
        <v>11233</v>
      </c>
      <c r="AL30" s="435">
        <v>25</v>
      </c>
      <c r="AM30" s="709"/>
    </row>
    <row r="31" spans="1:39" ht="15.75" thickBot="1" x14ac:dyDescent="0.3">
      <c r="A31" s="436">
        <v>38796</v>
      </c>
      <c r="B31" s="437">
        <v>38898</v>
      </c>
      <c r="C31" s="438">
        <v>3573.35</v>
      </c>
      <c r="D31" s="439"/>
      <c r="E31" s="438">
        <v>4529.6499999999996</v>
      </c>
      <c r="F31" s="439"/>
      <c r="G31" s="438">
        <v>1149.75</v>
      </c>
      <c r="H31" s="439"/>
      <c r="I31" s="438">
        <v>1547.6</v>
      </c>
      <c r="J31" s="439"/>
      <c r="K31" s="438">
        <v>1149.75</v>
      </c>
      <c r="L31" s="439"/>
      <c r="M31" s="438">
        <v>1547.6</v>
      </c>
      <c r="N31" s="439"/>
      <c r="O31" s="440">
        <v>627.79999999999995</v>
      </c>
      <c r="P31" s="440"/>
      <c r="Q31" s="440">
        <v>248.2</v>
      </c>
      <c r="R31" s="766"/>
      <c r="S31" s="438"/>
      <c r="T31" s="441"/>
      <c r="U31" s="441"/>
      <c r="V31" s="439"/>
      <c r="W31" s="441"/>
      <c r="X31" s="441"/>
      <c r="Y31" s="441"/>
      <c r="Z31" s="438">
        <v>2993</v>
      </c>
      <c r="AA31" s="439">
        <v>3989.45</v>
      </c>
      <c r="AB31" s="438">
        <v>86213</v>
      </c>
      <c r="AC31" s="441">
        <v>3431</v>
      </c>
      <c r="AD31" s="442">
        <v>0.3</v>
      </c>
      <c r="AE31" s="438">
        <v>33361</v>
      </c>
      <c r="AF31" s="1068">
        <v>0.2</v>
      </c>
      <c r="AG31" s="438">
        <v>1182.5999999999999</v>
      </c>
      <c r="AH31" s="441">
        <v>2365.1999999999998</v>
      </c>
      <c r="AI31" s="439">
        <v>394.2</v>
      </c>
      <c r="AJ31" s="443">
        <v>0.5</v>
      </c>
      <c r="AK31" s="440">
        <v>11233</v>
      </c>
      <c r="AL31" s="444">
        <v>25</v>
      </c>
      <c r="AM31" s="801"/>
    </row>
    <row r="32" spans="1:39" x14ac:dyDescent="0.25">
      <c r="A32" s="418">
        <v>38899</v>
      </c>
      <c r="B32" s="419">
        <v>38979</v>
      </c>
      <c r="C32" s="420">
        <v>3671.9</v>
      </c>
      <c r="D32" s="421"/>
      <c r="E32" s="420">
        <v>4686.5999999999995</v>
      </c>
      <c r="F32" s="421"/>
      <c r="G32" s="420">
        <v>1182.5999999999999</v>
      </c>
      <c r="H32" s="421"/>
      <c r="I32" s="420">
        <v>1591.3999999999999</v>
      </c>
      <c r="J32" s="421"/>
      <c r="K32" s="420">
        <v>1182.5999999999999</v>
      </c>
      <c r="L32" s="421"/>
      <c r="M32" s="420">
        <v>1591.3999999999999</v>
      </c>
      <c r="N32" s="421"/>
      <c r="O32" s="422">
        <v>646.04999999999995</v>
      </c>
      <c r="P32" s="422"/>
      <c r="Q32" s="422">
        <v>255.5</v>
      </c>
      <c r="R32" s="767"/>
      <c r="S32" s="420"/>
      <c r="T32" s="423"/>
      <c r="U32" s="423"/>
      <c r="V32" s="421"/>
      <c r="W32" s="423"/>
      <c r="X32" s="423"/>
      <c r="Y32" s="423"/>
      <c r="Z32" s="420">
        <v>3076.95</v>
      </c>
      <c r="AA32" s="421">
        <v>4102.5999999999995</v>
      </c>
      <c r="AB32" s="420">
        <v>88622</v>
      </c>
      <c r="AC32" s="423">
        <v>3504</v>
      </c>
      <c r="AD32" s="424">
        <v>0.3</v>
      </c>
      <c r="AE32" s="420">
        <v>40000</v>
      </c>
      <c r="AF32" s="1066">
        <v>0.2</v>
      </c>
      <c r="AG32" s="420">
        <v>1215.4499999999998</v>
      </c>
      <c r="AH32" s="423">
        <v>2430.8999999999996</v>
      </c>
      <c r="AI32" s="421">
        <v>405.15</v>
      </c>
      <c r="AJ32" s="425">
        <v>0.5</v>
      </c>
      <c r="AK32" s="422">
        <v>11548</v>
      </c>
      <c r="AL32" s="426">
        <v>25</v>
      </c>
      <c r="AM32" s="710"/>
    </row>
    <row r="33" spans="1:39" x14ac:dyDescent="0.25">
      <c r="A33" s="427">
        <v>38980</v>
      </c>
      <c r="B33" s="428">
        <v>39082</v>
      </c>
      <c r="C33" s="429">
        <v>3671.9</v>
      </c>
      <c r="D33" s="430"/>
      <c r="E33" s="429">
        <v>4686.5999999999995</v>
      </c>
      <c r="F33" s="430"/>
      <c r="G33" s="429">
        <v>1182.5999999999999</v>
      </c>
      <c r="H33" s="430"/>
      <c r="I33" s="429">
        <v>1591.3999999999999</v>
      </c>
      <c r="J33" s="430"/>
      <c r="K33" s="429">
        <v>1182.5999999999999</v>
      </c>
      <c r="L33" s="430"/>
      <c r="M33" s="429">
        <v>1591.3999999999999</v>
      </c>
      <c r="N33" s="430"/>
      <c r="O33" s="431">
        <v>646.04999999999995</v>
      </c>
      <c r="P33" s="431"/>
      <c r="Q33" s="431">
        <v>255.5</v>
      </c>
      <c r="R33" s="765"/>
      <c r="S33" s="429"/>
      <c r="T33" s="432"/>
      <c r="U33" s="432"/>
      <c r="V33" s="430"/>
      <c r="W33" s="432"/>
      <c r="X33" s="432"/>
      <c r="Y33" s="432"/>
      <c r="Z33" s="429">
        <v>3076.95</v>
      </c>
      <c r="AA33" s="430">
        <v>4102.5999999999995</v>
      </c>
      <c r="AB33" s="429">
        <v>88622</v>
      </c>
      <c r="AC33" s="432">
        <v>3504</v>
      </c>
      <c r="AD33" s="433">
        <v>0.3</v>
      </c>
      <c r="AE33" s="429">
        <v>40000</v>
      </c>
      <c r="AF33" s="1067">
        <v>0.2</v>
      </c>
      <c r="AG33" s="429">
        <v>1215.4499999999998</v>
      </c>
      <c r="AH33" s="432">
        <v>2430.8999999999996</v>
      </c>
      <c r="AI33" s="430">
        <v>405.15</v>
      </c>
      <c r="AJ33" s="434">
        <v>0.5</v>
      </c>
      <c r="AK33" s="431">
        <v>11548</v>
      </c>
      <c r="AL33" s="435">
        <v>25</v>
      </c>
      <c r="AM33" s="709"/>
    </row>
    <row r="34" spans="1:39" x14ac:dyDescent="0.25">
      <c r="A34" s="427">
        <v>39083</v>
      </c>
      <c r="B34" s="428">
        <v>39160</v>
      </c>
      <c r="C34" s="429">
        <v>3671.9</v>
      </c>
      <c r="D34" s="430"/>
      <c r="E34" s="429">
        <v>4686.5999999999995</v>
      </c>
      <c r="F34" s="430"/>
      <c r="G34" s="429">
        <v>1182.5999999999999</v>
      </c>
      <c r="H34" s="430"/>
      <c r="I34" s="429">
        <v>1591.3999999999999</v>
      </c>
      <c r="J34" s="430"/>
      <c r="K34" s="429">
        <v>1182.5999999999999</v>
      </c>
      <c r="L34" s="430"/>
      <c r="M34" s="429">
        <v>1591.3999999999999</v>
      </c>
      <c r="N34" s="430"/>
      <c r="O34" s="431">
        <v>646.04999999999995</v>
      </c>
      <c r="P34" s="431"/>
      <c r="Q34" s="431">
        <v>255.5</v>
      </c>
      <c r="R34" s="765"/>
      <c r="S34" s="429"/>
      <c r="T34" s="432"/>
      <c r="U34" s="432"/>
      <c r="V34" s="430"/>
      <c r="W34" s="432"/>
      <c r="X34" s="432"/>
      <c r="Y34" s="432"/>
      <c r="Z34" s="429">
        <v>3076.95</v>
      </c>
      <c r="AA34" s="430">
        <v>4102.5999999999995</v>
      </c>
      <c r="AB34" s="429">
        <v>88622</v>
      </c>
      <c r="AC34" s="432">
        <v>3504</v>
      </c>
      <c r="AD34" s="433">
        <v>0.3</v>
      </c>
      <c r="AE34" s="429">
        <v>40000</v>
      </c>
      <c r="AF34" s="1067">
        <v>0.2</v>
      </c>
      <c r="AG34" s="429">
        <v>1215.4499999999998</v>
      </c>
      <c r="AH34" s="432">
        <v>2430.8999999999996</v>
      </c>
      <c r="AI34" s="430">
        <v>405.15</v>
      </c>
      <c r="AJ34" s="434">
        <v>0.5</v>
      </c>
      <c r="AK34" s="431">
        <v>11548</v>
      </c>
      <c r="AL34" s="435">
        <v>25</v>
      </c>
      <c r="AM34" s="709"/>
    </row>
    <row r="35" spans="1:39" ht="15.75" thickBot="1" x14ac:dyDescent="0.3">
      <c r="A35" s="436">
        <v>39161</v>
      </c>
      <c r="B35" s="437">
        <v>39263</v>
      </c>
      <c r="C35" s="438">
        <v>3671.9</v>
      </c>
      <c r="D35" s="439"/>
      <c r="E35" s="438">
        <v>4686.5999999999995</v>
      </c>
      <c r="F35" s="439"/>
      <c r="G35" s="438">
        <v>1182.5999999999999</v>
      </c>
      <c r="H35" s="439"/>
      <c r="I35" s="438">
        <v>1591.3999999999999</v>
      </c>
      <c r="J35" s="439"/>
      <c r="K35" s="438">
        <v>1182.5999999999999</v>
      </c>
      <c r="L35" s="439"/>
      <c r="M35" s="438">
        <v>1591.3999999999999</v>
      </c>
      <c r="N35" s="439"/>
      <c r="O35" s="440">
        <v>646.04999999999995</v>
      </c>
      <c r="P35" s="440"/>
      <c r="Q35" s="440">
        <v>255.5</v>
      </c>
      <c r="R35" s="766"/>
      <c r="S35" s="438"/>
      <c r="T35" s="441"/>
      <c r="U35" s="441"/>
      <c r="V35" s="439"/>
      <c r="W35" s="441"/>
      <c r="X35" s="441"/>
      <c r="Y35" s="441"/>
      <c r="Z35" s="438">
        <v>3076.95</v>
      </c>
      <c r="AA35" s="439">
        <v>4102.5999999999995</v>
      </c>
      <c r="AB35" s="438">
        <v>88622</v>
      </c>
      <c r="AC35" s="441">
        <v>3504</v>
      </c>
      <c r="AD35" s="442">
        <v>0.3</v>
      </c>
      <c r="AE35" s="438">
        <v>40000</v>
      </c>
      <c r="AF35" s="1068">
        <v>0.2</v>
      </c>
      <c r="AG35" s="438">
        <v>1215.4499999999998</v>
      </c>
      <c r="AH35" s="441">
        <v>2430.8999999999996</v>
      </c>
      <c r="AI35" s="439">
        <v>405.15</v>
      </c>
      <c r="AJ35" s="443">
        <v>0.5</v>
      </c>
      <c r="AK35" s="440">
        <v>11548</v>
      </c>
      <c r="AL35" s="444">
        <v>25</v>
      </c>
      <c r="AM35" s="801"/>
    </row>
    <row r="36" spans="1:39" x14ac:dyDescent="0.25">
      <c r="A36" s="418">
        <v>39264</v>
      </c>
      <c r="B36" s="419">
        <v>39344</v>
      </c>
      <c r="C36" s="420">
        <v>3792.35</v>
      </c>
      <c r="D36" s="421"/>
      <c r="E36" s="420">
        <v>4927.5</v>
      </c>
      <c r="F36" s="421"/>
      <c r="G36" s="420">
        <v>1222.75</v>
      </c>
      <c r="H36" s="421"/>
      <c r="I36" s="420">
        <v>1642.5</v>
      </c>
      <c r="J36" s="421"/>
      <c r="K36" s="420">
        <v>1222.75</v>
      </c>
      <c r="L36" s="421"/>
      <c r="M36" s="420">
        <v>1642.5</v>
      </c>
      <c r="N36" s="421"/>
      <c r="O36" s="422">
        <v>667.94999999999993</v>
      </c>
      <c r="P36" s="422"/>
      <c r="Q36" s="422">
        <v>262.8</v>
      </c>
      <c r="R36" s="767"/>
      <c r="S36" s="420"/>
      <c r="T36" s="423"/>
      <c r="U36" s="423"/>
      <c r="V36" s="421"/>
      <c r="W36" s="423"/>
      <c r="X36" s="423"/>
      <c r="Y36" s="423"/>
      <c r="Z36" s="420">
        <v>3179.15</v>
      </c>
      <c r="AA36" s="421">
        <v>4237.6499999999996</v>
      </c>
      <c r="AB36" s="420">
        <v>91542</v>
      </c>
      <c r="AC36" s="423">
        <v>3650</v>
      </c>
      <c r="AD36" s="424">
        <v>0.3</v>
      </c>
      <c r="AE36" s="420">
        <v>41318</v>
      </c>
      <c r="AF36" s="1066">
        <v>0.2</v>
      </c>
      <c r="AG36" s="420">
        <v>1259.25</v>
      </c>
      <c r="AH36" s="423">
        <v>2518.5</v>
      </c>
      <c r="AI36" s="421">
        <v>419.75</v>
      </c>
      <c r="AJ36" s="425">
        <v>0.5</v>
      </c>
      <c r="AK36" s="422">
        <v>11929</v>
      </c>
      <c r="AL36" s="426">
        <v>25</v>
      </c>
      <c r="AM36" s="710"/>
    </row>
    <row r="37" spans="1:39" x14ac:dyDescent="0.25">
      <c r="A37" s="427">
        <v>39345</v>
      </c>
      <c r="B37" s="428">
        <v>39447</v>
      </c>
      <c r="C37" s="429">
        <v>3792.35</v>
      </c>
      <c r="D37" s="430"/>
      <c r="E37" s="429">
        <v>4927.5</v>
      </c>
      <c r="F37" s="430"/>
      <c r="G37" s="429">
        <v>1222.75</v>
      </c>
      <c r="H37" s="430"/>
      <c r="I37" s="429">
        <v>1642.5</v>
      </c>
      <c r="J37" s="430"/>
      <c r="K37" s="429">
        <v>1222.75</v>
      </c>
      <c r="L37" s="430"/>
      <c r="M37" s="429">
        <v>1642.5</v>
      </c>
      <c r="N37" s="430"/>
      <c r="O37" s="431">
        <v>667.94999999999993</v>
      </c>
      <c r="P37" s="431"/>
      <c r="Q37" s="431">
        <v>262.8</v>
      </c>
      <c r="R37" s="765"/>
      <c r="S37" s="429"/>
      <c r="T37" s="432"/>
      <c r="U37" s="432"/>
      <c r="V37" s="430"/>
      <c r="W37" s="432"/>
      <c r="X37" s="432"/>
      <c r="Y37" s="432"/>
      <c r="Z37" s="429">
        <v>3179.15</v>
      </c>
      <c r="AA37" s="430">
        <v>4237.6499999999996</v>
      </c>
      <c r="AB37" s="429">
        <v>91542</v>
      </c>
      <c r="AC37" s="432">
        <v>3650</v>
      </c>
      <c r="AD37" s="433">
        <v>0.3</v>
      </c>
      <c r="AE37" s="429">
        <v>41318</v>
      </c>
      <c r="AF37" s="1067">
        <v>0.2</v>
      </c>
      <c r="AG37" s="429">
        <v>1259.25</v>
      </c>
      <c r="AH37" s="432">
        <v>2518.5</v>
      </c>
      <c r="AI37" s="430">
        <v>419.75</v>
      </c>
      <c r="AJ37" s="434">
        <v>0.5</v>
      </c>
      <c r="AK37" s="431">
        <v>11929</v>
      </c>
      <c r="AL37" s="435">
        <v>25</v>
      </c>
      <c r="AM37" s="709"/>
    </row>
    <row r="38" spans="1:39" x14ac:dyDescent="0.25">
      <c r="A38" s="427">
        <v>39448</v>
      </c>
      <c r="B38" s="428">
        <v>39526</v>
      </c>
      <c r="C38" s="429">
        <v>3792.35</v>
      </c>
      <c r="D38" s="430"/>
      <c r="E38" s="429">
        <v>4927.5</v>
      </c>
      <c r="F38" s="430"/>
      <c r="G38" s="429">
        <v>1222.75</v>
      </c>
      <c r="H38" s="430"/>
      <c r="I38" s="429">
        <v>1642.5</v>
      </c>
      <c r="J38" s="430"/>
      <c r="K38" s="429">
        <v>1222.75</v>
      </c>
      <c r="L38" s="430"/>
      <c r="M38" s="429">
        <v>1642.5</v>
      </c>
      <c r="N38" s="430"/>
      <c r="O38" s="431">
        <v>667.94999999999993</v>
      </c>
      <c r="P38" s="431"/>
      <c r="Q38" s="431">
        <v>262.8</v>
      </c>
      <c r="R38" s="765"/>
      <c r="S38" s="429"/>
      <c r="T38" s="432"/>
      <c r="U38" s="432"/>
      <c r="V38" s="430"/>
      <c r="W38" s="432"/>
      <c r="X38" s="432"/>
      <c r="Y38" s="432"/>
      <c r="Z38" s="429">
        <v>3179.15</v>
      </c>
      <c r="AA38" s="430">
        <v>4237.6499999999996</v>
      </c>
      <c r="AB38" s="429">
        <v>91542</v>
      </c>
      <c r="AC38" s="432">
        <v>3650</v>
      </c>
      <c r="AD38" s="433">
        <v>0.3</v>
      </c>
      <c r="AE38" s="429">
        <v>41318</v>
      </c>
      <c r="AF38" s="1067">
        <v>0.2</v>
      </c>
      <c r="AG38" s="429">
        <v>1259.25</v>
      </c>
      <c r="AH38" s="432">
        <v>2518.5</v>
      </c>
      <c r="AI38" s="430">
        <v>419.75</v>
      </c>
      <c r="AJ38" s="434">
        <v>0.5</v>
      </c>
      <c r="AK38" s="431">
        <v>11929</v>
      </c>
      <c r="AL38" s="435">
        <v>25</v>
      </c>
      <c r="AM38" s="709"/>
    </row>
    <row r="39" spans="1:39" ht="15.75" thickBot="1" x14ac:dyDescent="0.3">
      <c r="A39" s="436">
        <v>39527</v>
      </c>
      <c r="B39" s="437">
        <v>39629</v>
      </c>
      <c r="C39" s="438">
        <v>3792.35</v>
      </c>
      <c r="D39" s="439"/>
      <c r="E39" s="438">
        <v>4927.5</v>
      </c>
      <c r="F39" s="439"/>
      <c r="G39" s="438">
        <v>1222.75</v>
      </c>
      <c r="H39" s="439"/>
      <c r="I39" s="438">
        <v>1642.5</v>
      </c>
      <c r="J39" s="439"/>
      <c r="K39" s="438">
        <v>1222.75</v>
      </c>
      <c r="L39" s="439"/>
      <c r="M39" s="438">
        <v>1642.5</v>
      </c>
      <c r="N39" s="439"/>
      <c r="O39" s="440">
        <v>667.94999999999993</v>
      </c>
      <c r="P39" s="440"/>
      <c r="Q39" s="440">
        <v>262.8</v>
      </c>
      <c r="R39" s="766"/>
      <c r="S39" s="438"/>
      <c r="T39" s="441"/>
      <c r="U39" s="441"/>
      <c r="V39" s="439"/>
      <c r="W39" s="441"/>
      <c r="X39" s="441"/>
      <c r="Y39" s="441"/>
      <c r="Z39" s="438">
        <v>3179.15</v>
      </c>
      <c r="AA39" s="439">
        <v>4237.6499999999996</v>
      </c>
      <c r="AB39" s="438">
        <v>91542</v>
      </c>
      <c r="AC39" s="441">
        <v>3650</v>
      </c>
      <c r="AD39" s="442">
        <v>0.3</v>
      </c>
      <c r="AE39" s="438">
        <v>41318</v>
      </c>
      <c r="AF39" s="1068">
        <v>0.2</v>
      </c>
      <c r="AG39" s="438">
        <v>1259.25</v>
      </c>
      <c r="AH39" s="441">
        <v>2518.5</v>
      </c>
      <c r="AI39" s="439">
        <v>419.75</v>
      </c>
      <c r="AJ39" s="443">
        <v>0.5</v>
      </c>
      <c r="AK39" s="440">
        <v>11929</v>
      </c>
      <c r="AL39" s="444">
        <v>25</v>
      </c>
      <c r="AM39" s="801"/>
    </row>
    <row r="40" spans="1:39" x14ac:dyDescent="0.25">
      <c r="A40" s="418">
        <v>39630</v>
      </c>
      <c r="B40" s="419">
        <v>39710</v>
      </c>
      <c r="C40" s="420">
        <v>3945.65</v>
      </c>
      <c r="D40" s="421"/>
      <c r="E40" s="420">
        <v>5131.8999999999996</v>
      </c>
      <c r="F40" s="421"/>
      <c r="G40" s="420">
        <v>1259.25</v>
      </c>
      <c r="H40" s="421"/>
      <c r="I40" s="420">
        <v>1693.6</v>
      </c>
      <c r="J40" s="421"/>
      <c r="K40" s="420">
        <v>1259.25</v>
      </c>
      <c r="L40" s="421"/>
      <c r="M40" s="420">
        <v>1693.6</v>
      </c>
      <c r="N40" s="421"/>
      <c r="O40" s="422">
        <v>686.19999999999993</v>
      </c>
      <c r="P40" s="422"/>
      <c r="Q40" s="422">
        <v>270.09999999999997</v>
      </c>
      <c r="R40" s="767"/>
      <c r="S40" s="420"/>
      <c r="T40" s="423"/>
      <c r="U40" s="423"/>
      <c r="V40" s="421"/>
      <c r="W40" s="423"/>
      <c r="X40" s="423"/>
      <c r="Y40" s="423"/>
      <c r="Z40" s="420">
        <v>3274.0499999999997</v>
      </c>
      <c r="AA40" s="421">
        <v>4365.3999999999996</v>
      </c>
      <c r="AB40" s="420">
        <v>94316</v>
      </c>
      <c r="AC40" s="423">
        <v>3796</v>
      </c>
      <c r="AD40" s="424">
        <v>0.3</v>
      </c>
      <c r="AE40" s="420">
        <v>42559</v>
      </c>
      <c r="AF40" s="1066">
        <v>0.2</v>
      </c>
      <c r="AG40" s="420">
        <v>1292.0999999999999</v>
      </c>
      <c r="AH40" s="423">
        <v>2584.1999999999998</v>
      </c>
      <c r="AI40" s="421">
        <v>430.7</v>
      </c>
      <c r="AJ40" s="425">
        <v>0.5</v>
      </c>
      <c r="AK40" s="422">
        <v>12287</v>
      </c>
      <c r="AL40" s="426">
        <v>25</v>
      </c>
      <c r="AM40" s="710"/>
    </row>
    <row r="41" spans="1:39" x14ac:dyDescent="0.25">
      <c r="A41" s="427">
        <v>39711</v>
      </c>
      <c r="B41" s="428">
        <v>39813</v>
      </c>
      <c r="C41" s="429">
        <v>3945.65</v>
      </c>
      <c r="D41" s="430"/>
      <c r="E41" s="429">
        <v>5131.8999999999996</v>
      </c>
      <c r="F41" s="430"/>
      <c r="G41" s="429">
        <v>1259.25</v>
      </c>
      <c r="H41" s="430"/>
      <c r="I41" s="429">
        <v>1693.6</v>
      </c>
      <c r="J41" s="430"/>
      <c r="K41" s="429">
        <v>1259.25</v>
      </c>
      <c r="L41" s="430"/>
      <c r="M41" s="429">
        <v>1693.6</v>
      </c>
      <c r="N41" s="430"/>
      <c r="O41" s="431">
        <v>686.19999999999993</v>
      </c>
      <c r="P41" s="431"/>
      <c r="Q41" s="431">
        <v>270.09999999999997</v>
      </c>
      <c r="R41" s="765"/>
      <c r="S41" s="429"/>
      <c r="T41" s="432"/>
      <c r="U41" s="432"/>
      <c r="V41" s="430"/>
      <c r="W41" s="432"/>
      <c r="X41" s="432"/>
      <c r="Y41" s="432"/>
      <c r="Z41" s="429">
        <v>3274.0499999999997</v>
      </c>
      <c r="AA41" s="430">
        <v>4365.3999999999996</v>
      </c>
      <c r="AB41" s="429">
        <v>94316</v>
      </c>
      <c r="AC41" s="432">
        <v>3796</v>
      </c>
      <c r="AD41" s="433">
        <v>0.3</v>
      </c>
      <c r="AE41" s="429">
        <v>42559</v>
      </c>
      <c r="AF41" s="1067">
        <v>0.2</v>
      </c>
      <c r="AG41" s="429">
        <v>1292.0999999999999</v>
      </c>
      <c r="AH41" s="432">
        <v>2584.1999999999998</v>
      </c>
      <c r="AI41" s="430">
        <v>430.7</v>
      </c>
      <c r="AJ41" s="434">
        <v>0.5</v>
      </c>
      <c r="AK41" s="431">
        <v>12287</v>
      </c>
      <c r="AL41" s="435">
        <v>25</v>
      </c>
      <c r="AM41" s="709"/>
    </row>
    <row r="42" spans="1:39" x14ac:dyDescent="0.25">
      <c r="A42" s="427">
        <v>39814</v>
      </c>
      <c r="B42" s="428">
        <v>39891</v>
      </c>
      <c r="C42" s="429">
        <v>3945.65</v>
      </c>
      <c r="D42" s="430"/>
      <c r="E42" s="429">
        <v>5131.8999999999996</v>
      </c>
      <c r="F42" s="430"/>
      <c r="G42" s="429">
        <v>1259.25</v>
      </c>
      <c r="H42" s="430"/>
      <c r="I42" s="429">
        <v>1693.6</v>
      </c>
      <c r="J42" s="430"/>
      <c r="K42" s="429">
        <v>1259.25</v>
      </c>
      <c r="L42" s="430"/>
      <c r="M42" s="429">
        <v>1693.6</v>
      </c>
      <c r="N42" s="430"/>
      <c r="O42" s="431">
        <v>686.19999999999993</v>
      </c>
      <c r="P42" s="431"/>
      <c r="Q42" s="431">
        <v>270.09999999999997</v>
      </c>
      <c r="R42" s="765"/>
      <c r="S42" s="429"/>
      <c r="T42" s="432"/>
      <c r="U42" s="432"/>
      <c r="V42" s="430"/>
      <c r="W42" s="432"/>
      <c r="X42" s="432"/>
      <c r="Y42" s="432"/>
      <c r="Z42" s="429">
        <v>3274.0499999999997</v>
      </c>
      <c r="AA42" s="430">
        <v>4365.3999999999996</v>
      </c>
      <c r="AB42" s="429">
        <v>94316</v>
      </c>
      <c r="AC42" s="432">
        <v>3796</v>
      </c>
      <c r="AD42" s="433">
        <v>0.3</v>
      </c>
      <c r="AE42" s="429">
        <v>42559</v>
      </c>
      <c r="AF42" s="1067">
        <v>0.2</v>
      </c>
      <c r="AG42" s="429">
        <v>1292.0999999999999</v>
      </c>
      <c r="AH42" s="432">
        <v>2584.1999999999998</v>
      </c>
      <c r="AI42" s="430">
        <v>430.7</v>
      </c>
      <c r="AJ42" s="434">
        <v>0.5</v>
      </c>
      <c r="AK42" s="431">
        <v>12287</v>
      </c>
      <c r="AL42" s="435">
        <v>25</v>
      </c>
      <c r="AM42" s="709"/>
    </row>
    <row r="43" spans="1:39" ht="15.75" thickBot="1" x14ac:dyDescent="0.3">
      <c r="A43" s="436">
        <v>39892</v>
      </c>
      <c r="B43" s="437">
        <v>39994</v>
      </c>
      <c r="C43" s="438">
        <v>3945.65</v>
      </c>
      <c r="D43" s="439"/>
      <c r="E43" s="438">
        <v>5131.8999999999996</v>
      </c>
      <c r="F43" s="439"/>
      <c r="G43" s="438">
        <v>1259.25</v>
      </c>
      <c r="H43" s="439"/>
      <c r="I43" s="438">
        <v>1693.6</v>
      </c>
      <c r="J43" s="439"/>
      <c r="K43" s="438">
        <v>1259.25</v>
      </c>
      <c r="L43" s="439"/>
      <c r="M43" s="438">
        <v>1693.6</v>
      </c>
      <c r="N43" s="439"/>
      <c r="O43" s="440">
        <v>686.19999999999993</v>
      </c>
      <c r="P43" s="440"/>
      <c r="Q43" s="440">
        <v>270.09999999999997</v>
      </c>
      <c r="R43" s="766"/>
      <c r="S43" s="438"/>
      <c r="T43" s="441"/>
      <c r="U43" s="441"/>
      <c r="V43" s="439"/>
      <c r="W43" s="441"/>
      <c r="X43" s="441"/>
      <c r="Y43" s="441"/>
      <c r="Z43" s="438">
        <v>3274.0499999999997</v>
      </c>
      <c r="AA43" s="439">
        <v>4365.3999999999996</v>
      </c>
      <c r="AB43" s="438">
        <v>94316</v>
      </c>
      <c r="AC43" s="441">
        <v>3796</v>
      </c>
      <c r="AD43" s="442">
        <v>0.3</v>
      </c>
      <c r="AE43" s="438">
        <v>42559</v>
      </c>
      <c r="AF43" s="1068">
        <v>0.2</v>
      </c>
      <c r="AG43" s="438">
        <v>1292.0999999999999</v>
      </c>
      <c r="AH43" s="441">
        <v>2584.1999999999998</v>
      </c>
      <c r="AI43" s="439">
        <v>430.7</v>
      </c>
      <c r="AJ43" s="443">
        <v>0.5</v>
      </c>
      <c r="AK43" s="440">
        <v>12287</v>
      </c>
      <c r="AL43" s="444">
        <v>25</v>
      </c>
      <c r="AM43" s="801"/>
    </row>
    <row r="44" spans="1:39" x14ac:dyDescent="0.25">
      <c r="A44" s="418">
        <v>39995</v>
      </c>
      <c r="B44" s="419">
        <v>40075</v>
      </c>
      <c r="C44" s="420">
        <v>4091.65</v>
      </c>
      <c r="D44" s="421"/>
      <c r="E44" s="420">
        <v>5321.7</v>
      </c>
      <c r="F44" s="421"/>
      <c r="G44" s="420">
        <v>1306.7</v>
      </c>
      <c r="H44" s="421"/>
      <c r="I44" s="420">
        <v>1755.6499999999999</v>
      </c>
      <c r="J44" s="421"/>
      <c r="K44" s="420">
        <v>1306.7</v>
      </c>
      <c r="L44" s="421"/>
      <c r="M44" s="420">
        <v>1755.6499999999999</v>
      </c>
      <c r="N44" s="421"/>
      <c r="O44" s="422">
        <v>711.75</v>
      </c>
      <c r="P44" s="422"/>
      <c r="Q44" s="422">
        <v>281.05</v>
      </c>
      <c r="R44" s="767"/>
      <c r="S44" s="420"/>
      <c r="T44" s="423"/>
      <c r="U44" s="423"/>
      <c r="V44" s="421"/>
      <c r="W44" s="423"/>
      <c r="X44" s="423"/>
      <c r="Y44" s="423"/>
      <c r="Z44" s="420">
        <v>3394.5</v>
      </c>
      <c r="AA44" s="421">
        <v>4526</v>
      </c>
      <c r="AB44" s="420">
        <v>94316</v>
      </c>
      <c r="AC44" s="423">
        <v>3796</v>
      </c>
      <c r="AD44" s="424">
        <v>0.3</v>
      </c>
      <c r="AE44" s="420">
        <v>44165</v>
      </c>
      <c r="AF44" s="1066">
        <v>0.2</v>
      </c>
      <c r="AG44" s="420">
        <v>1335.8999999999999</v>
      </c>
      <c r="AH44" s="423">
        <v>2671.7999999999997</v>
      </c>
      <c r="AI44" s="421">
        <v>445.3</v>
      </c>
      <c r="AJ44" s="425">
        <v>0.5</v>
      </c>
      <c r="AK44" s="422">
        <v>12742</v>
      </c>
      <c r="AL44" s="426">
        <v>25</v>
      </c>
      <c r="AM44" s="710"/>
    </row>
    <row r="45" spans="1:39" x14ac:dyDescent="0.25">
      <c r="A45" s="427">
        <v>40076</v>
      </c>
      <c r="B45" s="428">
        <v>40178</v>
      </c>
      <c r="C45" s="429">
        <v>4091.65</v>
      </c>
      <c r="D45" s="430"/>
      <c r="E45" s="429">
        <v>5321.7</v>
      </c>
      <c r="F45" s="430"/>
      <c r="G45" s="429">
        <v>1306.7</v>
      </c>
      <c r="H45" s="430"/>
      <c r="I45" s="429">
        <v>1755.6499999999999</v>
      </c>
      <c r="J45" s="430"/>
      <c r="K45" s="429">
        <v>1306.7</v>
      </c>
      <c r="L45" s="430"/>
      <c r="M45" s="429">
        <v>1755.6499999999999</v>
      </c>
      <c r="N45" s="430"/>
      <c r="O45" s="431">
        <v>711.75</v>
      </c>
      <c r="P45" s="431"/>
      <c r="Q45" s="431">
        <v>281.05</v>
      </c>
      <c r="R45" s="765"/>
      <c r="S45" s="429"/>
      <c r="T45" s="432"/>
      <c r="U45" s="432"/>
      <c r="V45" s="430"/>
      <c r="W45" s="432"/>
      <c r="X45" s="432"/>
      <c r="Y45" s="432"/>
      <c r="Z45" s="429">
        <v>3394.5</v>
      </c>
      <c r="AA45" s="430">
        <v>4526</v>
      </c>
      <c r="AB45" s="429">
        <v>94316</v>
      </c>
      <c r="AC45" s="432">
        <v>3796</v>
      </c>
      <c r="AD45" s="433">
        <v>0.3</v>
      </c>
      <c r="AE45" s="429">
        <v>44165</v>
      </c>
      <c r="AF45" s="1067">
        <v>0.2</v>
      </c>
      <c r="AG45" s="429">
        <v>1335.8999999999999</v>
      </c>
      <c r="AH45" s="432">
        <v>2671.7999999999997</v>
      </c>
      <c r="AI45" s="430">
        <v>445.3</v>
      </c>
      <c r="AJ45" s="434">
        <v>0.5</v>
      </c>
      <c r="AK45" s="431">
        <v>12742</v>
      </c>
      <c r="AL45" s="435">
        <v>25</v>
      </c>
      <c r="AM45" s="709"/>
    </row>
    <row r="46" spans="1:39" x14ac:dyDescent="0.25">
      <c r="A46" s="427">
        <v>40179</v>
      </c>
      <c r="B46" s="428">
        <v>40256</v>
      </c>
      <c r="C46" s="429">
        <v>4091.65</v>
      </c>
      <c r="D46" s="430"/>
      <c r="E46" s="429">
        <v>5321.7</v>
      </c>
      <c r="F46" s="430"/>
      <c r="G46" s="429">
        <v>1306.7</v>
      </c>
      <c r="H46" s="430"/>
      <c r="I46" s="429">
        <v>1755.6499999999999</v>
      </c>
      <c r="J46" s="430"/>
      <c r="K46" s="429">
        <v>1306.7</v>
      </c>
      <c r="L46" s="430"/>
      <c r="M46" s="429">
        <v>1755.6499999999999</v>
      </c>
      <c r="N46" s="430"/>
      <c r="O46" s="431">
        <v>711.75</v>
      </c>
      <c r="P46" s="431"/>
      <c r="Q46" s="431">
        <v>281.05</v>
      </c>
      <c r="R46" s="765"/>
      <c r="S46" s="429"/>
      <c r="T46" s="432"/>
      <c r="U46" s="432"/>
      <c r="V46" s="430"/>
      <c r="W46" s="432"/>
      <c r="X46" s="432"/>
      <c r="Y46" s="432"/>
      <c r="Z46" s="429">
        <v>3394.5</v>
      </c>
      <c r="AA46" s="430">
        <v>4526</v>
      </c>
      <c r="AB46" s="429">
        <v>94316</v>
      </c>
      <c r="AC46" s="432">
        <v>3796</v>
      </c>
      <c r="AD46" s="433">
        <v>0.3</v>
      </c>
      <c r="AE46" s="429">
        <v>44165</v>
      </c>
      <c r="AF46" s="1067">
        <v>0.2</v>
      </c>
      <c r="AG46" s="429">
        <v>1335.8999999999999</v>
      </c>
      <c r="AH46" s="432">
        <v>2671.7999999999997</v>
      </c>
      <c r="AI46" s="430">
        <v>445.3</v>
      </c>
      <c r="AJ46" s="434">
        <v>0.5</v>
      </c>
      <c r="AK46" s="431">
        <v>12742</v>
      </c>
      <c r="AL46" s="435">
        <v>25</v>
      </c>
      <c r="AM46" s="709"/>
    </row>
    <row r="47" spans="1:39" ht="15.75" thickBot="1" x14ac:dyDescent="0.3">
      <c r="A47" s="436">
        <v>40257</v>
      </c>
      <c r="B47" s="437">
        <v>40359</v>
      </c>
      <c r="C47" s="438">
        <v>4091.65</v>
      </c>
      <c r="D47" s="439"/>
      <c r="E47" s="438">
        <v>5321.7</v>
      </c>
      <c r="F47" s="439"/>
      <c r="G47" s="438">
        <v>1306.7</v>
      </c>
      <c r="H47" s="439"/>
      <c r="I47" s="438">
        <v>1755.6499999999999</v>
      </c>
      <c r="J47" s="439"/>
      <c r="K47" s="438">
        <v>1306.7</v>
      </c>
      <c r="L47" s="439"/>
      <c r="M47" s="438">
        <v>1755.6499999999999</v>
      </c>
      <c r="N47" s="439"/>
      <c r="O47" s="440">
        <v>711.75</v>
      </c>
      <c r="P47" s="440"/>
      <c r="Q47" s="440">
        <v>281.05</v>
      </c>
      <c r="R47" s="766"/>
      <c r="S47" s="438"/>
      <c r="T47" s="441"/>
      <c r="U47" s="441"/>
      <c r="V47" s="439"/>
      <c r="W47" s="441"/>
      <c r="X47" s="441"/>
      <c r="Y47" s="441"/>
      <c r="Z47" s="438">
        <v>3394.5</v>
      </c>
      <c r="AA47" s="439">
        <v>4526</v>
      </c>
      <c r="AB47" s="438">
        <v>94316</v>
      </c>
      <c r="AC47" s="441">
        <v>3796</v>
      </c>
      <c r="AD47" s="442">
        <v>0.3</v>
      </c>
      <c r="AE47" s="438">
        <v>44165</v>
      </c>
      <c r="AF47" s="1068">
        <v>0.2</v>
      </c>
      <c r="AG47" s="438">
        <v>1335.8999999999999</v>
      </c>
      <c r="AH47" s="441">
        <v>2671.7999999999997</v>
      </c>
      <c r="AI47" s="439">
        <v>445.3</v>
      </c>
      <c r="AJ47" s="443">
        <v>0.5</v>
      </c>
      <c r="AK47" s="440">
        <v>12742</v>
      </c>
      <c r="AL47" s="444">
        <v>25</v>
      </c>
      <c r="AM47" s="801"/>
    </row>
    <row r="48" spans="1:39" x14ac:dyDescent="0.25">
      <c r="A48" s="418">
        <v>40360</v>
      </c>
      <c r="B48" s="419">
        <v>40440</v>
      </c>
      <c r="C48" s="420">
        <v>4179.25</v>
      </c>
      <c r="D48" s="421"/>
      <c r="E48" s="420">
        <v>5434.8499999999995</v>
      </c>
      <c r="F48" s="421"/>
      <c r="G48" s="420">
        <v>1335.8999999999999</v>
      </c>
      <c r="H48" s="421"/>
      <c r="I48" s="420">
        <v>1792.1499999999999</v>
      </c>
      <c r="J48" s="421"/>
      <c r="K48" s="420">
        <v>1335.8999999999999</v>
      </c>
      <c r="L48" s="421"/>
      <c r="M48" s="420">
        <v>1792.1499999999999</v>
      </c>
      <c r="N48" s="421"/>
      <c r="O48" s="422">
        <v>726.35</v>
      </c>
      <c r="P48" s="422"/>
      <c r="Q48" s="422">
        <v>288.34999999999997</v>
      </c>
      <c r="R48" s="767"/>
      <c r="S48" s="420"/>
      <c r="T48" s="423"/>
      <c r="U48" s="423"/>
      <c r="V48" s="421"/>
      <c r="W48" s="423"/>
      <c r="X48" s="423"/>
      <c r="Y48" s="423"/>
      <c r="Z48" s="420">
        <v>3467.5</v>
      </c>
      <c r="AA48" s="421">
        <v>4620.8999999999996</v>
      </c>
      <c r="AB48" s="420">
        <v>94316</v>
      </c>
      <c r="AC48" s="423">
        <v>3796</v>
      </c>
      <c r="AD48" s="424">
        <v>0.3</v>
      </c>
      <c r="AE48" s="420">
        <v>45114</v>
      </c>
      <c r="AF48" s="1066">
        <v>0.2</v>
      </c>
      <c r="AG48" s="420">
        <v>1368.75</v>
      </c>
      <c r="AH48" s="423">
        <v>2737.5</v>
      </c>
      <c r="AI48" s="421">
        <v>456.25</v>
      </c>
      <c r="AJ48" s="425">
        <v>0.5</v>
      </c>
      <c r="AK48" s="422">
        <v>13010</v>
      </c>
      <c r="AL48" s="426">
        <v>25</v>
      </c>
      <c r="AM48" s="710"/>
    </row>
    <row r="49" spans="1:39" x14ac:dyDescent="0.25">
      <c r="A49" s="427">
        <v>40441</v>
      </c>
      <c r="B49" s="428">
        <v>40543</v>
      </c>
      <c r="C49" s="429">
        <v>4179.25</v>
      </c>
      <c r="D49" s="430"/>
      <c r="E49" s="429">
        <v>5434.8499999999995</v>
      </c>
      <c r="F49" s="430"/>
      <c r="G49" s="429">
        <v>1335.8999999999999</v>
      </c>
      <c r="H49" s="430"/>
      <c r="I49" s="429">
        <v>1792.1499999999999</v>
      </c>
      <c r="J49" s="430"/>
      <c r="K49" s="429">
        <v>1335.8999999999999</v>
      </c>
      <c r="L49" s="430"/>
      <c r="M49" s="429">
        <v>1792.1499999999999</v>
      </c>
      <c r="N49" s="430"/>
      <c r="O49" s="431">
        <v>726.35</v>
      </c>
      <c r="P49" s="431"/>
      <c r="Q49" s="431">
        <v>288.34999999999997</v>
      </c>
      <c r="R49" s="765"/>
      <c r="S49" s="429"/>
      <c r="T49" s="432"/>
      <c r="U49" s="432"/>
      <c r="V49" s="430"/>
      <c r="W49" s="432"/>
      <c r="X49" s="432"/>
      <c r="Y49" s="432"/>
      <c r="Z49" s="429">
        <v>3467.5</v>
      </c>
      <c r="AA49" s="430">
        <v>4620.8999999999996</v>
      </c>
      <c r="AB49" s="429">
        <v>94316</v>
      </c>
      <c r="AC49" s="432">
        <v>3796</v>
      </c>
      <c r="AD49" s="433">
        <v>0.3</v>
      </c>
      <c r="AE49" s="429">
        <v>45114</v>
      </c>
      <c r="AF49" s="1067">
        <v>0.2</v>
      </c>
      <c r="AG49" s="429">
        <v>1368.75</v>
      </c>
      <c r="AH49" s="432">
        <v>2737.5</v>
      </c>
      <c r="AI49" s="430">
        <v>456.25</v>
      </c>
      <c r="AJ49" s="434">
        <v>0.5</v>
      </c>
      <c r="AK49" s="431">
        <v>13010</v>
      </c>
      <c r="AL49" s="435">
        <v>25</v>
      </c>
      <c r="AM49" s="709"/>
    </row>
    <row r="50" spans="1:39" x14ac:dyDescent="0.25">
      <c r="A50" s="427">
        <v>40544</v>
      </c>
      <c r="B50" s="428">
        <v>40621</v>
      </c>
      <c r="C50" s="429">
        <v>4179.25</v>
      </c>
      <c r="D50" s="430"/>
      <c r="E50" s="429">
        <v>5434.8499999999995</v>
      </c>
      <c r="F50" s="430"/>
      <c r="G50" s="429">
        <v>1335.8999999999999</v>
      </c>
      <c r="H50" s="430"/>
      <c r="I50" s="429">
        <v>1792.1499999999999</v>
      </c>
      <c r="J50" s="430"/>
      <c r="K50" s="429">
        <v>1335.8999999999999</v>
      </c>
      <c r="L50" s="430"/>
      <c r="M50" s="429">
        <v>1792.1499999999999</v>
      </c>
      <c r="N50" s="430"/>
      <c r="O50" s="431">
        <v>726.35</v>
      </c>
      <c r="P50" s="431"/>
      <c r="Q50" s="431">
        <v>288.34999999999997</v>
      </c>
      <c r="R50" s="765"/>
      <c r="S50" s="429"/>
      <c r="T50" s="432"/>
      <c r="U50" s="432"/>
      <c r="V50" s="430"/>
      <c r="W50" s="432"/>
      <c r="X50" s="432"/>
      <c r="Y50" s="432"/>
      <c r="Z50" s="429">
        <v>3467.5</v>
      </c>
      <c r="AA50" s="430">
        <v>4620.8999999999996</v>
      </c>
      <c r="AB50" s="429">
        <v>94316</v>
      </c>
      <c r="AC50" s="432">
        <v>3796</v>
      </c>
      <c r="AD50" s="433">
        <v>0.3</v>
      </c>
      <c r="AE50" s="429">
        <v>45114</v>
      </c>
      <c r="AF50" s="1067">
        <v>0.2</v>
      </c>
      <c r="AG50" s="429">
        <v>1368.75</v>
      </c>
      <c r="AH50" s="432">
        <v>2737.5</v>
      </c>
      <c r="AI50" s="430">
        <v>456.25</v>
      </c>
      <c r="AJ50" s="434">
        <v>0.5</v>
      </c>
      <c r="AK50" s="431">
        <v>13010</v>
      </c>
      <c r="AL50" s="435">
        <v>25</v>
      </c>
      <c r="AM50" s="709"/>
    </row>
    <row r="51" spans="1:39" ht="15.75" thickBot="1" x14ac:dyDescent="0.3">
      <c r="A51" s="436">
        <v>40622</v>
      </c>
      <c r="B51" s="437">
        <v>40724</v>
      </c>
      <c r="C51" s="438">
        <v>4179.25</v>
      </c>
      <c r="D51" s="439"/>
      <c r="E51" s="438">
        <v>5434.8499999999995</v>
      </c>
      <c r="F51" s="439"/>
      <c r="G51" s="438">
        <v>1335.8999999999999</v>
      </c>
      <c r="H51" s="439"/>
      <c r="I51" s="438">
        <v>1792.1499999999999</v>
      </c>
      <c r="J51" s="439"/>
      <c r="K51" s="438">
        <v>1335.8999999999999</v>
      </c>
      <c r="L51" s="439"/>
      <c r="M51" s="438">
        <v>1792.1499999999999</v>
      </c>
      <c r="N51" s="439"/>
      <c r="O51" s="440">
        <v>726.35</v>
      </c>
      <c r="P51" s="440"/>
      <c r="Q51" s="440">
        <v>288.34999999999997</v>
      </c>
      <c r="R51" s="766"/>
      <c r="S51" s="438"/>
      <c r="T51" s="441"/>
      <c r="U51" s="441"/>
      <c r="V51" s="439"/>
      <c r="W51" s="441"/>
      <c r="X51" s="441"/>
      <c r="Y51" s="441"/>
      <c r="Z51" s="438">
        <v>3467.5</v>
      </c>
      <c r="AA51" s="439">
        <v>4620.8999999999996</v>
      </c>
      <c r="AB51" s="438">
        <v>94316</v>
      </c>
      <c r="AC51" s="441">
        <v>3796</v>
      </c>
      <c r="AD51" s="442">
        <v>0.3</v>
      </c>
      <c r="AE51" s="438">
        <v>45114</v>
      </c>
      <c r="AF51" s="1068">
        <v>0.2</v>
      </c>
      <c r="AG51" s="438">
        <v>1368.75</v>
      </c>
      <c r="AH51" s="441">
        <v>2737.5</v>
      </c>
      <c r="AI51" s="439">
        <v>456.25</v>
      </c>
      <c r="AJ51" s="443">
        <v>0.5</v>
      </c>
      <c r="AK51" s="440">
        <v>13010</v>
      </c>
      <c r="AL51" s="444">
        <v>25</v>
      </c>
      <c r="AM51" s="801"/>
    </row>
    <row r="52" spans="1:39" x14ac:dyDescent="0.25">
      <c r="A52" s="418">
        <v>40725</v>
      </c>
      <c r="B52" s="419">
        <v>40805</v>
      </c>
      <c r="C52" s="420">
        <v>4292.3999999999996</v>
      </c>
      <c r="D52" s="421"/>
      <c r="E52" s="420">
        <v>5580.8499999999995</v>
      </c>
      <c r="F52" s="421"/>
      <c r="G52" s="420">
        <v>1372.3999999999999</v>
      </c>
      <c r="H52" s="421"/>
      <c r="I52" s="420">
        <v>1839.6</v>
      </c>
      <c r="J52" s="421"/>
      <c r="K52" s="420">
        <v>1372.3999999999999</v>
      </c>
      <c r="L52" s="421"/>
      <c r="M52" s="420">
        <v>1839.6</v>
      </c>
      <c r="N52" s="421"/>
      <c r="O52" s="422">
        <v>726.35</v>
      </c>
      <c r="P52" s="422"/>
      <c r="Q52" s="422">
        <v>295.64999999999998</v>
      </c>
      <c r="R52" s="767"/>
      <c r="S52" s="420"/>
      <c r="T52" s="423"/>
      <c r="U52" s="423"/>
      <c r="V52" s="421"/>
      <c r="W52" s="423"/>
      <c r="X52" s="423"/>
      <c r="Y52" s="423"/>
      <c r="Z52" s="420">
        <v>3562.4</v>
      </c>
      <c r="AA52" s="421">
        <v>4745</v>
      </c>
      <c r="AB52" s="420">
        <v>94316</v>
      </c>
      <c r="AC52" s="423">
        <v>3796</v>
      </c>
      <c r="AD52" s="424">
        <v>0.3</v>
      </c>
      <c r="AE52" s="420">
        <v>46355</v>
      </c>
      <c r="AF52" s="1066">
        <v>0.2</v>
      </c>
      <c r="AG52" s="420">
        <v>1401.6</v>
      </c>
      <c r="AH52" s="423">
        <v>2803.2</v>
      </c>
      <c r="AI52" s="421">
        <v>467.2</v>
      </c>
      <c r="AJ52" s="425">
        <v>0.5</v>
      </c>
      <c r="AK52" s="422">
        <v>13361</v>
      </c>
      <c r="AL52" s="426">
        <v>25</v>
      </c>
      <c r="AM52" s="710"/>
    </row>
    <row r="53" spans="1:39" x14ac:dyDescent="0.25">
      <c r="A53" s="427">
        <v>40806</v>
      </c>
      <c r="B53" s="428">
        <v>40908</v>
      </c>
      <c r="C53" s="429">
        <v>4292.3999999999996</v>
      </c>
      <c r="D53" s="430"/>
      <c r="E53" s="429">
        <v>5580.8499999999995</v>
      </c>
      <c r="F53" s="430"/>
      <c r="G53" s="429">
        <v>1372.3999999999999</v>
      </c>
      <c r="H53" s="430"/>
      <c r="I53" s="429">
        <v>1839.6</v>
      </c>
      <c r="J53" s="430"/>
      <c r="K53" s="429">
        <v>1372.3999999999999</v>
      </c>
      <c r="L53" s="430"/>
      <c r="M53" s="429">
        <v>1839.6</v>
      </c>
      <c r="N53" s="430"/>
      <c r="O53" s="431">
        <v>726.35</v>
      </c>
      <c r="P53" s="431"/>
      <c r="Q53" s="431">
        <v>295.64999999999998</v>
      </c>
      <c r="R53" s="765"/>
      <c r="S53" s="429"/>
      <c r="T53" s="432"/>
      <c r="U53" s="432"/>
      <c r="V53" s="430"/>
      <c r="W53" s="432"/>
      <c r="X53" s="432"/>
      <c r="Y53" s="432"/>
      <c r="Z53" s="429">
        <v>3562.4</v>
      </c>
      <c r="AA53" s="430">
        <v>4745</v>
      </c>
      <c r="AB53" s="429">
        <v>94316</v>
      </c>
      <c r="AC53" s="432">
        <v>3796</v>
      </c>
      <c r="AD53" s="433">
        <v>0.3</v>
      </c>
      <c r="AE53" s="429">
        <v>46355</v>
      </c>
      <c r="AF53" s="1067">
        <v>0.2</v>
      </c>
      <c r="AG53" s="429">
        <v>1401.6</v>
      </c>
      <c r="AH53" s="432">
        <v>2803.2</v>
      </c>
      <c r="AI53" s="430">
        <v>467.2</v>
      </c>
      <c r="AJ53" s="434">
        <v>0.5</v>
      </c>
      <c r="AK53" s="431">
        <v>13361</v>
      </c>
      <c r="AL53" s="435">
        <v>25</v>
      </c>
      <c r="AM53" s="709"/>
    </row>
    <row r="54" spans="1:39" x14ac:dyDescent="0.25">
      <c r="A54" s="427">
        <v>40909</v>
      </c>
      <c r="B54" s="428">
        <v>40987</v>
      </c>
      <c r="C54" s="429">
        <v>4292.3999999999996</v>
      </c>
      <c r="D54" s="430"/>
      <c r="E54" s="429">
        <v>5580.8499999999995</v>
      </c>
      <c r="F54" s="430"/>
      <c r="G54" s="429">
        <v>1372.3999999999999</v>
      </c>
      <c r="H54" s="430"/>
      <c r="I54" s="429">
        <v>1839.6</v>
      </c>
      <c r="J54" s="430"/>
      <c r="K54" s="429">
        <v>1372.3999999999999</v>
      </c>
      <c r="L54" s="430"/>
      <c r="M54" s="429">
        <v>1839.6</v>
      </c>
      <c r="N54" s="430"/>
      <c r="O54" s="431">
        <v>726.35</v>
      </c>
      <c r="P54" s="431"/>
      <c r="Q54" s="431">
        <v>295.64999999999998</v>
      </c>
      <c r="R54" s="765"/>
      <c r="S54" s="429"/>
      <c r="T54" s="432"/>
      <c r="U54" s="432"/>
      <c r="V54" s="430"/>
      <c r="W54" s="432"/>
      <c r="X54" s="432"/>
      <c r="Y54" s="432"/>
      <c r="Z54" s="429">
        <v>3562.4</v>
      </c>
      <c r="AA54" s="430">
        <v>4745</v>
      </c>
      <c r="AB54" s="429">
        <v>94316</v>
      </c>
      <c r="AC54" s="432">
        <v>3796</v>
      </c>
      <c r="AD54" s="433">
        <v>0.3</v>
      </c>
      <c r="AE54" s="429">
        <v>46355</v>
      </c>
      <c r="AF54" s="1067">
        <v>0.2</v>
      </c>
      <c r="AG54" s="429">
        <v>1401.6</v>
      </c>
      <c r="AH54" s="432">
        <v>2803.2</v>
      </c>
      <c r="AI54" s="430">
        <v>467.2</v>
      </c>
      <c r="AJ54" s="434">
        <v>0.5</v>
      </c>
      <c r="AK54" s="431">
        <v>13361</v>
      </c>
      <c r="AL54" s="435">
        <v>22</v>
      </c>
      <c r="AM54" s="709">
        <v>20</v>
      </c>
    </row>
    <row r="55" spans="1:39" ht="15.75" thickBot="1" x14ac:dyDescent="0.3">
      <c r="A55" s="436">
        <v>40988</v>
      </c>
      <c r="B55" s="437">
        <v>41090</v>
      </c>
      <c r="C55" s="438">
        <v>4292.3999999999996</v>
      </c>
      <c r="D55" s="439"/>
      <c r="E55" s="438">
        <v>5580.8499999999995</v>
      </c>
      <c r="F55" s="439"/>
      <c r="G55" s="438">
        <v>1372.3999999999999</v>
      </c>
      <c r="H55" s="439"/>
      <c r="I55" s="438">
        <v>1839.6</v>
      </c>
      <c r="J55" s="439"/>
      <c r="K55" s="438">
        <v>1372.3999999999999</v>
      </c>
      <c r="L55" s="439"/>
      <c r="M55" s="438">
        <v>1839.6</v>
      </c>
      <c r="N55" s="439"/>
      <c r="O55" s="440">
        <v>726.35</v>
      </c>
      <c r="P55" s="440"/>
      <c r="Q55" s="440">
        <v>295.64999999999998</v>
      </c>
      <c r="R55" s="766"/>
      <c r="S55" s="438"/>
      <c r="T55" s="441"/>
      <c r="U55" s="441"/>
      <c r="V55" s="439"/>
      <c r="W55" s="441"/>
      <c r="X55" s="441"/>
      <c r="Y55" s="441"/>
      <c r="Z55" s="438">
        <v>3562.4</v>
      </c>
      <c r="AA55" s="439">
        <v>4745</v>
      </c>
      <c r="AB55" s="438">
        <v>94316</v>
      </c>
      <c r="AC55" s="441">
        <v>3796</v>
      </c>
      <c r="AD55" s="442">
        <v>0.3</v>
      </c>
      <c r="AE55" s="438">
        <v>46355</v>
      </c>
      <c r="AF55" s="1068">
        <v>0.2</v>
      </c>
      <c r="AG55" s="438">
        <v>1401.6</v>
      </c>
      <c r="AH55" s="441">
        <v>2803.2</v>
      </c>
      <c r="AI55" s="439">
        <v>467.2</v>
      </c>
      <c r="AJ55" s="443">
        <v>0.5</v>
      </c>
      <c r="AK55" s="440">
        <v>13361</v>
      </c>
      <c r="AL55" s="444">
        <v>22</v>
      </c>
      <c r="AM55" s="801">
        <v>20</v>
      </c>
    </row>
    <row r="56" spans="1:39" x14ac:dyDescent="0.25">
      <c r="A56" s="418">
        <v>41091</v>
      </c>
      <c r="B56" s="419">
        <v>41171</v>
      </c>
      <c r="C56" s="420">
        <v>4423.8</v>
      </c>
      <c r="D56" s="421"/>
      <c r="E56" s="420">
        <v>5752.4</v>
      </c>
      <c r="F56" s="421"/>
      <c r="G56" s="420">
        <v>1416.2</v>
      </c>
      <c r="H56" s="421"/>
      <c r="I56" s="420">
        <v>1898</v>
      </c>
      <c r="J56" s="421"/>
      <c r="K56" s="420">
        <v>1416.2</v>
      </c>
      <c r="L56" s="421"/>
      <c r="M56" s="420">
        <v>1898</v>
      </c>
      <c r="N56" s="421"/>
      <c r="O56" s="422">
        <v>726.35</v>
      </c>
      <c r="P56" s="422"/>
      <c r="Q56" s="422">
        <v>306.59999999999997</v>
      </c>
      <c r="R56" s="767"/>
      <c r="S56" s="420"/>
      <c r="T56" s="423"/>
      <c r="U56" s="423"/>
      <c r="V56" s="421"/>
      <c r="W56" s="423"/>
      <c r="X56" s="423"/>
      <c r="Y56" s="423"/>
      <c r="Z56" s="420">
        <v>3671.9</v>
      </c>
      <c r="AA56" s="421">
        <v>4891</v>
      </c>
      <c r="AB56" s="420">
        <v>94316</v>
      </c>
      <c r="AC56" s="423">
        <v>3796</v>
      </c>
      <c r="AD56" s="424">
        <v>0.3</v>
      </c>
      <c r="AE56" s="420">
        <v>47815</v>
      </c>
      <c r="AF56" s="1066">
        <v>0.2</v>
      </c>
      <c r="AG56" s="420">
        <v>1445.3999999999999</v>
      </c>
      <c r="AH56" s="423">
        <v>2890.7999999999997</v>
      </c>
      <c r="AI56" s="421">
        <v>481.8</v>
      </c>
      <c r="AJ56" s="425">
        <v>0.5</v>
      </c>
      <c r="AK56" s="422">
        <v>13775</v>
      </c>
      <c r="AL56" s="426">
        <v>22</v>
      </c>
      <c r="AM56" s="710">
        <v>20</v>
      </c>
    </row>
    <row r="57" spans="1:39" x14ac:dyDescent="0.25">
      <c r="A57" s="427">
        <v>41172</v>
      </c>
      <c r="B57" s="428">
        <v>41274</v>
      </c>
      <c r="C57" s="429">
        <v>4423.8</v>
      </c>
      <c r="D57" s="430"/>
      <c r="E57" s="429">
        <v>5752.4</v>
      </c>
      <c r="F57" s="430"/>
      <c r="G57" s="429">
        <v>1416.2</v>
      </c>
      <c r="H57" s="430"/>
      <c r="I57" s="429">
        <v>1898</v>
      </c>
      <c r="J57" s="430"/>
      <c r="K57" s="429">
        <v>1416.2</v>
      </c>
      <c r="L57" s="430"/>
      <c r="M57" s="429">
        <v>1898</v>
      </c>
      <c r="N57" s="430"/>
      <c r="O57" s="431">
        <v>726.35</v>
      </c>
      <c r="P57" s="431"/>
      <c r="Q57" s="431">
        <v>306.59999999999997</v>
      </c>
      <c r="R57" s="765"/>
      <c r="S57" s="429"/>
      <c r="T57" s="432"/>
      <c r="U57" s="432"/>
      <c r="V57" s="430"/>
      <c r="W57" s="432"/>
      <c r="X57" s="432"/>
      <c r="Y57" s="432"/>
      <c r="Z57" s="429">
        <v>3671.9</v>
      </c>
      <c r="AA57" s="430">
        <v>4891</v>
      </c>
      <c r="AB57" s="429">
        <v>94316</v>
      </c>
      <c r="AC57" s="432">
        <v>3796</v>
      </c>
      <c r="AD57" s="433">
        <v>0.3</v>
      </c>
      <c r="AE57" s="429">
        <v>47815</v>
      </c>
      <c r="AF57" s="1067">
        <v>0.2</v>
      </c>
      <c r="AG57" s="429">
        <v>1445.3999999999999</v>
      </c>
      <c r="AH57" s="432">
        <v>2890.7999999999997</v>
      </c>
      <c r="AI57" s="430">
        <v>481.8</v>
      </c>
      <c r="AJ57" s="434">
        <v>0.5</v>
      </c>
      <c r="AK57" s="431">
        <v>13775</v>
      </c>
      <c r="AL57" s="435">
        <v>22</v>
      </c>
      <c r="AM57" s="709">
        <v>20</v>
      </c>
    </row>
    <row r="58" spans="1:39" s="566" customFormat="1" x14ac:dyDescent="0.25">
      <c r="A58" s="557">
        <v>41275</v>
      </c>
      <c r="B58" s="558">
        <v>41352</v>
      </c>
      <c r="C58" s="559">
        <v>4423.8</v>
      </c>
      <c r="D58" s="560"/>
      <c r="E58" s="559">
        <v>5752.4</v>
      </c>
      <c r="F58" s="560"/>
      <c r="G58" s="559">
        <v>1416.2</v>
      </c>
      <c r="H58" s="560"/>
      <c r="I58" s="559"/>
      <c r="J58" s="560"/>
      <c r="K58" s="559">
        <v>1416.2</v>
      </c>
      <c r="L58" s="560"/>
      <c r="M58" s="559"/>
      <c r="N58" s="560"/>
      <c r="O58" s="561">
        <v>726.35</v>
      </c>
      <c r="P58" s="561"/>
      <c r="Q58" s="561">
        <v>306.59999999999997</v>
      </c>
      <c r="R58" s="768">
        <v>3</v>
      </c>
      <c r="S58" s="559"/>
      <c r="T58" s="562"/>
      <c r="U58" s="686"/>
      <c r="V58" s="560"/>
      <c r="W58" s="562"/>
      <c r="X58" s="562"/>
      <c r="Y58" s="562"/>
      <c r="Z58" s="559">
        <v>3671.9</v>
      </c>
      <c r="AA58" s="560">
        <v>4891</v>
      </c>
      <c r="AB58" s="559">
        <v>94316</v>
      </c>
      <c r="AC58" s="562">
        <v>3796</v>
      </c>
      <c r="AD58" s="563">
        <v>0.3</v>
      </c>
      <c r="AE58" s="559">
        <v>47815</v>
      </c>
      <c r="AF58" s="1069">
        <v>0.2</v>
      </c>
      <c r="AG58" s="559">
        <v>1445.3999999999999</v>
      </c>
      <c r="AH58" s="562">
        <v>2890.7999999999997</v>
      </c>
      <c r="AI58" s="560">
        <v>481.8</v>
      </c>
      <c r="AJ58" s="564">
        <v>0.5</v>
      </c>
      <c r="AK58" s="561">
        <v>13775</v>
      </c>
      <c r="AL58" s="565">
        <v>18</v>
      </c>
      <c r="AM58" s="711">
        <v>20</v>
      </c>
    </row>
    <row r="59" spans="1:39" s="566" customFormat="1" ht="15.75" thickBot="1" x14ac:dyDescent="0.3">
      <c r="A59" s="567">
        <v>41353</v>
      </c>
      <c r="B59" s="568">
        <v>41455</v>
      </c>
      <c r="C59" s="569">
        <v>4423.8</v>
      </c>
      <c r="D59" s="570"/>
      <c r="E59" s="569">
        <v>5752.4</v>
      </c>
      <c r="F59" s="570"/>
      <c r="G59" s="569">
        <v>1416.2</v>
      </c>
      <c r="H59" s="570"/>
      <c r="I59" s="569"/>
      <c r="J59" s="570"/>
      <c r="K59" s="569">
        <v>1416.2</v>
      </c>
      <c r="L59" s="570"/>
      <c r="M59" s="569"/>
      <c r="N59" s="570"/>
      <c r="O59" s="571">
        <v>726.35</v>
      </c>
      <c r="P59" s="571"/>
      <c r="Q59" s="571">
        <v>306.59999999999997</v>
      </c>
      <c r="R59" s="769">
        <v>3</v>
      </c>
      <c r="S59" s="569"/>
      <c r="T59" s="572"/>
      <c r="U59" s="572"/>
      <c r="V59" s="570"/>
      <c r="W59" s="572"/>
      <c r="X59" s="572"/>
      <c r="Y59" s="572"/>
      <c r="Z59" s="569">
        <v>3671.9</v>
      </c>
      <c r="AA59" s="570">
        <v>4891</v>
      </c>
      <c r="AB59" s="569">
        <v>94316</v>
      </c>
      <c r="AC59" s="572">
        <v>3796</v>
      </c>
      <c r="AD59" s="573">
        <v>0.3</v>
      </c>
      <c r="AE59" s="569">
        <v>47815</v>
      </c>
      <c r="AF59" s="1070">
        <v>0.2</v>
      </c>
      <c r="AG59" s="569">
        <v>1445.3999999999999</v>
      </c>
      <c r="AH59" s="572">
        <v>2890.7999999999997</v>
      </c>
      <c r="AI59" s="570">
        <v>481.8</v>
      </c>
      <c r="AJ59" s="574">
        <v>0.5</v>
      </c>
      <c r="AK59" s="571">
        <v>13775</v>
      </c>
      <c r="AL59" s="575">
        <v>18</v>
      </c>
      <c r="AM59" s="802">
        <v>20</v>
      </c>
    </row>
    <row r="60" spans="1:39" x14ac:dyDescent="0.25">
      <c r="A60" s="647">
        <v>41456</v>
      </c>
      <c r="B60" s="648">
        <v>41536</v>
      </c>
      <c r="C60" s="643">
        <v>4489.5</v>
      </c>
      <c r="D60" s="645">
        <v>87.6</v>
      </c>
      <c r="E60" s="643">
        <v>5840</v>
      </c>
      <c r="F60" s="645">
        <v>113.14999999999999</v>
      </c>
      <c r="G60" s="643">
        <v>1438.1</v>
      </c>
      <c r="H60" s="645">
        <v>25.55</v>
      </c>
      <c r="I60" s="643"/>
      <c r="J60" s="645"/>
      <c r="K60" s="643">
        <v>1438.1</v>
      </c>
      <c r="L60" s="645">
        <v>36.5</v>
      </c>
      <c r="M60" s="643"/>
      <c r="N60" s="645"/>
      <c r="O60" s="597">
        <v>726.35</v>
      </c>
      <c r="P60" s="597"/>
      <c r="Q60" s="597">
        <v>313.89999999999998</v>
      </c>
      <c r="R60" s="770">
        <v>3</v>
      </c>
      <c r="S60" s="643"/>
      <c r="T60" s="687"/>
      <c r="U60" s="644"/>
      <c r="V60" s="645"/>
      <c r="W60" s="644"/>
      <c r="X60" s="644"/>
      <c r="Y60" s="644"/>
      <c r="Z60" s="643">
        <v>3752.2</v>
      </c>
      <c r="AA60" s="645">
        <v>4996.8499999999995</v>
      </c>
      <c r="AB60" s="643">
        <v>94316</v>
      </c>
      <c r="AC60" s="644">
        <v>3796</v>
      </c>
      <c r="AD60" s="646">
        <v>0.3</v>
      </c>
      <c r="AE60" s="643">
        <v>48837</v>
      </c>
      <c r="AF60" s="1071">
        <v>0.2</v>
      </c>
      <c r="AG60" s="643">
        <v>1478.25</v>
      </c>
      <c r="AH60" s="644">
        <v>2956.5</v>
      </c>
      <c r="AI60" s="645">
        <v>492.75</v>
      </c>
      <c r="AJ60" s="642">
        <v>0.5</v>
      </c>
      <c r="AK60" s="597">
        <v>14078</v>
      </c>
      <c r="AL60" s="654">
        <v>18</v>
      </c>
      <c r="AM60" s="803">
        <v>20</v>
      </c>
    </row>
    <row r="61" spans="1:39" x14ac:dyDescent="0.25">
      <c r="A61" s="557">
        <v>41537</v>
      </c>
      <c r="B61" s="558">
        <v>41639</v>
      </c>
      <c r="C61" s="559">
        <v>4489.5</v>
      </c>
      <c r="D61" s="560">
        <v>87.6</v>
      </c>
      <c r="E61" s="559">
        <v>5840</v>
      </c>
      <c r="F61" s="560">
        <v>113.14999999999999</v>
      </c>
      <c r="G61" s="559">
        <v>1438.1</v>
      </c>
      <c r="H61" s="560">
        <f t="shared" ref="H61:H72" si="0">H60</f>
        <v>25.55</v>
      </c>
      <c r="I61" s="559"/>
      <c r="K61" s="559">
        <v>1438.1</v>
      </c>
      <c r="L61" s="560">
        <v>36.5</v>
      </c>
      <c r="M61" s="559"/>
      <c r="N61" s="560"/>
      <c r="O61" s="561">
        <v>726.35</v>
      </c>
      <c r="P61" s="561"/>
      <c r="Q61" s="561">
        <v>313.89999999999998</v>
      </c>
      <c r="R61" s="768">
        <v>3</v>
      </c>
      <c r="S61" s="559"/>
      <c r="T61" s="562"/>
      <c r="U61" s="562"/>
      <c r="V61" s="560"/>
      <c r="W61" s="562"/>
      <c r="X61" s="562"/>
      <c r="Y61" s="562"/>
      <c r="Z61" s="559">
        <v>3752.2</v>
      </c>
      <c r="AA61" s="560">
        <v>4996.8499999999995</v>
      </c>
      <c r="AB61" s="559">
        <v>94316</v>
      </c>
      <c r="AC61" s="562">
        <v>3796</v>
      </c>
      <c r="AD61" s="563">
        <v>0.3</v>
      </c>
      <c r="AE61" s="559">
        <v>48837</v>
      </c>
      <c r="AF61" s="1069">
        <v>0.2</v>
      </c>
      <c r="AG61" s="559">
        <v>1478.25</v>
      </c>
      <c r="AH61" s="562">
        <v>2956.5</v>
      </c>
      <c r="AI61" s="560">
        <v>492.75</v>
      </c>
      <c r="AJ61" s="564">
        <v>0.5</v>
      </c>
      <c r="AK61" s="561">
        <v>14078</v>
      </c>
      <c r="AL61" s="565">
        <v>18</v>
      </c>
      <c r="AM61" s="711">
        <v>20</v>
      </c>
    </row>
    <row r="62" spans="1:39" x14ac:dyDescent="0.25">
      <c r="A62" s="557">
        <v>41640</v>
      </c>
      <c r="B62" s="558">
        <v>41717</v>
      </c>
      <c r="C62" s="559">
        <v>4489.5</v>
      </c>
      <c r="D62" s="560">
        <v>87.6</v>
      </c>
      <c r="E62" s="559">
        <v>5840</v>
      </c>
      <c r="F62" s="560">
        <v>113.14999999999999</v>
      </c>
      <c r="G62" s="559">
        <v>1438.1</v>
      </c>
      <c r="H62" s="560">
        <f t="shared" si="0"/>
        <v>25.55</v>
      </c>
      <c r="I62" s="559"/>
      <c r="J62" s="560"/>
      <c r="K62" s="559">
        <v>1438.1</v>
      </c>
      <c r="L62" s="560">
        <v>36.5</v>
      </c>
      <c r="M62" s="559"/>
      <c r="N62" s="560"/>
      <c r="O62" s="561">
        <v>726.35</v>
      </c>
      <c r="P62" s="561"/>
      <c r="Q62" s="561">
        <v>313.89999999999998</v>
      </c>
      <c r="R62" s="768">
        <v>3</v>
      </c>
      <c r="S62" s="559">
        <v>1501.5</v>
      </c>
      <c r="T62" s="562">
        <v>500.5</v>
      </c>
      <c r="U62" s="562">
        <v>500</v>
      </c>
      <c r="V62" s="694">
        <v>13</v>
      </c>
      <c r="W62" s="562">
        <v>2001.5</v>
      </c>
      <c r="X62" s="562">
        <v>1000.5</v>
      </c>
      <c r="Y62" s="562">
        <v>60000</v>
      </c>
      <c r="Z62" s="559">
        <v>3752.2</v>
      </c>
      <c r="AA62" s="560">
        <v>4996.8499999999995</v>
      </c>
      <c r="AB62" s="559">
        <v>94316</v>
      </c>
      <c r="AC62" s="562">
        <v>3796</v>
      </c>
      <c r="AD62" s="563">
        <v>0.3</v>
      </c>
      <c r="AE62" s="559">
        <v>48837</v>
      </c>
      <c r="AF62" s="1069">
        <v>0.2</v>
      </c>
      <c r="AG62" s="559">
        <v>1478.25</v>
      </c>
      <c r="AH62" s="562">
        <v>2956.5</v>
      </c>
      <c r="AI62" s="560">
        <v>492.75</v>
      </c>
      <c r="AJ62" s="564">
        <v>0.5</v>
      </c>
      <c r="AK62" s="561">
        <v>14078</v>
      </c>
      <c r="AL62" s="565">
        <v>16</v>
      </c>
      <c r="AM62" s="711">
        <v>20</v>
      </c>
    </row>
    <row r="63" spans="1:39" ht="15.75" thickBot="1" x14ac:dyDescent="0.3">
      <c r="A63" s="567">
        <v>41718</v>
      </c>
      <c r="B63" s="568">
        <v>41820</v>
      </c>
      <c r="C63" s="569">
        <v>4489.5</v>
      </c>
      <c r="D63" s="570">
        <v>87.6</v>
      </c>
      <c r="E63" s="569">
        <v>5840</v>
      </c>
      <c r="F63" s="570">
        <v>113.14999999999999</v>
      </c>
      <c r="G63" s="569">
        <v>1438.1</v>
      </c>
      <c r="H63" s="570">
        <f t="shared" si="0"/>
        <v>25.55</v>
      </c>
      <c r="I63" s="569"/>
      <c r="J63" s="570"/>
      <c r="K63" s="569">
        <v>1438.1</v>
      </c>
      <c r="L63" s="560">
        <v>36.5</v>
      </c>
      <c r="M63" s="569"/>
      <c r="N63" s="570"/>
      <c r="O63" s="571">
        <v>726.35</v>
      </c>
      <c r="P63" s="571"/>
      <c r="Q63" s="571">
        <v>313.89999999999998</v>
      </c>
      <c r="R63" s="769">
        <v>3</v>
      </c>
      <c r="S63" s="569">
        <v>1501.5</v>
      </c>
      <c r="T63" s="572">
        <v>500.5</v>
      </c>
      <c r="U63" s="572">
        <v>500</v>
      </c>
      <c r="V63" s="693">
        <v>13</v>
      </c>
      <c r="W63" s="572">
        <v>2001.5</v>
      </c>
      <c r="X63" s="572">
        <v>1000.5</v>
      </c>
      <c r="Y63" s="572">
        <v>60000</v>
      </c>
      <c r="Z63" s="569">
        <v>3752.2</v>
      </c>
      <c r="AA63" s="570">
        <v>4996.8499999999995</v>
      </c>
      <c r="AB63" s="569">
        <v>94316</v>
      </c>
      <c r="AC63" s="572">
        <v>3796</v>
      </c>
      <c r="AD63" s="573">
        <v>0.3</v>
      </c>
      <c r="AE63" s="569">
        <v>48837</v>
      </c>
      <c r="AF63" s="1070">
        <v>0.2</v>
      </c>
      <c r="AG63" s="569">
        <v>1478.25</v>
      </c>
      <c r="AH63" s="572">
        <v>2956.5</v>
      </c>
      <c r="AI63" s="570">
        <v>492.75</v>
      </c>
      <c r="AJ63" s="574">
        <v>0.5</v>
      </c>
      <c r="AK63" s="561">
        <v>14078</v>
      </c>
      <c r="AL63" s="575">
        <v>16</v>
      </c>
      <c r="AM63" s="802">
        <v>20</v>
      </c>
    </row>
    <row r="64" spans="1:39" s="566" customFormat="1" x14ac:dyDescent="0.25">
      <c r="A64" s="647">
        <v>41821</v>
      </c>
      <c r="B64" s="648">
        <v>41901</v>
      </c>
      <c r="C64" s="643">
        <v>4609.95</v>
      </c>
      <c r="D64" s="645">
        <v>91.25</v>
      </c>
      <c r="E64" s="643">
        <v>5996.95</v>
      </c>
      <c r="F64" s="645">
        <v>116.8</v>
      </c>
      <c r="G64" s="643">
        <v>1478.25</v>
      </c>
      <c r="H64" s="645">
        <f t="shared" si="0"/>
        <v>25.55</v>
      </c>
      <c r="I64" s="643"/>
      <c r="J64" s="645"/>
      <c r="K64" s="643">
        <v>1478.25</v>
      </c>
      <c r="L64" s="645">
        <v>36.5</v>
      </c>
      <c r="M64" s="643"/>
      <c r="N64" s="645"/>
      <c r="O64" s="645">
        <v>726.35</v>
      </c>
      <c r="P64" s="645"/>
      <c r="Q64" s="597">
        <v>321.2</v>
      </c>
      <c r="R64" s="770">
        <v>3</v>
      </c>
      <c r="S64" s="643">
        <v>1542.45</v>
      </c>
      <c r="T64" s="644">
        <v>514.15</v>
      </c>
      <c r="U64" s="644">
        <v>514</v>
      </c>
      <c r="V64" s="694">
        <v>13</v>
      </c>
      <c r="W64" s="562">
        <v>2056.4499999999998</v>
      </c>
      <c r="X64" s="562">
        <v>1028.1500000000001</v>
      </c>
      <c r="Y64" s="562">
        <v>60000</v>
      </c>
      <c r="Z64" s="643">
        <v>3854.4</v>
      </c>
      <c r="AA64" s="645">
        <v>5131.8999999999996</v>
      </c>
      <c r="AB64" s="559">
        <v>94316</v>
      </c>
      <c r="AC64" s="562">
        <v>3796</v>
      </c>
      <c r="AD64" s="646">
        <v>0.3</v>
      </c>
      <c r="AE64" s="559">
        <v>50151</v>
      </c>
      <c r="AF64" s="1069">
        <v>0.2</v>
      </c>
      <c r="AG64" s="643">
        <v>1522.05</v>
      </c>
      <c r="AH64" s="644">
        <v>3044.1</v>
      </c>
      <c r="AI64" s="645">
        <v>507.34999999999997</v>
      </c>
      <c r="AJ64" s="642">
        <v>0.5</v>
      </c>
      <c r="AK64" s="597"/>
      <c r="AL64" s="654">
        <v>16</v>
      </c>
      <c r="AM64" s="803">
        <v>20</v>
      </c>
    </row>
    <row r="65" spans="1:39" s="566" customFormat="1" x14ac:dyDescent="0.25">
      <c r="A65" s="557">
        <v>41902</v>
      </c>
      <c r="B65" s="558">
        <v>42004</v>
      </c>
      <c r="C65" s="559">
        <v>4609.95</v>
      </c>
      <c r="D65" s="560">
        <v>91.25</v>
      </c>
      <c r="E65" s="559">
        <v>5996.95</v>
      </c>
      <c r="F65" s="560">
        <v>116.8</v>
      </c>
      <c r="G65" s="559">
        <v>1478.25</v>
      </c>
      <c r="H65" s="560">
        <f t="shared" si="0"/>
        <v>25.55</v>
      </c>
      <c r="I65" s="559"/>
      <c r="J65" s="560"/>
      <c r="K65" s="559">
        <v>1478.25</v>
      </c>
      <c r="L65" s="560">
        <v>36.5</v>
      </c>
      <c r="M65" s="559"/>
      <c r="N65" s="560"/>
      <c r="O65" s="561">
        <v>726.35</v>
      </c>
      <c r="P65" s="561"/>
      <c r="Q65" s="561">
        <v>321.2</v>
      </c>
      <c r="R65" s="768">
        <v>3</v>
      </c>
      <c r="S65" s="559">
        <v>1542.45</v>
      </c>
      <c r="T65" s="562">
        <v>514.15</v>
      </c>
      <c r="U65" s="562">
        <v>514</v>
      </c>
      <c r="V65" s="694">
        <v>13</v>
      </c>
      <c r="W65" s="562">
        <v>2056.4499999999998</v>
      </c>
      <c r="X65" s="562">
        <v>1028.1500000000001</v>
      </c>
      <c r="Y65" s="562">
        <v>60000</v>
      </c>
      <c r="Z65" s="559">
        <v>3854.4</v>
      </c>
      <c r="AA65" s="560">
        <v>5131.8999999999996</v>
      </c>
      <c r="AB65" s="559">
        <v>94316</v>
      </c>
      <c r="AC65" s="562">
        <v>3796</v>
      </c>
      <c r="AD65" s="563">
        <v>0.3</v>
      </c>
      <c r="AE65" s="559">
        <v>50151</v>
      </c>
      <c r="AF65" s="1069">
        <v>0.2</v>
      </c>
      <c r="AG65" s="559">
        <v>1522.05</v>
      </c>
      <c r="AH65" s="562">
        <v>3044.1</v>
      </c>
      <c r="AI65" s="560">
        <v>507.34999999999997</v>
      </c>
      <c r="AJ65" s="564">
        <v>0.5</v>
      </c>
      <c r="AK65" s="561"/>
      <c r="AL65" s="565">
        <v>16</v>
      </c>
      <c r="AM65" s="711">
        <v>20</v>
      </c>
    </row>
    <row r="66" spans="1:39" s="566" customFormat="1" x14ac:dyDescent="0.25">
      <c r="A66" s="557">
        <v>42005</v>
      </c>
      <c r="B66" s="558">
        <v>42082</v>
      </c>
      <c r="C66" s="559">
        <v>4609.95</v>
      </c>
      <c r="D66" s="560">
        <v>91.25</v>
      </c>
      <c r="E66" s="559">
        <v>5996.95</v>
      </c>
      <c r="F66" s="560">
        <v>116.8</v>
      </c>
      <c r="G66" s="559">
        <v>1478.25</v>
      </c>
      <c r="H66" s="560">
        <f t="shared" si="0"/>
        <v>25.55</v>
      </c>
      <c r="I66" s="559"/>
      <c r="J66" s="560"/>
      <c r="K66" s="559">
        <v>1478.25</v>
      </c>
      <c r="L66" s="560">
        <v>36.5</v>
      </c>
      <c r="M66" s="559"/>
      <c r="N66" s="560"/>
      <c r="O66" s="561">
        <v>726.35</v>
      </c>
      <c r="P66" s="561"/>
      <c r="Q66" s="561">
        <v>321.2</v>
      </c>
      <c r="R66" s="768">
        <v>3</v>
      </c>
      <c r="S66" s="559">
        <v>1542.45</v>
      </c>
      <c r="T66" s="562">
        <v>514.15</v>
      </c>
      <c r="U66" s="562">
        <v>514</v>
      </c>
      <c r="V66" s="694">
        <v>13</v>
      </c>
      <c r="W66" s="562">
        <v>2056.4499999999998</v>
      </c>
      <c r="X66" s="562">
        <v>1028.1500000000001</v>
      </c>
      <c r="Y66" s="562">
        <v>60000</v>
      </c>
      <c r="Z66" s="559">
        <v>3854.4</v>
      </c>
      <c r="AA66" s="560">
        <v>5131.8999999999996</v>
      </c>
      <c r="AB66" s="559">
        <v>94316</v>
      </c>
      <c r="AC66" s="562">
        <v>3796</v>
      </c>
      <c r="AD66" s="563">
        <v>0.3</v>
      </c>
      <c r="AE66" s="559">
        <v>50151</v>
      </c>
      <c r="AF66" s="1069">
        <v>0.2</v>
      </c>
      <c r="AG66" s="559">
        <v>1522.05</v>
      </c>
      <c r="AH66" s="562">
        <v>3044.1</v>
      </c>
      <c r="AI66" s="560">
        <v>507.34999999999997</v>
      </c>
      <c r="AJ66" s="564">
        <v>0.5</v>
      </c>
      <c r="AK66" s="561"/>
      <c r="AL66" s="565">
        <v>16</v>
      </c>
      <c r="AM66" s="711">
        <v>20</v>
      </c>
    </row>
    <row r="67" spans="1:39" s="566" customFormat="1" ht="15.75" thickBot="1" x14ac:dyDescent="0.3">
      <c r="A67" s="567">
        <v>42083</v>
      </c>
      <c r="B67" s="568">
        <v>42185</v>
      </c>
      <c r="C67" s="569">
        <v>4609.95</v>
      </c>
      <c r="D67" s="570">
        <v>91.25</v>
      </c>
      <c r="E67" s="569">
        <v>5996.95</v>
      </c>
      <c r="F67" s="570">
        <v>116.8</v>
      </c>
      <c r="G67" s="569">
        <v>1478.25</v>
      </c>
      <c r="H67" s="570">
        <f t="shared" si="0"/>
        <v>25.55</v>
      </c>
      <c r="I67" s="569"/>
      <c r="J67" s="570"/>
      <c r="K67" s="569">
        <v>1478.25</v>
      </c>
      <c r="L67" s="560">
        <v>36.5</v>
      </c>
      <c r="M67" s="569"/>
      <c r="N67" s="570"/>
      <c r="O67" s="571">
        <v>726.35</v>
      </c>
      <c r="P67" s="571"/>
      <c r="Q67" s="571">
        <v>321.2</v>
      </c>
      <c r="R67" s="769">
        <v>3</v>
      </c>
      <c r="S67" s="569">
        <v>1542.45</v>
      </c>
      <c r="T67" s="572">
        <v>514.15</v>
      </c>
      <c r="U67" s="572">
        <v>514</v>
      </c>
      <c r="V67" s="694">
        <v>13</v>
      </c>
      <c r="W67" s="562">
        <v>2056.4499999999998</v>
      </c>
      <c r="X67" s="572">
        <v>1028.1500000000001</v>
      </c>
      <c r="Y67" s="570">
        <v>60000</v>
      </c>
      <c r="Z67" s="569">
        <v>3854.4</v>
      </c>
      <c r="AA67" s="570">
        <v>5131.8999999999996</v>
      </c>
      <c r="AB67" s="569">
        <v>94316</v>
      </c>
      <c r="AC67" s="572">
        <v>3796</v>
      </c>
      <c r="AD67" s="573">
        <v>0.3</v>
      </c>
      <c r="AE67" s="569">
        <v>50151</v>
      </c>
      <c r="AF67" s="1070">
        <v>0.2</v>
      </c>
      <c r="AG67" s="569">
        <v>1522.05</v>
      </c>
      <c r="AH67" s="572">
        <v>3044.1</v>
      </c>
      <c r="AI67" s="570">
        <v>507.34999999999997</v>
      </c>
      <c r="AJ67" s="574">
        <v>0.5</v>
      </c>
      <c r="AK67" s="571"/>
      <c r="AL67" s="575">
        <v>16</v>
      </c>
      <c r="AM67" s="802">
        <v>20</v>
      </c>
    </row>
    <row r="68" spans="1:39" x14ac:dyDescent="0.25">
      <c r="A68" s="647">
        <v>42186</v>
      </c>
      <c r="B68" s="648">
        <v>42266</v>
      </c>
      <c r="C68" s="643">
        <f>IndexAmt(C67,"peCpiFp",$B65,3.65,12)</f>
        <v>4686.5999999999995</v>
      </c>
      <c r="D68" s="645">
        <f>D67</f>
        <v>91.25</v>
      </c>
      <c r="E68" s="643">
        <f>IndexAmt(E67,"peCpiFp",$B65,3.65,12)</f>
        <v>6099.15</v>
      </c>
      <c r="F68" s="645">
        <f>F67</f>
        <v>116.8</v>
      </c>
      <c r="G68" s="643">
        <f>IndexAmt(G67,"peCpiFp",$B65,3.65,12)</f>
        <v>1503.8</v>
      </c>
      <c r="H68" s="560">
        <f t="shared" si="0"/>
        <v>25.55</v>
      </c>
      <c r="I68" s="643"/>
      <c r="J68" s="645"/>
      <c r="K68" s="643">
        <f>IndexAmt(K67,"peCpiFp",$B65,3.65,12)</f>
        <v>1503.8</v>
      </c>
      <c r="L68" s="645">
        <f>L67</f>
        <v>36.5</v>
      </c>
      <c r="M68" s="643"/>
      <c r="N68" s="645"/>
      <c r="O68" s="597">
        <f>O67</f>
        <v>726.35</v>
      </c>
      <c r="P68" s="597"/>
      <c r="Q68" s="597">
        <f>IndexAmt(Q67,"peCpiFp",$B65,3.65,12)</f>
        <v>324.84999999999997</v>
      </c>
      <c r="R68" s="770">
        <v>4</v>
      </c>
      <c r="S68" s="643">
        <v>1568.84</v>
      </c>
      <c r="T68" s="562">
        <v>523.25</v>
      </c>
      <c r="U68" s="644">
        <f>IndexAmt(U67,"peCpiFp",$B65,1,12)</f>
        <v>523</v>
      </c>
      <c r="V68" s="917">
        <v>13</v>
      </c>
      <c r="W68" s="644">
        <f t="shared" ref="W68:W91" si="1">$S68+$U68</f>
        <v>2091.84</v>
      </c>
      <c r="X68" s="562">
        <v>1046.25</v>
      </c>
      <c r="Y68" s="562">
        <f t="shared" ref="Y68:Y91" si="2">Y67</f>
        <v>60000</v>
      </c>
      <c r="Z68" s="643">
        <f>IndexAmt(Z67,"peCpiFp",$B65,3.65,12)</f>
        <v>3920.1</v>
      </c>
      <c r="AA68" s="645">
        <f>IndexAmt(AA67,"peCpiFp",$B65,3.65,12)</f>
        <v>5219.5</v>
      </c>
      <c r="AB68" s="643">
        <f>AB64</f>
        <v>94316</v>
      </c>
      <c r="AC68" s="644">
        <v>0</v>
      </c>
      <c r="AD68" s="646">
        <v>0.3</v>
      </c>
      <c r="AE68" s="643">
        <f>IndexAmt(AE67,"peCpiFp",$B65,73,12)</f>
        <v>51027</v>
      </c>
      <c r="AF68" s="1071">
        <v>0.2</v>
      </c>
      <c r="AG68" s="643">
        <f>IndexAmt(AG67,"peCpiFp",$B65,10.95,12)</f>
        <v>1543.9499999999998</v>
      </c>
      <c r="AH68" s="644">
        <f>IndexAmt(AH67,"peCpiFp",$B65,21.9,12)</f>
        <v>3087.8999999999996</v>
      </c>
      <c r="AI68" s="645">
        <f>IndexAmt(AI67,"peCpiFp",$B65,3.65,12)</f>
        <v>514.65</v>
      </c>
      <c r="AJ68" s="642">
        <v>0.5</v>
      </c>
      <c r="AK68" s="597"/>
      <c r="AL68" s="654">
        <v>16</v>
      </c>
      <c r="AM68" s="803">
        <v>20</v>
      </c>
    </row>
    <row r="69" spans="1:39" x14ac:dyDescent="0.25">
      <c r="A69" s="557">
        <v>42267</v>
      </c>
      <c r="B69" s="558">
        <v>42369</v>
      </c>
      <c r="C69" s="559">
        <f>C68</f>
        <v>4686.5999999999995</v>
      </c>
      <c r="D69" s="560">
        <f>D68</f>
        <v>91.25</v>
      </c>
      <c r="E69" s="559">
        <f t="shared" ref="E69:E79" si="3">E68</f>
        <v>6099.15</v>
      </c>
      <c r="F69" s="560">
        <f>F68</f>
        <v>116.8</v>
      </c>
      <c r="G69" s="559">
        <f t="shared" ref="G69:G75" si="4">G68</f>
        <v>1503.8</v>
      </c>
      <c r="H69" s="560">
        <f t="shared" si="0"/>
        <v>25.55</v>
      </c>
      <c r="I69" s="559"/>
      <c r="J69" s="560"/>
      <c r="K69" s="559">
        <f t="shared" ref="K69:K75" si="5">K68</f>
        <v>1503.8</v>
      </c>
      <c r="L69" s="560">
        <f>L68</f>
        <v>36.5</v>
      </c>
      <c r="M69" s="559"/>
      <c r="N69" s="560"/>
      <c r="O69" s="561">
        <f>O68</f>
        <v>726.35</v>
      </c>
      <c r="P69" s="561"/>
      <c r="Q69" s="561">
        <f>Q68</f>
        <v>324.84999999999997</v>
      </c>
      <c r="R69" s="768">
        <f>R68</f>
        <v>4</v>
      </c>
      <c r="S69" s="559">
        <f>S68</f>
        <v>1568.84</v>
      </c>
      <c r="T69" s="562">
        <f>T68</f>
        <v>523.25</v>
      </c>
      <c r="U69" s="562">
        <f>U68</f>
        <v>523</v>
      </c>
      <c r="V69" s="694">
        <v>13</v>
      </c>
      <c r="W69" s="562">
        <f t="shared" si="1"/>
        <v>2091.84</v>
      </c>
      <c r="X69" s="562">
        <v>1046.25</v>
      </c>
      <c r="Y69" s="562">
        <f t="shared" si="2"/>
        <v>60000</v>
      </c>
      <c r="Z69" s="559">
        <f>Z68</f>
        <v>3920.1</v>
      </c>
      <c r="AA69" s="560">
        <f>AA68</f>
        <v>5219.5</v>
      </c>
      <c r="AB69" s="559">
        <f>AB68</f>
        <v>94316</v>
      </c>
      <c r="AC69" s="562">
        <v>0</v>
      </c>
      <c r="AD69" s="563">
        <v>0.3</v>
      </c>
      <c r="AE69" s="559">
        <f t="shared" ref="AE69:AE75" si="6">AE68</f>
        <v>51027</v>
      </c>
      <c r="AF69" s="1069">
        <v>0.2</v>
      </c>
      <c r="AG69" s="559">
        <f>AG68</f>
        <v>1543.9499999999998</v>
      </c>
      <c r="AH69" s="562">
        <f>AH68</f>
        <v>3087.8999999999996</v>
      </c>
      <c r="AI69" s="560">
        <f>AI68</f>
        <v>514.65</v>
      </c>
      <c r="AJ69" s="564">
        <v>0.5</v>
      </c>
      <c r="AK69" s="561"/>
      <c r="AL69" s="565">
        <v>16</v>
      </c>
      <c r="AM69" s="711">
        <v>20</v>
      </c>
    </row>
    <row r="70" spans="1:39" x14ac:dyDescent="0.25">
      <c r="A70" s="557">
        <v>42370</v>
      </c>
      <c r="B70" s="558">
        <v>42448</v>
      </c>
      <c r="C70" s="559">
        <v>4686.5999999999995</v>
      </c>
      <c r="D70" s="560">
        <v>91.25</v>
      </c>
      <c r="E70" s="559">
        <v>6099.15</v>
      </c>
      <c r="F70" s="560">
        <v>116.8</v>
      </c>
      <c r="G70" s="559">
        <v>1503.8</v>
      </c>
      <c r="H70" s="560">
        <f t="shared" si="0"/>
        <v>25.55</v>
      </c>
      <c r="I70" s="559"/>
      <c r="J70" s="560"/>
      <c r="K70" s="559">
        <v>1503.8</v>
      </c>
      <c r="L70" s="560">
        <v>36.5</v>
      </c>
      <c r="M70" s="559"/>
      <c r="N70" s="560"/>
      <c r="O70" s="561">
        <v>726.35</v>
      </c>
      <c r="P70" s="561"/>
      <c r="Q70" s="561">
        <v>324.84999999999997</v>
      </c>
      <c r="R70" s="768">
        <v>4</v>
      </c>
      <c r="S70" s="559">
        <f>S69</f>
        <v>1568.84</v>
      </c>
      <c r="T70" s="562">
        <f>T69</f>
        <v>523.25</v>
      </c>
      <c r="U70" s="562">
        <v>523</v>
      </c>
      <c r="V70" s="694">
        <v>13</v>
      </c>
      <c r="W70" s="562">
        <v>2091.84</v>
      </c>
      <c r="X70" s="562">
        <v>1046.25</v>
      </c>
      <c r="Y70" s="562">
        <v>60000</v>
      </c>
      <c r="Z70" s="559">
        <v>3920.1</v>
      </c>
      <c r="AA70" s="560">
        <v>5219.5</v>
      </c>
      <c r="AB70" s="559">
        <v>94316</v>
      </c>
      <c r="AC70" s="562">
        <v>0</v>
      </c>
      <c r="AD70" s="563">
        <v>0.3</v>
      </c>
      <c r="AE70" s="559">
        <v>51027</v>
      </c>
      <c r="AF70" s="1069">
        <v>0.2</v>
      </c>
      <c r="AG70" s="559">
        <v>1543.9499999999998</v>
      </c>
      <c r="AH70" s="562">
        <v>3087.8999999999996</v>
      </c>
      <c r="AI70" s="560">
        <v>514.65</v>
      </c>
      <c r="AJ70" s="564">
        <v>0.5</v>
      </c>
      <c r="AK70" s="561"/>
      <c r="AL70" s="565">
        <v>16</v>
      </c>
      <c r="AM70" s="711">
        <v>20</v>
      </c>
    </row>
    <row r="71" spans="1:39" ht="15.75" thickBot="1" x14ac:dyDescent="0.3">
      <c r="A71" s="1018">
        <v>42449</v>
      </c>
      <c r="B71" s="1019">
        <v>42551</v>
      </c>
      <c r="C71" s="569">
        <v>4686.5999999999995</v>
      </c>
      <c r="D71" s="570">
        <v>91.25</v>
      </c>
      <c r="E71" s="569">
        <v>6099.15</v>
      </c>
      <c r="F71" s="570">
        <v>116.8</v>
      </c>
      <c r="G71" s="569">
        <v>1503.8</v>
      </c>
      <c r="H71" s="570">
        <f t="shared" si="0"/>
        <v>25.55</v>
      </c>
      <c r="I71" s="569"/>
      <c r="J71" s="570"/>
      <c r="K71" s="569">
        <v>1503.8</v>
      </c>
      <c r="L71" s="560">
        <v>36.5</v>
      </c>
      <c r="M71" s="569"/>
      <c r="N71" s="570"/>
      <c r="O71" s="571">
        <v>726.35</v>
      </c>
      <c r="P71" s="571"/>
      <c r="Q71" s="571">
        <v>324.84999999999997</v>
      </c>
      <c r="R71" s="769">
        <v>4</v>
      </c>
      <c r="S71" s="569">
        <v>1568.84</v>
      </c>
      <c r="T71" s="572">
        <v>523.25</v>
      </c>
      <c r="U71" s="572">
        <v>523</v>
      </c>
      <c r="V71" s="693">
        <v>13</v>
      </c>
      <c r="W71" s="572">
        <v>2091.84</v>
      </c>
      <c r="X71" s="562">
        <v>1046.25</v>
      </c>
      <c r="Y71" s="570">
        <v>60000</v>
      </c>
      <c r="Z71" s="569">
        <v>3920.1</v>
      </c>
      <c r="AA71" s="570">
        <v>5219.5</v>
      </c>
      <c r="AB71" s="569">
        <v>94316</v>
      </c>
      <c r="AC71" s="572">
        <v>0</v>
      </c>
      <c r="AD71" s="573">
        <v>0.3</v>
      </c>
      <c r="AE71" s="569">
        <v>51027</v>
      </c>
      <c r="AF71" s="1070">
        <v>0.2</v>
      </c>
      <c r="AG71" s="569">
        <v>1543.9499999999998</v>
      </c>
      <c r="AH71" s="572">
        <v>3087.8999999999996</v>
      </c>
      <c r="AI71" s="570">
        <v>514.65</v>
      </c>
      <c r="AJ71" s="574">
        <v>0.5</v>
      </c>
      <c r="AK71" s="571"/>
      <c r="AL71" s="575">
        <v>16</v>
      </c>
      <c r="AM71" s="802">
        <v>20</v>
      </c>
    </row>
    <row r="72" spans="1:39" x14ac:dyDescent="0.25">
      <c r="A72" s="647">
        <v>42552</v>
      </c>
      <c r="B72" s="648">
        <v>42632</v>
      </c>
      <c r="C72" s="643">
        <v>4766.8999999999996</v>
      </c>
      <c r="D72" s="645">
        <v>91.25</v>
      </c>
      <c r="E72" s="643">
        <v>6201.35</v>
      </c>
      <c r="F72" s="645">
        <v>116.8</v>
      </c>
      <c r="G72" s="643">
        <v>1529.35</v>
      </c>
      <c r="H72" s="645">
        <f t="shared" si="0"/>
        <v>25.55</v>
      </c>
      <c r="I72" s="643"/>
      <c r="J72" s="645"/>
      <c r="K72" s="643">
        <v>1529.35</v>
      </c>
      <c r="L72" s="645">
        <v>36.5</v>
      </c>
      <c r="M72" s="643"/>
      <c r="N72" s="645"/>
      <c r="O72" s="597">
        <f>O71</f>
        <v>726.35</v>
      </c>
      <c r="P72" s="597">
        <v>80000</v>
      </c>
      <c r="Q72" s="597">
        <v>0</v>
      </c>
      <c r="R72" s="770"/>
      <c r="S72" s="643">
        <v>1595.23</v>
      </c>
      <c r="T72" s="644">
        <v>532.35</v>
      </c>
      <c r="U72" s="644">
        <v>532</v>
      </c>
      <c r="V72" s="917">
        <v>13</v>
      </c>
      <c r="W72" s="644">
        <v>2127.23</v>
      </c>
      <c r="X72" s="644">
        <v>1064.3499999999999</v>
      </c>
      <c r="Y72" s="562">
        <v>60000</v>
      </c>
      <c r="Z72" s="643">
        <v>3985.8</v>
      </c>
      <c r="AA72" s="645">
        <v>5307.1</v>
      </c>
      <c r="AB72" s="643">
        <v>94316</v>
      </c>
      <c r="AC72" s="644">
        <v>0</v>
      </c>
      <c r="AD72" s="646">
        <v>0.3</v>
      </c>
      <c r="AE72" s="643">
        <v>51903</v>
      </c>
      <c r="AF72" s="1071">
        <v>0.2</v>
      </c>
      <c r="AG72" s="643">
        <v>1565.85</v>
      </c>
      <c r="AH72" s="644">
        <v>3131.7</v>
      </c>
      <c r="AI72" s="645">
        <v>521.95000000000005</v>
      </c>
      <c r="AJ72" s="642">
        <v>0.5</v>
      </c>
      <c r="AK72" s="597"/>
      <c r="AL72" s="654">
        <v>16</v>
      </c>
      <c r="AM72" s="803">
        <v>20</v>
      </c>
    </row>
    <row r="73" spans="1:39" x14ac:dyDescent="0.25">
      <c r="A73" s="557">
        <v>42633</v>
      </c>
      <c r="B73" s="558">
        <v>42735</v>
      </c>
      <c r="C73" s="559">
        <v>4766.8999999999996</v>
      </c>
      <c r="D73" s="560">
        <f t="shared" ref="D73:D91" si="7">D72</f>
        <v>91.25</v>
      </c>
      <c r="E73" s="559">
        <v>6201.35</v>
      </c>
      <c r="F73" s="560">
        <f t="shared" ref="F73:F91" si="8">F72</f>
        <v>116.8</v>
      </c>
      <c r="G73" s="559">
        <v>1529.35</v>
      </c>
      <c r="H73" s="560">
        <f t="shared" ref="H73:H91" si="9">H72</f>
        <v>25.55</v>
      </c>
      <c r="I73" s="559"/>
      <c r="J73" s="560"/>
      <c r="K73" s="559">
        <v>1529.35</v>
      </c>
      <c r="L73" s="560">
        <f t="shared" ref="L73:L91" si="10">L72</f>
        <v>36.5</v>
      </c>
      <c r="M73" s="559"/>
      <c r="N73" s="560"/>
      <c r="O73" s="561">
        <f t="shared" ref="O73:Q75" si="11">O72</f>
        <v>726.35</v>
      </c>
      <c r="P73" s="561">
        <v>80000</v>
      </c>
      <c r="Q73" s="561">
        <f t="shared" si="11"/>
        <v>0</v>
      </c>
      <c r="R73" s="1043"/>
      <c r="S73" s="559">
        <v>1595.23</v>
      </c>
      <c r="T73" s="562">
        <v>532.35</v>
      </c>
      <c r="U73" s="562">
        <v>532</v>
      </c>
      <c r="V73" s="694">
        <v>13</v>
      </c>
      <c r="W73" s="562">
        <v>2127.23</v>
      </c>
      <c r="X73" s="562">
        <v>1064.3499999999999</v>
      </c>
      <c r="Y73" s="562">
        <v>60000</v>
      </c>
      <c r="Z73" s="559">
        <f t="shared" ref="Z73:AB75" si="12">Z72</f>
        <v>3985.8</v>
      </c>
      <c r="AA73" s="560">
        <f t="shared" si="12"/>
        <v>5307.1</v>
      </c>
      <c r="AB73" s="559">
        <v>94316</v>
      </c>
      <c r="AC73" s="562">
        <v>0</v>
      </c>
      <c r="AD73" s="563">
        <v>0.3</v>
      </c>
      <c r="AE73" s="559">
        <v>51903</v>
      </c>
      <c r="AF73" s="1069">
        <v>0.2</v>
      </c>
      <c r="AG73" s="559">
        <v>1565.85</v>
      </c>
      <c r="AH73" s="562">
        <v>3131.7</v>
      </c>
      <c r="AI73" s="560">
        <v>521.95000000000005</v>
      </c>
      <c r="AJ73" s="564">
        <v>0.5</v>
      </c>
      <c r="AK73" s="561"/>
      <c r="AL73" s="565">
        <v>16</v>
      </c>
      <c r="AM73" s="711">
        <v>20</v>
      </c>
    </row>
    <row r="74" spans="1:39" x14ac:dyDescent="0.25">
      <c r="A74" s="557">
        <v>42736</v>
      </c>
      <c r="B74" s="558">
        <v>42813</v>
      </c>
      <c r="C74" s="559">
        <f t="shared" ref="C74:C79" si="13">C73</f>
        <v>4766.8999999999996</v>
      </c>
      <c r="D74" s="560">
        <f t="shared" si="7"/>
        <v>91.25</v>
      </c>
      <c r="E74" s="559">
        <f t="shared" si="3"/>
        <v>6201.35</v>
      </c>
      <c r="F74" s="560">
        <f t="shared" si="8"/>
        <v>116.8</v>
      </c>
      <c r="G74" s="559">
        <f t="shared" si="4"/>
        <v>1529.35</v>
      </c>
      <c r="H74" s="560">
        <f t="shared" si="9"/>
        <v>25.55</v>
      </c>
      <c r="I74" s="559"/>
      <c r="J74" s="560"/>
      <c r="K74" s="559">
        <f t="shared" si="5"/>
        <v>1529.35</v>
      </c>
      <c r="L74" s="560">
        <f t="shared" si="10"/>
        <v>36.5</v>
      </c>
      <c r="M74" s="559"/>
      <c r="N74" s="560"/>
      <c r="O74" s="561">
        <f t="shared" si="11"/>
        <v>726.35</v>
      </c>
      <c r="P74" s="561">
        <v>80000</v>
      </c>
      <c r="Q74" s="561">
        <f t="shared" si="11"/>
        <v>0</v>
      </c>
      <c r="R74" s="768"/>
      <c r="S74" s="559">
        <f t="shared" ref="S74:U75" si="14">S73</f>
        <v>1595.23</v>
      </c>
      <c r="T74" s="562">
        <f t="shared" si="14"/>
        <v>532.35</v>
      </c>
      <c r="U74" s="562">
        <f t="shared" si="14"/>
        <v>532</v>
      </c>
      <c r="V74" s="694">
        <v>13</v>
      </c>
      <c r="W74" s="562">
        <f t="shared" si="1"/>
        <v>2127.23</v>
      </c>
      <c r="X74" s="562">
        <f t="shared" ref="X74:X91" si="15">$T74+$U74</f>
        <v>1064.3499999999999</v>
      </c>
      <c r="Y74" s="562">
        <f t="shared" si="2"/>
        <v>60000</v>
      </c>
      <c r="Z74" s="559">
        <f t="shared" si="12"/>
        <v>3985.8</v>
      </c>
      <c r="AA74" s="560">
        <f t="shared" si="12"/>
        <v>5307.1</v>
      </c>
      <c r="AB74" s="559">
        <f t="shared" si="12"/>
        <v>94316</v>
      </c>
      <c r="AC74" s="562">
        <f>AC73</f>
        <v>0</v>
      </c>
      <c r="AD74" s="563">
        <v>0.3</v>
      </c>
      <c r="AE74" s="559">
        <f t="shared" si="6"/>
        <v>51903</v>
      </c>
      <c r="AF74" s="1069">
        <v>0.2</v>
      </c>
      <c r="AG74" s="559">
        <f t="shared" ref="AG74:AI75" si="16">AG73</f>
        <v>1565.85</v>
      </c>
      <c r="AH74" s="562">
        <f t="shared" si="16"/>
        <v>3131.7</v>
      </c>
      <c r="AI74" s="560">
        <f t="shared" si="16"/>
        <v>521.95000000000005</v>
      </c>
      <c r="AJ74" s="564">
        <v>0.5</v>
      </c>
      <c r="AK74" s="561"/>
      <c r="AL74" s="565">
        <v>16</v>
      </c>
      <c r="AM74" s="711">
        <v>20</v>
      </c>
    </row>
    <row r="75" spans="1:39" s="566" customFormat="1" ht="15.75" thickBot="1" x14ac:dyDescent="0.3">
      <c r="A75" s="567">
        <v>42814</v>
      </c>
      <c r="B75" s="568">
        <v>42916</v>
      </c>
      <c r="C75" s="569">
        <f t="shared" si="13"/>
        <v>4766.8999999999996</v>
      </c>
      <c r="D75" s="1092">
        <f t="shared" si="7"/>
        <v>91.25</v>
      </c>
      <c r="E75" s="569">
        <f t="shared" si="3"/>
        <v>6201.35</v>
      </c>
      <c r="F75" s="1092">
        <f t="shared" si="8"/>
        <v>116.8</v>
      </c>
      <c r="G75" s="569">
        <f t="shared" si="4"/>
        <v>1529.35</v>
      </c>
      <c r="H75" s="1092">
        <f t="shared" si="9"/>
        <v>25.55</v>
      </c>
      <c r="I75" s="569"/>
      <c r="J75" s="570"/>
      <c r="K75" s="569">
        <f t="shared" si="5"/>
        <v>1529.35</v>
      </c>
      <c r="L75" s="1093">
        <f t="shared" si="10"/>
        <v>36.5</v>
      </c>
      <c r="M75" s="569"/>
      <c r="N75" s="570"/>
      <c r="O75" s="571">
        <f t="shared" si="11"/>
        <v>726.35</v>
      </c>
      <c r="P75" s="571">
        <v>80000</v>
      </c>
      <c r="Q75" s="571">
        <f t="shared" si="11"/>
        <v>0</v>
      </c>
      <c r="R75" s="769"/>
      <c r="S75" s="569">
        <f t="shared" si="14"/>
        <v>1595.23</v>
      </c>
      <c r="T75" s="572">
        <f t="shared" si="14"/>
        <v>532.35</v>
      </c>
      <c r="U75" s="572">
        <f t="shared" si="14"/>
        <v>532</v>
      </c>
      <c r="V75" s="693">
        <v>13</v>
      </c>
      <c r="W75" s="572">
        <f t="shared" si="1"/>
        <v>2127.23</v>
      </c>
      <c r="X75" s="572">
        <f t="shared" si="15"/>
        <v>1064.3499999999999</v>
      </c>
      <c r="Y75" s="570">
        <f t="shared" si="2"/>
        <v>60000</v>
      </c>
      <c r="Z75" s="569">
        <f t="shared" si="12"/>
        <v>3985.8</v>
      </c>
      <c r="AA75" s="570">
        <f t="shared" si="12"/>
        <v>5307.1</v>
      </c>
      <c r="AB75" s="569">
        <f t="shared" si="12"/>
        <v>94316</v>
      </c>
      <c r="AC75" s="572">
        <f>AC74</f>
        <v>0</v>
      </c>
      <c r="AD75" s="573">
        <v>0.3</v>
      </c>
      <c r="AE75" s="569">
        <f t="shared" si="6"/>
        <v>51903</v>
      </c>
      <c r="AF75" s="1070">
        <v>0.2</v>
      </c>
      <c r="AG75" s="569">
        <f t="shared" si="16"/>
        <v>1565.85</v>
      </c>
      <c r="AH75" s="572">
        <f t="shared" si="16"/>
        <v>3131.7</v>
      </c>
      <c r="AI75" s="570">
        <f t="shared" si="16"/>
        <v>521.95000000000005</v>
      </c>
      <c r="AJ75" s="574">
        <v>0.5</v>
      </c>
      <c r="AK75" s="571"/>
      <c r="AL75" s="575">
        <v>16</v>
      </c>
      <c r="AM75" s="802">
        <v>20</v>
      </c>
    </row>
    <row r="76" spans="1:39" x14ac:dyDescent="0.25">
      <c r="A76" s="647">
        <v>42917</v>
      </c>
      <c r="B76" s="648">
        <v>42997</v>
      </c>
      <c r="C76" s="643">
        <f>C75</f>
        <v>4766.8999999999996</v>
      </c>
      <c r="D76" s="1098">
        <f t="shared" si="7"/>
        <v>91.25</v>
      </c>
      <c r="E76" s="643">
        <f>E75</f>
        <v>6201.35</v>
      </c>
      <c r="F76" s="1098">
        <f t="shared" si="8"/>
        <v>116.8</v>
      </c>
      <c r="G76" s="643">
        <f>G75</f>
        <v>1529.35</v>
      </c>
      <c r="H76" s="1098">
        <f t="shared" si="9"/>
        <v>25.55</v>
      </c>
      <c r="I76" s="643"/>
      <c r="J76" s="645"/>
      <c r="K76" s="643">
        <f t="shared" ref="K76:K83" si="17">K75</f>
        <v>1529.35</v>
      </c>
      <c r="L76" s="1098">
        <f t="shared" si="10"/>
        <v>36.5</v>
      </c>
      <c r="M76" s="643"/>
      <c r="N76" s="645"/>
      <c r="O76" s="597">
        <f>IndexAmt(O75,"peCpiFp",$B73,3.65,12)</f>
        <v>737.3</v>
      </c>
      <c r="P76" s="597">
        <v>80000</v>
      </c>
      <c r="Q76" s="597">
        <f>IndexAmt(Q75,"peCpiFp",$B73,3.65,12)</f>
        <v>0</v>
      </c>
      <c r="R76" s="770"/>
      <c r="S76" s="643">
        <f>IndexAmt(S75,"peCpiFp",$B73,0.91,12)</f>
        <v>1618.89</v>
      </c>
      <c r="T76" s="644">
        <f>IndexAmt(T75,"peCpiFp",$B73,0.91,12)</f>
        <v>540.54</v>
      </c>
      <c r="U76" s="644">
        <f>IndexAmt(U75,"peCpiFp",$B73,1,12)</f>
        <v>540</v>
      </c>
      <c r="V76" s="917">
        <v>13</v>
      </c>
      <c r="W76" s="644">
        <f t="shared" si="1"/>
        <v>2158.8900000000003</v>
      </c>
      <c r="X76" s="644">
        <f t="shared" si="15"/>
        <v>1080.54</v>
      </c>
      <c r="Y76" s="562">
        <f>IndexAmt(Y75,"peCpiFp",$B73,1,12)</f>
        <v>60900</v>
      </c>
      <c r="Z76" s="643">
        <f>IndexAmt(Z75,"peCpiFp",$B73,3.65,12)</f>
        <v>4044.2</v>
      </c>
      <c r="AA76" s="645">
        <f>IndexAmt(AA75,"peCpiFp",$B73,3.65,12)</f>
        <v>5387.4</v>
      </c>
      <c r="AB76" s="643">
        <f>AB75</f>
        <v>94316</v>
      </c>
      <c r="AC76" s="644">
        <f>IndexAmt(AC75,"peCpiFp",$B73,73,12)</f>
        <v>0</v>
      </c>
      <c r="AD76" s="646">
        <v>0.3</v>
      </c>
      <c r="AE76" s="643">
        <f>IndexAmt(AE75,"peCpiFp",$B73,73,12)</f>
        <v>52706</v>
      </c>
      <c r="AF76" s="1071">
        <f>AF75</f>
        <v>0.2</v>
      </c>
      <c r="AG76" s="643">
        <f>IndexAmt(AG75,"peCpiFp",$B73,10.95,12)</f>
        <v>1587.75</v>
      </c>
      <c r="AH76" s="644">
        <f>IndexAmt(AH75,"peCpiFp",$B73,21.9,12)</f>
        <v>3175.5</v>
      </c>
      <c r="AI76" s="645">
        <f>IndexAmt(AI75,"peCpiFp",$B73,3.65,12)</f>
        <v>529.25</v>
      </c>
      <c r="AJ76" s="642">
        <v>0.5</v>
      </c>
      <c r="AK76" s="597"/>
      <c r="AL76" s="654">
        <v>16</v>
      </c>
      <c r="AM76" s="803">
        <v>20</v>
      </c>
    </row>
    <row r="77" spans="1:39" x14ac:dyDescent="0.25">
      <c r="A77" s="445">
        <v>42998</v>
      </c>
      <c r="B77" s="446">
        <v>43100</v>
      </c>
      <c r="C77" s="447">
        <f t="shared" si="13"/>
        <v>4766.8999999999996</v>
      </c>
      <c r="D77" s="1065">
        <f t="shared" si="7"/>
        <v>91.25</v>
      </c>
      <c r="E77" s="447">
        <f t="shared" si="3"/>
        <v>6201.35</v>
      </c>
      <c r="F77" s="1065">
        <f t="shared" si="8"/>
        <v>116.8</v>
      </c>
      <c r="G77" s="447">
        <f t="shared" ref="G77:G83" si="18">G76</f>
        <v>1529.35</v>
      </c>
      <c r="H77" s="1065">
        <f t="shared" si="9"/>
        <v>25.55</v>
      </c>
      <c r="I77" s="447"/>
      <c r="J77" s="448"/>
      <c r="K77" s="447">
        <f t="shared" si="17"/>
        <v>1529.35</v>
      </c>
      <c r="L77" s="1065">
        <f t="shared" si="10"/>
        <v>36.5</v>
      </c>
      <c r="M77" s="447"/>
      <c r="N77" s="448"/>
      <c r="O77" s="449">
        <f t="shared" ref="O77:O91" si="19">O76</f>
        <v>737.3</v>
      </c>
      <c r="P77" s="449">
        <v>80000</v>
      </c>
      <c r="Q77" s="449">
        <f>Q76</f>
        <v>0</v>
      </c>
      <c r="R77" s="772"/>
      <c r="S77" s="447">
        <f>S76</f>
        <v>1618.89</v>
      </c>
      <c r="T77" s="450">
        <f t="shared" ref="T77:U79" si="20">T76</f>
        <v>540.54</v>
      </c>
      <c r="U77" s="450">
        <f t="shared" si="20"/>
        <v>540</v>
      </c>
      <c r="V77" s="651">
        <v>13</v>
      </c>
      <c r="W77" s="450">
        <f t="shared" si="1"/>
        <v>2158.8900000000003</v>
      </c>
      <c r="X77" s="450">
        <f t="shared" si="15"/>
        <v>1080.54</v>
      </c>
      <c r="Y77" s="450">
        <f t="shared" si="2"/>
        <v>60900</v>
      </c>
      <c r="Z77" s="447">
        <f t="shared" ref="Z77:AC79" si="21">Z76</f>
        <v>4044.2</v>
      </c>
      <c r="AA77" s="448">
        <f t="shared" si="21"/>
        <v>5387.4</v>
      </c>
      <c r="AB77" s="447">
        <f>AB76</f>
        <v>94316</v>
      </c>
      <c r="AC77" s="450">
        <f t="shared" si="21"/>
        <v>0</v>
      </c>
      <c r="AD77" s="451">
        <v>0.3</v>
      </c>
      <c r="AE77" s="447">
        <f t="shared" ref="AE77:AE83" si="22">AE76</f>
        <v>52706</v>
      </c>
      <c r="AF77" s="1074">
        <f>AF76</f>
        <v>0.2</v>
      </c>
      <c r="AG77" s="447">
        <f t="shared" ref="AG77:AI79" si="23">AG76</f>
        <v>1587.75</v>
      </c>
      <c r="AH77" s="450">
        <f t="shared" si="23"/>
        <v>3175.5</v>
      </c>
      <c r="AI77" s="448">
        <f>AI76</f>
        <v>529.25</v>
      </c>
      <c r="AJ77" s="452">
        <v>0.5</v>
      </c>
      <c r="AK77" s="449"/>
      <c r="AL77" s="453">
        <v>16</v>
      </c>
      <c r="AM77" s="712">
        <v>20</v>
      </c>
    </row>
    <row r="78" spans="1:39" x14ac:dyDescent="0.25">
      <c r="A78" s="445">
        <v>43101</v>
      </c>
      <c r="B78" s="446">
        <v>43178</v>
      </c>
      <c r="C78" s="447">
        <f t="shared" si="13"/>
        <v>4766.8999999999996</v>
      </c>
      <c r="D78" s="1065">
        <f t="shared" si="7"/>
        <v>91.25</v>
      </c>
      <c r="E78" s="447">
        <f t="shared" si="3"/>
        <v>6201.35</v>
      </c>
      <c r="F78" s="1065">
        <f t="shared" si="8"/>
        <v>116.8</v>
      </c>
      <c r="G78" s="447">
        <f t="shared" si="18"/>
        <v>1529.35</v>
      </c>
      <c r="H78" s="1065">
        <f t="shared" si="9"/>
        <v>25.55</v>
      </c>
      <c r="I78" s="447"/>
      <c r="J78" s="448"/>
      <c r="K78" s="447">
        <f t="shared" si="17"/>
        <v>1529.35</v>
      </c>
      <c r="L78" s="1065">
        <f t="shared" si="10"/>
        <v>36.5</v>
      </c>
      <c r="M78" s="447"/>
      <c r="N78" s="448"/>
      <c r="O78" s="449">
        <f t="shared" si="19"/>
        <v>737.3</v>
      </c>
      <c r="P78" s="449">
        <v>80000</v>
      </c>
      <c r="Q78" s="449">
        <f>Q77</f>
        <v>0</v>
      </c>
      <c r="R78" s="772"/>
      <c r="S78" s="447">
        <f>S77</f>
        <v>1618.89</v>
      </c>
      <c r="T78" s="450">
        <f t="shared" si="20"/>
        <v>540.54</v>
      </c>
      <c r="U78" s="450">
        <f t="shared" si="20"/>
        <v>540</v>
      </c>
      <c r="V78" s="651">
        <v>13</v>
      </c>
      <c r="W78" s="450">
        <f t="shared" si="1"/>
        <v>2158.8900000000003</v>
      </c>
      <c r="X78" s="450">
        <f t="shared" si="15"/>
        <v>1080.54</v>
      </c>
      <c r="Y78" s="450">
        <f t="shared" si="2"/>
        <v>60900</v>
      </c>
      <c r="Z78" s="447">
        <f t="shared" si="21"/>
        <v>4044.2</v>
      </c>
      <c r="AA78" s="448">
        <f t="shared" si="21"/>
        <v>5387.4</v>
      </c>
      <c r="AB78" s="447">
        <f>AB77</f>
        <v>94316</v>
      </c>
      <c r="AC78" s="450">
        <f t="shared" si="21"/>
        <v>0</v>
      </c>
      <c r="AD78" s="451">
        <v>0.3</v>
      </c>
      <c r="AE78" s="447">
        <f t="shared" si="22"/>
        <v>52706</v>
      </c>
      <c r="AF78" s="1074">
        <f>AF77</f>
        <v>0.2</v>
      </c>
      <c r="AG78" s="447">
        <f t="shared" si="23"/>
        <v>1587.75</v>
      </c>
      <c r="AH78" s="450">
        <f t="shared" si="23"/>
        <v>3175.5</v>
      </c>
      <c r="AI78" s="448">
        <f t="shared" si="23"/>
        <v>529.25</v>
      </c>
      <c r="AJ78" s="452">
        <v>0.5</v>
      </c>
      <c r="AK78" s="449"/>
      <c r="AL78" s="453">
        <v>16</v>
      </c>
      <c r="AM78" s="712">
        <v>20</v>
      </c>
    </row>
    <row r="79" spans="1:39" ht="15.75" thickBot="1" x14ac:dyDescent="0.3">
      <c r="A79" s="454">
        <v>43179</v>
      </c>
      <c r="B79" s="455">
        <v>43281</v>
      </c>
      <c r="C79" s="456">
        <f t="shared" si="13"/>
        <v>4766.8999999999996</v>
      </c>
      <c r="D79" s="1063">
        <f t="shared" si="7"/>
        <v>91.25</v>
      </c>
      <c r="E79" s="456">
        <f t="shared" si="3"/>
        <v>6201.35</v>
      </c>
      <c r="F79" s="1063">
        <f t="shared" si="8"/>
        <v>116.8</v>
      </c>
      <c r="G79" s="447">
        <f t="shared" si="18"/>
        <v>1529.35</v>
      </c>
      <c r="H79" s="1063">
        <f t="shared" si="9"/>
        <v>25.55</v>
      </c>
      <c r="I79" s="456"/>
      <c r="J79" s="457"/>
      <c r="K79" s="456">
        <f t="shared" si="17"/>
        <v>1529.35</v>
      </c>
      <c r="L79" s="1065">
        <f t="shared" si="10"/>
        <v>36.5</v>
      </c>
      <c r="M79" s="456"/>
      <c r="N79" s="457"/>
      <c r="O79" s="458">
        <f t="shared" si="19"/>
        <v>737.3</v>
      </c>
      <c r="P79" s="458">
        <v>80000</v>
      </c>
      <c r="Q79" s="458">
        <f>Q78</f>
        <v>0</v>
      </c>
      <c r="R79" s="773"/>
      <c r="S79" s="456">
        <f>S78</f>
        <v>1618.89</v>
      </c>
      <c r="T79" s="459">
        <f t="shared" si="20"/>
        <v>540.54</v>
      </c>
      <c r="U79" s="459">
        <f t="shared" si="20"/>
        <v>540</v>
      </c>
      <c r="V79" s="652">
        <v>13</v>
      </c>
      <c r="W79" s="459">
        <f t="shared" si="1"/>
        <v>2158.8900000000003</v>
      </c>
      <c r="X79" s="459">
        <f t="shared" si="15"/>
        <v>1080.54</v>
      </c>
      <c r="Y79" s="457">
        <f t="shared" si="2"/>
        <v>60900</v>
      </c>
      <c r="Z79" s="456">
        <f t="shared" si="21"/>
        <v>4044.2</v>
      </c>
      <c r="AA79" s="457">
        <f t="shared" si="21"/>
        <v>5387.4</v>
      </c>
      <c r="AB79" s="456">
        <f>AB78</f>
        <v>94316</v>
      </c>
      <c r="AC79" s="459">
        <f t="shared" si="21"/>
        <v>0</v>
      </c>
      <c r="AD79" s="460">
        <v>0.3</v>
      </c>
      <c r="AE79" s="456">
        <f t="shared" si="22"/>
        <v>52706</v>
      </c>
      <c r="AF79" s="1072">
        <f>AF78</f>
        <v>0.2</v>
      </c>
      <c r="AG79" s="456">
        <f t="shared" si="23"/>
        <v>1587.75</v>
      </c>
      <c r="AH79" s="459">
        <f t="shared" si="23"/>
        <v>3175.5</v>
      </c>
      <c r="AI79" s="457">
        <f t="shared" si="23"/>
        <v>529.25</v>
      </c>
      <c r="AJ79" s="461">
        <v>0.5</v>
      </c>
      <c r="AK79" s="458"/>
      <c r="AL79" s="462">
        <v>16</v>
      </c>
      <c r="AM79" s="805">
        <v>20</v>
      </c>
    </row>
    <row r="80" spans="1:39" x14ac:dyDescent="0.25">
      <c r="A80" s="463">
        <v>43282</v>
      </c>
      <c r="B80" s="464">
        <v>43362</v>
      </c>
      <c r="C80" s="465">
        <f>C79</f>
        <v>4766.8999999999996</v>
      </c>
      <c r="D80" s="1064">
        <f>D79</f>
        <v>91.25</v>
      </c>
      <c r="E80" s="465">
        <f>E79</f>
        <v>6201.35</v>
      </c>
      <c r="F80" s="1064">
        <f t="shared" si="8"/>
        <v>116.8</v>
      </c>
      <c r="G80" s="465">
        <f t="shared" si="18"/>
        <v>1529.35</v>
      </c>
      <c r="H80" s="1064">
        <f t="shared" si="9"/>
        <v>25.55</v>
      </c>
      <c r="I80" s="465"/>
      <c r="J80" s="466"/>
      <c r="K80" s="465">
        <f t="shared" si="17"/>
        <v>1529.35</v>
      </c>
      <c r="L80" s="1064">
        <f t="shared" si="10"/>
        <v>36.5</v>
      </c>
      <c r="M80" s="465"/>
      <c r="N80" s="466"/>
      <c r="O80" s="467">
        <f>IndexAmt(O79,"peCpiFp",$B77,3.65,12)</f>
        <v>748.25</v>
      </c>
      <c r="P80" s="467">
        <v>80000</v>
      </c>
      <c r="Q80" s="467">
        <f>IndexAmt(Q79,"peCpiFp",$B77,3.65,12)</f>
        <v>0</v>
      </c>
      <c r="R80" s="771"/>
      <c r="S80" s="465">
        <f>IndexAmt(S79,"peCpiFp",$B77,0.91,12)</f>
        <v>1644.3700000000001</v>
      </c>
      <c r="T80" s="468">
        <f>IndexAmt(T79,"peCpiFp",$B77,0.91,12)</f>
        <v>549.64</v>
      </c>
      <c r="U80" s="468">
        <f>IndexAmt(U79,"peCpiFp",$B77,1,12)</f>
        <v>549</v>
      </c>
      <c r="V80" s="653">
        <v>13</v>
      </c>
      <c r="W80" s="468">
        <f t="shared" si="1"/>
        <v>2193.37</v>
      </c>
      <c r="X80" s="468">
        <f t="shared" si="15"/>
        <v>1098.6399999999999</v>
      </c>
      <c r="Y80" s="450">
        <f>IndexAmt(Y79,"peCpiFp",$B77,1,12)</f>
        <v>61874</v>
      </c>
      <c r="Z80" s="465">
        <f>IndexAmt(Z79,"peCpiFp",$B77,3.65,12)</f>
        <v>4109.8999999999996</v>
      </c>
      <c r="AA80" s="466">
        <f>IndexAmt(AA79,"peCpiFp",$B77,3.65,12)</f>
        <v>5475</v>
      </c>
      <c r="AB80" s="465">
        <f>AB79</f>
        <v>94316</v>
      </c>
      <c r="AC80" s="468">
        <f>IndexAmt(AC79,"peCpiFp",$B77,73,12)</f>
        <v>0</v>
      </c>
      <c r="AD80" s="1099">
        <v>0.3</v>
      </c>
      <c r="AE80" s="465">
        <f>IndexAmt(AE79,"peCpiFp",$B77,73,12)</f>
        <v>53582</v>
      </c>
      <c r="AF80" s="1073">
        <f t="shared" ref="AF80:AF91" si="24">AF79</f>
        <v>0.2</v>
      </c>
      <c r="AG80" s="465">
        <f>IndexAmt(AG79,"peCpiFp",$B77,10.95,12)</f>
        <v>1609.6499999999999</v>
      </c>
      <c r="AH80" s="468">
        <f>IndexAmt(AH79,"peCpiFp",$B77,21.9,12)</f>
        <v>3219.2999999999997</v>
      </c>
      <c r="AI80" s="466">
        <f>IndexAmt(AI79,"peCpiFp",$B77,3.65,12)</f>
        <v>536.54999999999995</v>
      </c>
      <c r="AJ80" s="470">
        <v>0.5</v>
      </c>
      <c r="AK80" s="467"/>
      <c r="AL80" s="471">
        <v>16</v>
      </c>
      <c r="AM80" s="804">
        <v>20</v>
      </c>
    </row>
    <row r="81" spans="1:39" x14ac:dyDescent="0.25">
      <c r="A81" s="445">
        <v>43363</v>
      </c>
      <c r="B81" s="446">
        <v>43465</v>
      </c>
      <c r="C81" s="447">
        <f>C80</f>
        <v>4766.8999999999996</v>
      </c>
      <c r="D81" s="1065">
        <f t="shared" si="7"/>
        <v>91.25</v>
      </c>
      <c r="E81" s="447">
        <f>E80</f>
        <v>6201.35</v>
      </c>
      <c r="F81" s="1065">
        <f t="shared" si="8"/>
        <v>116.8</v>
      </c>
      <c r="G81" s="447">
        <f t="shared" si="18"/>
        <v>1529.35</v>
      </c>
      <c r="H81" s="1065">
        <f t="shared" si="9"/>
        <v>25.55</v>
      </c>
      <c r="I81" s="447"/>
      <c r="J81" s="448"/>
      <c r="K81" s="447">
        <f t="shared" si="17"/>
        <v>1529.35</v>
      </c>
      <c r="L81" s="1065">
        <f t="shared" si="10"/>
        <v>36.5</v>
      </c>
      <c r="M81" s="447"/>
      <c r="N81" s="448"/>
      <c r="O81" s="449">
        <f t="shared" si="19"/>
        <v>748.25</v>
      </c>
      <c r="P81" s="449">
        <v>80000</v>
      </c>
      <c r="Q81" s="449">
        <f>Q80</f>
        <v>0</v>
      </c>
      <c r="R81" s="772"/>
      <c r="S81" s="447">
        <f>S80</f>
        <v>1644.3700000000001</v>
      </c>
      <c r="T81" s="450">
        <f t="shared" ref="T81:U83" si="25">T80</f>
        <v>549.64</v>
      </c>
      <c r="U81" s="450">
        <f t="shared" si="25"/>
        <v>549</v>
      </c>
      <c r="V81" s="651">
        <v>13</v>
      </c>
      <c r="W81" s="450">
        <f t="shared" si="1"/>
        <v>2193.37</v>
      </c>
      <c r="X81" s="450">
        <f t="shared" si="15"/>
        <v>1098.6399999999999</v>
      </c>
      <c r="Y81" s="450">
        <f t="shared" si="2"/>
        <v>61874</v>
      </c>
      <c r="Z81" s="447">
        <f t="shared" ref="Z81:AC83" si="26">Z80</f>
        <v>4109.8999999999996</v>
      </c>
      <c r="AA81" s="448">
        <f t="shared" si="26"/>
        <v>5475</v>
      </c>
      <c r="AB81" s="447">
        <f t="shared" si="26"/>
        <v>94316</v>
      </c>
      <c r="AC81" s="450">
        <f t="shared" si="26"/>
        <v>0</v>
      </c>
      <c r="AD81" s="451">
        <v>0.3</v>
      </c>
      <c r="AE81" s="447">
        <f t="shared" si="22"/>
        <v>53582</v>
      </c>
      <c r="AF81" s="1074">
        <f t="shared" si="24"/>
        <v>0.2</v>
      </c>
      <c r="AG81" s="447">
        <f t="shared" ref="AG81:AI83" si="27">AG80</f>
        <v>1609.6499999999999</v>
      </c>
      <c r="AH81" s="450">
        <f t="shared" si="27"/>
        <v>3219.2999999999997</v>
      </c>
      <c r="AI81" s="448">
        <f t="shared" si="27"/>
        <v>536.54999999999995</v>
      </c>
      <c r="AJ81" s="452">
        <v>0.5</v>
      </c>
      <c r="AK81" s="449"/>
      <c r="AL81" s="453">
        <v>16</v>
      </c>
      <c r="AM81" s="712">
        <v>20</v>
      </c>
    </row>
    <row r="82" spans="1:39" x14ac:dyDescent="0.25">
      <c r="A82" s="445">
        <v>43466</v>
      </c>
      <c r="B82" s="446">
        <v>43543</v>
      </c>
      <c r="C82" s="447">
        <f>C81</f>
        <v>4766.8999999999996</v>
      </c>
      <c r="D82" s="1065">
        <f t="shared" si="7"/>
        <v>91.25</v>
      </c>
      <c r="E82" s="447">
        <f>E81</f>
        <v>6201.35</v>
      </c>
      <c r="F82" s="1065">
        <f t="shared" si="8"/>
        <v>116.8</v>
      </c>
      <c r="G82" s="447">
        <f t="shared" si="18"/>
        <v>1529.35</v>
      </c>
      <c r="H82" s="1065">
        <f t="shared" si="9"/>
        <v>25.55</v>
      </c>
      <c r="I82" s="447"/>
      <c r="J82" s="448"/>
      <c r="K82" s="447">
        <f t="shared" si="17"/>
        <v>1529.35</v>
      </c>
      <c r="L82" s="1065">
        <f t="shared" si="10"/>
        <v>36.5</v>
      </c>
      <c r="M82" s="447"/>
      <c r="N82" s="448"/>
      <c r="O82" s="449">
        <f t="shared" si="19"/>
        <v>748.25</v>
      </c>
      <c r="P82" s="449">
        <v>80000</v>
      </c>
      <c r="Q82" s="449">
        <f>Q81</f>
        <v>0</v>
      </c>
      <c r="R82" s="772"/>
      <c r="S82" s="447">
        <f>S81</f>
        <v>1644.3700000000001</v>
      </c>
      <c r="T82" s="450">
        <f t="shared" si="25"/>
        <v>549.64</v>
      </c>
      <c r="U82" s="450">
        <f t="shared" si="25"/>
        <v>549</v>
      </c>
      <c r="V82" s="651">
        <v>13</v>
      </c>
      <c r="W82" s="450">
        <f t="shared" si="1"/>
        <v>2193.37</v>
      </c>
      <c r="X82" s="450">
        <f t="shared" si="15"/>
        <v>1098.6399999999999</v>
      </c>
      <c r="Y82" s="450">
        <f t="shared" si="2"/>
        <v>61874</v>
      </c>
      <c r="Z82" s="447">
        <f t="shared" si="26"/>
        <v>4109.8999999999996</v>
      </c>
      <c r="AA82" s="448">
        <f t="shared" si="26"/>
        <v>5475</v>
      </c>
      <c r="AB82" s="447">
        <f t="shared" si="26"/>
        <v>94316</v>
      </c>
      <c r="AC82" s="450">
        <f t="shared" si="26"/>
        <v>0</v>
      </c>
      <c r="AD82" s="451">
        <v>0.3</v>
      </c>
      <c r="AE82" s="447">
        <f t="shared" si="22"/>
        <v>53582</v>
      </c>
      <c r="AF82" s="1074">
        <f t="shared" si="24"/>
        <v>0.2</v>
      </c>
      <c r="AG82" s="447">
        <f t="shared" si="27"/>
        <v>1609.6499999999999</v>
      </c>
      <c r="AH82" s="450">
        <f t="shared" si="27"/>
        <v>3219.2999999999997</v>
      </c>
      <c r="AI82" s="448">
        <f t="shared" si="27"/>
        <v>536.54999999999995</v>
      </c>
      <c r="AJ82" s="452">
        <v>0.5</v>
      </c>
      <c r="AK82" s="449"/>
      <c r="AL82" s="453">
        <v>16</v>
      </c>
      <c r="AM82" s="712">
        <v>20</v>
      </c>
    </row>
    <row r="83" spans="1:39" ht="15.75" thickBot="1" x14ac:dyDescent="0.3">
      <c r="A83" s="454">
        <v>43544</v>
      </c>
      <c r="B83" s="455">
        <v>43646</v>
      </c>
      <c r="C83" s="456">
        <f>C82</f>
        <v>4766.8999999999996</v>
      </c>
      <c r="D83" s="1063">
        <f t="shared" si="7"/>
        <v>91.25</v>
      </c>
      <c r="E83" s="456">
        <f>E82</f>
        <v>6201.35</v>
      </c>
      <c r="F83" s="1063">
        <f t="shared" si="8"/>
        <v>116.8</v>
      </c>
      <c r="G83" s="456">
        <f t="shared" si="18"/>
        <v>1529.35</v>
      </c>
      <c r="H83" s="1063">
        <f t="shared" si="9"/>
        <v>25.55</v>
      </c>
      <c r="I83" s="456"/>
      <c r="J83" s="457"/>
      <c r="K83" s="456">
        <f t="shared" si="17"/>
        <v>1529.35</v>
      </c>
      <c r="L83" s="1065">
        <f t="shared" si="10"/>
        <v>36.5</v>
      </c>
      <c r="M83" s="456"/>
      <c r="N83" s="457"/>
      <c r="O83" s="458">
        <f t="shared" si="19"/>
        <v>748.25</v>
      </c>
      <c r="P83" s="458">
        <v>80000</v>
      </c>
      <c r="Q83" s="458">
        <f>Q82</f>
        <v>0</v>
      </c>
      <c r="R83" s="773"/>
      <c r="S83" s="456">
        <f>S82</f>
        <v>1644.3700000000001</v>
      </c>
      <c r="T83" s="459">
        <f t="shared" si="25"/>
        <v>549.64</v>
      </c>
      <c r="U83" s="459">
        <f t="shared" si="25"/>
        <v>549</v>
      </c>
      <c r="V83" s="652">
        <v>13</v>
      </c>
      <c r="W83" s="459">
        <f t="shared" si="1"/>
        <v>2193.37</v>
      </c>
      <c r="X83" s="459">
        <f t="shared" si="15"/>
        <v>1098.6399999999999</v>
      </c>
      <c r="Y83" s="459">
        <f t="shared" si="2"/>
        <v>61874</v>
      </c>
      <c r="Z83" s="456">
        <f t="shared" si="26"/>
        <v>4109.8999999999996</v>
      </c>
      <c r="AA83" s="457">
        <f t="shared" si="26"/>
        <v>5475</v>
      </c>
      <c r="AB83" s="456">
        <f t="shared" si="26"/>
        <v>94316</v>
      </c>
      <c r="AC83" s="459">
        <f t="shared" si="26"/>
        <v>0</v>
      </c>
      <c r="AD83" s="460">
        <v>0.3</v>
      </c>
      <c r="AE83" s="456">
        <f t="shared" si="22"/>
        <v>53582</v>
      </c>
      <c r="AF83" s="1072">
        <f t="shared" si="24"/>
        <v>0.2</v>
      </c>
      <c r="AG83" s="456">
        <f t="shared" si="27"/>
        <v>1609.6499999999999</v>
      </c>
      <c r="AH83" s="459">
        <f t="shared" si="27"/>
        <v>3219.2999999999997</v>
      </c>
      <c r="AI83" s="457">
        <f t="shared" si="27"/>
        <v>536.54999999999995</v>
      </c>
      <c r="AJ83" s="461">
        <v>0.5</v>
      </c>
      <c r="AK83" s="458"/>
      <c r="AL83" s="462">
        <v>16</v>
      </c>
      <c r="AM83" s="805">
        <v>20</v>
      </c>
    </row>
    <row r="84" spans="1:39" x14ac:dyDescent="0.25">
      <c r="A84" s="463">
        <v>43647</v>
      </c>
      <c r="B84" s="464">
        <v>43727</v>
      </c>
      <c r="C84" s="465">
        <f>IndexAmt(C83,"peCpiFp",$B81,3.65,12)</f>
        <v>4865.45</v>
      </c>
      <c r="D84" s="1064">
        <f t="shared" si="7"/>
        <v>91.25</v>
      </c>
      <c r="E84" s="465">
        <f>IndexAmt(E83,"peCpiFp",$B81,3.65,12)</f>
        <v>6332.75</v>
      </c>
      <c r="F84" s="1064">
        <f t="shared" si="8"/>
        <v>116.8</v>
      </c>
      <c r="G84" s="465">
        <f>IndexAmt(G83,"peCpiFp",$B81,3.65,12)</f>
        <v>1562.2</v>
      </c>
      <c r="H84" s="1064">
        <f t="shared" si="9"/>
        <v>25.55</v>
      </c>
      <c r="I84" s="465"/>
      <c r="J84" s="466"/>
      <c r="K84" s="465">
        <f>IndexAmt(K83,"peCpiFp",$B81,3.65,12)</f>
        <v>1562.2</v>
      </c>
      <c r="L84" s="1064">
        <f t="shared" si="10"/>
        <v>36.5</v>
      </c>
      <c r="M84" s="465"/>
      <c r="N84" s="466"/>
      <c r="O84" s="467">
        <f>IndexAmt(O83,"peCpiFp",$B81,3.65,12)</f>
        <v>762.85</v>
      </c>
      <c r="P84" s="467">
        <v>80000</v>
      </c>
      <c r="Q84" s="467">
        <f>IndexAmt(Q83,"peCpiFp",$B81,3.65,12)</f>
        <v>0</v>
      </c>
      <c r="R84" s="771"/>
      <c r="S84" s="465">
        <f>IndexAmt(S83,"peCpiFp",$B81,0.91,12)</f>
        <v>1678.95</v>
      </c>
      <c r="T84" s="468">
        <f>IndexAmt(T83,"peCpiFp",$B81,0.91,12)</f>
        <v>561.47</v>
      </c>
      <c r="U84" s="468">
        <f>IndexAmt(U83,"peCpiFp",$B81,1,12)</f>
        <v>561</v>
      </c>
      <c r="V84" s="653">
        <v>13</v>
      </c>
      <c r="W84" s="468">
        <f t="shared" si="1"/>
        <v>2239.9499999999998</v>
      </c>
      <c r="X84" s="468">
        <f t="shared" si="15"/>
        <v>1122.47</v>
      </c>
      <c r="Y84" s="468">
        <f>IndexAmt(Y83,"peCpiFp",$B81,1,12)</f>
        <v>63173</v>
      </c>
      <c r="Z84" s="465">
        <f>IndexAmt(Z83,"peCpiFp",$B81,3.65,12)</f>
        <v>4197.5</v>
      </c>
      <c r="AA84" s="466">
        <f>IndexAmt(AA83,"peCpiFp",$B81,3.65,12)</f>
        <v>5591.8</v>
      </c>
      <c r="AB84" s="465">
        <f>AB83</f>
        <v>94316</v>
      </c>
      <c r="AC84" s="468">
        <f>IndexAmt(AC83,"peCpiFp",$B81,73,12)</f>
        <v>0</v>
      </c>
      <c r="AD84" s="469">
        <v>0.3</v>
      </c>
      <c r="AE84" s="465">
        <f>IndexAmt(AE83,"peCpiFp",$B81,73,12)</f>
        <v>54677</v>
      </c>
      <c r="AF84" s="1073">
        <f t="shared" si="24"/>
        <v>0.2</v>
      </c>
      <c r="AG84" s="465">
        <f>IndexAmt(AG83,"peCpiFp",$B81,10.95,12)</f>
        <v>1642.5</v>
      </c>
      <c r="AH84" s="468">
        <f>IndexAmt(AH83,"peCpiFp",$B81,21.9,12)</f>
        <v>3285</v>
      </c>
      <c r="AI84" s="466">
        <f>IndexAmt(AI83,"peCpiFp",$B81,3.65,12)</f>
        <v>547.5</v>
      </c>
      <c r="AJ84" s="470">
        <v>0.5</v>
      </c>
      <c r="AK84" s="467"/>
      <c r="AL84" s="471">
        <v>16</v>
      </c>
      <c r="AM84" s="804">
        <v>20</v>
      </c>
    </row>
    <row r="85" spans="1:39" x14ac:dyDescent="0.25">
      <c r="A85" s="445">
        <v>43728</v>
      </c>
      <c r="B85" s="446">
        <v>43830</v>
      </c>
      <c r="C85" s="447">
        <f>C84</f>
        <v>4865.45</v>
      </c>
      <c r="D85" s="1065">
        <f t="shared" si="7"/>
        <v>91.25</v>
      </c>
      <c r="E85" s="447">
        <f>E84</f>
        <v>6332.75</v>
      </c>
      <c r="F85" s="1065">
        <f t="shared" si="8"/>
        <v>116.8</v>
      </c>
      <c r="G85" s="447">
        <f>G84</f>
        <v>1562.2</v>
      </c>
      <c r="H85" s="1065">
        <f t="shared" si="9"/>
        <v>25.55</v>
      </c>
      <c r="I85" s="447"/>
      <c r="J85" s="448"/>
      <c r="K85" s="447">
        <f>K84</f>
        <v>1562.2</v>
      </c>
      <c r="L85" s="1065">
        <f t="shared" si="10"/>
        <v>36.5</v>
      </c>
      <c r="M85" s="447"/>
      <c r="N85" s="448"/>
      <c r="O85" s="449">
        <f t="shared" si="19"/>
        <v>762.85</v>
      </c>
      <c r="P85" s="449">
        <v>80000</v>
      </c>
      <c r="Q85" s="449">
        <f>Q84</f>
        <v>0</v>
      </c>
      <c r="R85" s="772"/>
      <c r="S85" s="447">
        <f>S84</f>
        <v>1678.95</v>
      </c>
      <c r="T85" s="450">
        <f t="shared" ref="T85:U87" si="28">T84</f>
        <v>561.47</v>
      </c>
      <c r="U85" s="450">
        <f t="shared" si="28"/>
        <v>561</v>
      </c>
      <c r="V85" s="651">
        <v>13</v>
      </c>
      <c r="W85" s="450">
        <f t="shared" si="1"/>
        <v>2239.9499999999998</v>
      </c>
      <c r="X85" s="450">
        <f t="shared" si="15"/>
        <v>1122.47</v>
      </c>
      <c r="Y85" s="450">
        <f t="shared" si="2"/>
        <v>63173</v>
      </c>
      <c r="Z85" s="447">
        <f t="shared" ref="Z85:AC87" si="29">Z84</f>
        <v>4197.5</v>
      </c>
      <c r="AA85" s="448">
        <f t="shared" si="29"/>
        <v>5591.8</v>
      </c>
      <c r="AB85" s="447">
        <f t="shared" si="29"/>
        <v>94316</v>
      </c>
      <c r="AC85" s="450">
        <f t="shared" si="29"/>
        <v>0</v>
      </c>
      <c r="AD85" s="451">
        <v>0.3</v>
      </c>
      <c r="AE85" s="447">
        <f>AE84</f>
        <v>54677</v>
      </c>
      <c r="AF85" s="1074">
        <f t="shared" si="24"/>
        <v>0.2</v>
      </c>
      <c r="AG85" s="447">
        <f t="shared" ref="AG85:AI87" si="30">AG84</f>
        <v>1642.5</v>
      </c>
      <c r="AH85" s="450">
        <f t="shared" si="30"/>
        <v>3285</v>
      </c>
      <c r="AI85" s="448">
        <f t="shared" si="30"/>
        <v>547.5</v>
      </c>
      <c r="AJ85" s="452">
        <v>0.5</v>
      </c>
      <c r="AK85" s="449"/>
      <c r="AL85" s="453">
        <v>16</v>
      </c>
      <c r="AM85" s="712">
        <v>20</v>
      </c>
    </row>
    <row r="86" spans="1:39" x14ac:dyDescent="0.25">
      <c r="A86" s="445">
        <v>43831</v>
      </c>
      <c r="B86" s="446">
        <v>43909</v>
      </c>
      <c r="C86" s="447">
        <f>C85</f>
        <v>4865.45</v>
      </c>
      <c r="D86" s="1065">
        <f t="shared" si="7"/>
        <v>91.25</v>
      </c>
      <c r="E86" s="447">
        <f>E85</f>
        <v>6332.75</v>
      </c>
      <c r="F86" s="1065">
        <f t="shared" si="8"/>
        <v>116.8</v>
      </c>
      <c r="G86" s="447">
        <f>G85</f>
        <v>1562.2</v>
      </c>
      <c r="H86" s="1065">
        <f t="shared" si="9"/>
        <v>25.55</v>
      </c>
      <c r="I86" s="447"/>
      <c r="J86" s="448"/>
      <c r="K86" s="447">
        <f>K85</f>
        <v>1562.2</v>
      </c>
      <c r="L86" s="1065">
        <f t="shared" si="10"/>
        <v>36.5</v>
      </c>
      <c r="M86" s="447"/>
      <c r="N86" s="448"/>
      <c r="O86" s="449">
        <f t="shared" si="19"/>
        <v>762.85</v>
      </c>
      <c r="P86" s="449">
        <v>80000</v>
      </c>
      <c r="Q86" s="449">
        <f>Q85</f>
        <v>0</v>
      </c>
      <c r="R86" s="772"/>
      <c r="S86" s="447">
        <f>S85</f>
        <v>1678.95</v>
      </c>
      <c r="T86" s="450">
        <f t="shared" si="28"/>
        <v>561.47</v>
      </c>
      <c r="U86" s="450">
        <f t="shared" si="28"/>
        <v>561</v>
      </c>
      <c r="V86" s="651">
        <v>13</v>
      </c>
      <c r="W86" s="450">
        <f t="shared" si="1"/>
        <v>2239.9499999999998</v>
      </c>
      <c r="X86" s="450">
        <f t="shared" si="15"/>
        <v>1122.47</v>
      </c>
      <c r="Y86" s="450">
        <f t="shared" si="2"/>
        <v>63173</v>
      </c>
      <c r="Z86" s="447">
        <f t="shared" si="29"/>
        <v>4197.5</v>
      </c>
      <c r="AA86" s="448">
        <f t="shared" si="29"/>
        <v>5591.8</v>
      </c>
      <c r="AB86" s="447">
        <f t="shared" si="29"/>
        <v>94316</v>
      </c>
      <c r="AC86" s="450">
        <f t="shared" si="29"/>
        <v>0</v>
      </c>
      <c r="AD86" s="451">
        <v>0.3</v>
      </c>
      <c r="AE86" s="447">
        <f>AE85</f>
        <v>54677</v>
      </c>
      <c r="AF86" s="1074">
        <f t="shared" si="24"/>
        <v>0.2</v>
      </c>
      <c r="AG86" s="447">
        <f t="shared" si="30"/>
        <v>1642.5</v>
      </c>
      <c r="AH86" s="450">
        <f t="shared" si="30"/>
        <v>3285</v>
      </c>
      <c r="AI86" s="448">
        <f t="shared" si="30"/>
        <v>547.5</v>
      </c>
      <c r="AJ86" s="452">
        <v>0.5</v>
      </c>
      <c r="AK86" s="449"/>
      <c r="AL86" s="453">
        <v>16</v>
      </c>
      <c r="AM86" s="712">
        <v>20</v>
      </c>
    </row>
    <row r="87" spans="1:39" ht="15.75" thickBot="1" x14ac:dyDescent="0.3">
      <c r="A87" s="454">
        <v>43910</v>
      </c>
      <c r="B87" s="455">
        <v>44012</v>
      </c>
      <c r="C87" s="456">
        <f>C86</f>
        <v>4865.45</v>
      </c>
      <c r="D87" s="1063">
        <f t="shared" si="7"/>
        <v>91.25</v>
      </c>
      <c r="E87" s="456">
        <f>E86</f>
        <v>6332.75</v>
      </c>
      <c r="F87" s="1063">
        <f t="shared" si="8"/>
        <v>116.8</v>
      </c>
      <c r="G87" s="456">
        <f>G86</f>
        <v>1562.2</v>
      </c>
      <c r="H87" s="1063">
        <f t="shared" si="9"/>
        <v>25.55</v>
      </c>
      <c r="I87" s="456"/>
      <c r="J87" s="457"/>
      <c r="K87" s="456">
        <f>K86</f>
        <v>1562.2</v>
      </c>
      <c r="L87" s="1065">
        <f t="shared" si="10"/>
        <v>36.5</v>
      </c>
      <c r="M87" s="456"/>
      <c r="N87" s="457"/>
      <c r="O87" s="458">
        <f t="shared" si="19"/>
        <v>762.85</v>
      </c>
      <c r="P87" s="458">
        <v>80000</v>
      </c>
      <c r="Q87" s="458">
        <f>Q86</f>
        <v>0</v>
      </c>
      <c r="R87" s="773"/>
      <c r="S87" s="456">
        <f>S86</f>
        <v>1678.95</v>
      </c>
      <c r="T87" s="459">
        <f t="shared" si="28"/>
        <v>561.47</v>
      </c>
      <c r="U87" s="459">
        <f t="shared" si="28"/>
        <v>561</v>
      </c>
      <c r="V87" s="652">
        <v>13</v>
      </c>
      <c r="W87" s="459">
        <f t="shared" si="1"/>
        <v>2239.9499999999998</v>
      </c>
      <c r="X87" s="459">
        <f t="shared" si="15"/>
        <v>1122.47</v>
      </c>
      <c r="Y87" s="459">
        <f t="shared" si="2"/>
        <v>63173</v>
      </c>
      <c r="Z87" s="456">
        <f t="shared" si="29"/>
        <v>4197.5</v>
      </c>
      <c r="AA87" s="457">
        <f t="shared" si="29"/>
        <v>5591.8</v>
      </c>
      <c r="AB87" s="456">
        <f t="shared" si="29"/>
        <v>94316</v>
      </c>
      <c r="AC87" s="459">
        <f t="shared" si="29"/>
        <v>0</v>
      </c>
      <c r="AD87" s="460">
        <v>0.3</v>
      </c>
      <c r="AE87" s="456">
        <f>AE86</f>
        <v>54677</v>
      </c>
      <c r="AF87" s="1072">
        <f t="shared" si="24"/>
        <v>0.2</v>
      </c>
      <c r="AG87" s="456">
        <f t="shared" si="30"/>
        <v>1642.5</v>
      </c>
      <c r="AH87" s="459">
        <f t="shared" si="30"/>
        <v>3285</v>
      </c>
      <c r="AI87" s="457">
        <f t="shared" si="30"/>
        <v>547.5</v>
      </c>
      <c r="AJ87" s="461">
        <v>0.5</v>
      </c>
      <c r="AK87" s="458"/>
      <c r="AL87" s="462">
        <v>16</v>
      </c>
      <c r="AM87" s="805">
        <v>20</v>
      </c>
    </row>
    <row r="88" spans="1:39" x14ac:dyDescent="0.25">
      <c r="A88" s="463">
        <v>44013</v>
      </c>
      <c r="B88" s="464">
        <v>44093</v>
      </c>
      <c r="C88" s="465">
        <f>IndexAmt(C87,"peCpiFp",$B85,3.65,12)</f>
        <v>4982.25</v>
      </c>
      <c r="D88" s="1064">
        <f t="shared" si="7"/>
        <v>91.25</v>
      </c>
      <c r="E88" s="465">
        <f>IndexAmt(E87,"peCpiFp",$B85,3.65,12)</f>
        <v>6486.05</v>
      </c>
      <c r="F88" s="1064">
        <f t="shared" si="8"/>
        <v>116.8</v>
      </c>
      <c r="G88" s="465">
        <f>IndexAmt(G87,"peCpiFp",$B85,3.65,12)</f>
        <v>1598.7</v>
      </c>
      <c r="H88" s="1064">
        <f t="shared" si="9"/>
        <v>25.55</v>
      </c>
      <c r="I88" s="465"/>
      <c r="J88" s="466"/>
      <c r="K88" s="465">
        <f>IndexAmt(K87,"peCpiFp",$B85,3.65,12)</f>
        <v>1598.7</v>
      </c>
      <c r="L88" s="1064">
        <f t="shared" si="10"/>
        <v>36.5</v>
      </c>
      <c r="M88" s="465"/>
      <c r="N88" s="466"/>
      <c r="O88" s="467">
        <f>IndexAmt(O87,"peCpiFp",$B85,3.65,12)</f>
        <v>781.1</v>
      </c>
      <c r="P88" s="467">
        <v>80000</v>
      </c>
      <c r="Q88" s="467">
        <f>IndexAmt(Q87,"peCpiFp",$B85,3.65,12)</f>
        <v>0</v>
      </c>
      <c r="R88" s="771"/>
      <c r="S88" s="465">
        <f>IndexAmt(S87,"peCpiFp",$B85,0.91,12)</f>
        <v>1718.99</v>
      </c>
      <c r="T88" s="468">
        <f>IndexAmt(T87,"peCpiFp",$B85,0.91,12)</f>
        <v>575.12</v>
      </c>
      <c r="U88" s="468">
        <f>IndexAmt(U87,"peCpiFp",$B85,1,12)</f>
        <v>574</v>
      </c>
      <c r="V88" s="653">
        <v>13</v>
      </c>
      <c r="W88" s="468">
        <f t="shared" si="1"/>
        <v>2292.9899999999998</v>
      </c>
      <c r="X88" s="468">
        <f t="shared" si="15"/>
        <v>1149.1199999999999</v>
      </c>
      <c r="Y88" s="468">
        <f>IndexAmt(Y87,"peCpiFp",$B85,1,12)</f>
        <v>64689</v>
      </c>
      <c r="Z88" s="465">
        <f>IndexAmt(Z87,"peCpiFp",$B85,3.65,12)</f>
        <v>4299.7</v>
      </c>
      <c r="AA88" s="466">
        <f>IndexAmt(AA87,"peCpiFp",$B85,3.65,12)</f>
        <v>5726.8499999999995</v>
      </c>
      <c r="AB88" s="465">
        <f>IndexAmt(AB87,"peCpiFp",$B85,73,12)</f>
        <v>96579</v>
      </c>
      <c r="AC88" s="468">
        <f>IndexAmt(AC87,"peCpiFp",$B85,73,12)</f>
        <v>0</v>
      </c>
      <c r="AD88" s="469">
        <v>0.3</v>
      </c>
      <c r="AE88" s="465">
        <f>IndexAmt(AE87,"peCpiFp",$B85,73,12)</f>
        <v>55991</v>
      </c>
      <c r="AF88" s="1073">
        <f t="shared" si="24"/>
        <v>0.2</v>
      </c>
      <c r="AG88" s="465">
        <f>IndexAmt(AG87,"peCpiFp",$B85,10.95,12)</f>
        <v>1686.3</v>
      </c>
      <c r="AH88" s="468">
        <f>IndexAmt(AH87,"peCpiFp",$B85,21.9,12)</f>
        <v>3372.6</v>
      </c>
      <c r="AI88" s="466">
        <f>IndexAmt(AI87,"peCpiFp",$B85,3.65,12)</f>
        <v>562.1</v>
      </c>
      <c r="AJ88" s="470">
        <v>0.5</v>
      </c>
      <c r="AK88" s="467"/>
      <c r="AL88" s="471">
        <v>16</v>
      </c>
      <c r="AM88" s="804">
        <v>20</v>
      </c>
    </row>
    <row r="89" spans="1:39" x14ac:dyDescent="0.25">
      <c r="A89" s="445">
        <v>44094</v>
      </c>
      <c r="B89" s="446">
        <v>44196</v>
      </c>
      <c r="C89" s="447">
        <f>C88</f>
        <v>4982.25</v>
      </c>
      <c r="D89" s="1065">
        <f t="shared" si="7"/>
        <v>91.25</v>
      </c>
      <c r="E89" s="447">
        <f>E88</f>
        <v>6486.05</v>
      </c>
      <c r="F89" s="1065">
        <f t="shared" si="8"/>
        <v>116.8</v>
      </c>
      <c r="G89" s="447">
        <f>G88</f>
        <v>1598.7</v>
      </c>
      <c r="H89" s="1065">
        <f t="shared" si="9"/>
        <v>25.55</v>
      </c>
      <c r="I89" s="447"/>
      <c r="J89" s="448"/>
      <c r="K89" s="447">
        <f>K88</f>
        <v>1598.7</v>
      </c>
      <c r="L89" s="1065">
        <f t="shared" si="10"/>
        <v>36.5</v>
      </c>
      <c r="M89" s="447"/>
      <c r="N89" s="448"/>
      <c r="O89" s="449">
        <f t="shared" si="19"/>
        <v>781.1</v>
      </c>
      <c r="P89" s="449">
        <v>80000</v>
      </c>
      <c r="Q89" s="449">
        <f>Q88</f>
        <v>0</v>
      </c>
      <c r="R89" s="772"/>
      <c r="S89" s="447">
        <f>S88</f>
        <v>1718.99</v>
      </c>
      <c r="T89" s="450">
        <f t="shared" ref="T89:U91" si="31">T88</f>
        <v>575.12</v>
      </c>
      <c r="U89" s="450">
        <f t="shared" si="31"/>
        <v>574</v>
      </c>
      <c r="V89" s="651">
        <v>13</v>
      </c>
      <c r="W89" s="450">
        <f t="shared" si="1"/>
        <v>2292.9899999999998</v>
      </c>
      <c r="X89" s="450">
        <f t="shared" si="15"/>
        <v>1149.1199999999999</v>
      </c>
      <c r="Y89" s="450">
        <f t="shared" si="2"/>
        <v>64689</v>
      </c>
      <c r="Z89" s="447">
        <f t="shared" ref="Z89:AC91" si="32">Z88</f>
        <v>4299.7</v>
      </c>
      <c r="AA89" s="448">
        <f t="shared" si="32"/>
        <v>5726.8499999999995</v>
      </c>
      <c r="AB89" s="447">
        <f t="shared" si="32"/>
        <v>96579</v>
      </c>
      <c r="AC89" s="450">
        <f t="shared" si="32"/>
        <v>0</v>
      </c>
      <c r="AD89" s="451">
        <v>0.3</v>
      </c>
      <c r="AE89" s="447">
        <f>AE88</f>
        <v>55991</v>
      </c>
      <c r="AF89" s="1074">
        <f t="shared" si="24"/>
        <v>0.2</v>
      </c>
      <c r="AG89" s="447">
        <f t="shared" ref="AG89:AI91" si="33">AG88</f>
        <v>1686.3</v>
      </c>
      <c r="AH89" s="450">
        <f t="shared" si="33"/>
        <v>3372.6</v>
      </c>
      <c r="AI89" s="448">
        <f t="shared" si="33"/>
        <v>562.1</v>
      </c>
      <c r="AJ89" s="452">
        <v>0.5</v>
      </c>
      <c r="AK89" s="449"/>
      <c r="AL89" s="453">
        <v>16</v>
      </c>
      <c r="AM89" s="712">
        <v>20</v>
      </c>
    </row>
    <row r="90" spans="1:39" x14ac:dyDescent="0.25">
      <c r="A90" s="445">
        <v>44197</v>
      </c>
      <c r="B90" s="446">
        <v>44274</v>
      </c>
      <c r="C90" s="447">
        <f>C89</f>
        <v>4982.25</v>
      </c>
      <c r="D90" s="1065">
        <f t="shared" si="7"/>
        <v>91.25</v>
      </c>
      <c r="E90" s="447">
        <f>E89</f>
        <v>6486.05</v>
      </c>
      <c r="F90" s="1065">
        <f t="shared" si="8"/>
        <v>116.8</v>
      </c>
      <c r="G90" s="447">
        <f>G89</f>
        <v>1598.7</v>
      </c>
      <c r="H90" s="1065">
        <f t="shared" si="9"/>
        <v>25.55</v>
      </c>
      <c r="I90" s="447"/>
      <c r="J90" s="448"/>
      <c r="K90" s="447">
        <f>K89</f>
        <v>1598.7</v>
      </c>
      <c r="L90" s="1065">
        <f t="shared" si="10"/>
        <v>36.5</v>
      </c>
      <c r="M90" s="447"/>
      <c r="N90" s="448"/>
      <c r="O90" s="449">
        <f t="shared" si="19"/>
        <v>781.1</v>
      </c>
      <c r="P90" s="449">
        <v>80000</v>
      </c>
      <c r="Q90" s="449">
        <f>Q89</f>
        <v>0</v>
      </c>
      <c r="R90" s="772"/>
      <c r="S90" s="447">
        <f>S89</f>
        <v>1718.99</v>
      </c>
      <c r="T90" s="450">
        <f t="shared" si="31"/>
        <v>575.12</v>
      </c>
      <c r="U90" s="450">
        <f t="shared" si="31"/>
        <v>574</v>
      </c>
      <c r="V90" s="651">
        <v>13</v>
      </c>
      <c r="W90" s="450">
        <f t="shared" si="1"/>
        <v>2292.9899999999998</v>
      </c>
      <c r="X90" s="450">
        <f t="shared" si="15"/>
        <v>1149.1199999999999</v>
      </c>
      <c r="Y90" s="450">
        <f t="shared" si="2"/>
        <v>64689</v>
      </c>
      <c r="Z90" s="447">
        <f t="shared" si="32"/>
        <v>4299.7</v>
      </c>
      <c r="AA90" s="448">
        <f t="shared" si="32"/>
        <v>5726.8499999999995</v>
      </c>
      <c r="AB90" s="447">
        <f t="shared" si="32"/>
        <v>96579</v>
      </c>
      <c r="AC90" s="450">
        <f t="shared" si="32"/>
        <v>0</v>
      </c>
      <c r="AD90" s="451">
        <v>0.3</v>
      </c>
      <c r="AE90" s="447">
        <f>AE89</f>
        <v>55991</v>
      </c>
      <c r="AF90" s="1074">
        <f t="shared" si="24"/>
        <v>0.2</v>
      </c>
      <c r="AG90" s="447">
        <f t="shared" si="33"/>
        <v>1686.3</v>
      </c>
      <c r="AH90" s="450">
        <f t="shared" si="33"/>
        <v>3372.6</v>
      </c>
      <c r="AI90" s="448">
        <f t="shared" si="33"/>
        <v>562.1</v>
      </c>
      <c r="AJ90" s="452">
        <v>0.5</v>
      </c>
      <c r="AK90" s="449"/>
      <c r="AL90" s="453">
        <v>16</v>
      </c>
      <c r="AM90" s="712">
        <v>20</v>
      </c>
    </row>
    <row r="91" spans="1:39" ht="15.75" thickBot="1" x14ac:dyDescent="0.3">
      <c r="A91" s="454">
        <v>44275</v>
      </c>
      <c r="B91" s="455">
        <v>44377</v>
      </c>
      <c r="C91" s="456">
        <f>C90</f>
        <v>4982.25</v>
      </c>
      <c r="D91" s="1063">
        <f t="shared" si="7"/>
        <v>91.25</v>
      </c>
      <c r="E91" s="456">
        <f>E90</f>
        <v>6486.05</v>
      </c>
      <c r="F91" s="1063">
        <f t="shared" si="8"/>
        <v>116.8</v>
      </c>
      <c r="G91" s="456">
        <f>G90</f>
        <v>1598.7</v>
      </c>
      <c r="H91" s="1063">
        <f t="shared" si="9"/>
        <v>25.55</v>
      </c>
      <c r="I91" s="456"/>
      <c r="J91" s="457"/>
      <c r="K91" s="456">
        <f>K90</f>
        <v>1598.7</v>
      </c>
      <c r="L91" s="1065">
        <f t="shared" si="10"/>
        <v>36.5</v>
      </c>
      <c r="M91" s="456"/>
      <c r="N91" s="457"/>
      <c r="O91" s="458">
        <f t="shared" si="19"/>
        <v>781.1</v>
      </c>
      <c r="P91" s="458">
        <v>80000</v>
      </c>
      <c r="Q91" s="458">
        <f>Q90</f>
        <v>0</v>
      </c>
      <c r="R91" s="773"/>
      <c r="S91" s="456">
        <f>S90</f>
        <v>1718.99</v>
      </c>
      <c r="T91" s="459">
        <f t="shared" si="31"/>
        <v>575.12</v>
      </c>
      <c r="U91" s="459">
        <f t="shared" si="31"/>
        <v>574</v>
      </c>
      <c r="V91" s="652">
        <v>13</v>
      </c>
      <c r="W91" s="459">
        <f t="shared" si="1"/>
        <v>2292.9899999999998</v>
      </c>
      <c r="X91" s="459">
        <f t="shared" si="15"/>
        <v>1149.1199999999999</v>
      </c>
      <c r="Y91" s="459">
        <f t="shared" si="2"/>
        <v>64689</v>
      </c>
      <c r="Z91" s="456">
        <f t="shared" si="32"/>
        <v>4299.7</v>
      </c>
      <c r="AA91" s="457">
        <f t="shared" si="32"/>
        <v>5726.8499999999995</v>
      </c>
      <c r="AB91" s="456">
        <f t="shared" si="32"/>
        <v>96579</v>
      </c>
      <c r="AC91" s="459">
        <f t="shared" si="32"/>
        <v>0</v>
      </c>
      <c r="AD91" s="460">
        <v>0.3</v>
      </c>
      <c r="AE91" s="456">
        <f>AE90</f>
        <v>55991</v>
      </c>
      <c r="AF91" s="1072">
        <f t="shared" si="24"/>
        <v>0.2</v>
      </c>
      <c r="AG91" s="456">
        <f t="shared" si="33"/>
        <v>1686.3</v>
      </c>
      <c r="AH91" s="459">
        <f t="shared" si="33"/>
        <v>3372.6</v>
      </c>
      <c r="AI91" s="457">
        <f t="shared" si="33"/>
        <v>562.1</v>
      </c>
      <c r="AJ91" s="461">
        <v>0.5</v>
      </c>
      <c r="AK91" s="458"/>
      <c r="AL91" s="462">
        <v>16</v>
      </c>
      <c r="AM91" s="805">
        <v>20</v>
      </c>
    </row>
    <row r="92" spans="1:39" customFormat="1" x14ac:dyDescent="0.25">
      <c r="P92" s="999"/>
      <c r="AF92" s="999"/>
    </row>
  </sheetData>
  <customSheetViews>
    <customSheetView guid="{E49C2F27-B0B9-497E-BEC0-5B59561292FE}">
      <pane xSplit="2" ySplit="7" topLeftCell="V59" activePane="bottomRight" state="frozen"/>
      <selection pane="bottomRight" activeCell="AA72" sqref="AA72"/>
      <pageMargins left="0.7" right="0.7" top="0.75" bottom="0.75" header="0.3" footer="0.3"/>
      <pageSetup paperSize="9" orientation="portrait" r:id="rId1"/>
    </customSheetView>
    <customSheetView guid="{A5953138-1481-4137-BEAD-32FA4FDF03E6}">
      <pane xSplit="2" ySplit="7" topLeftCell="V59" activePane="bottomRight" state="frozen"/>
      <selection pane="bottomRight" activeCell="AD72" sqref="AD72"/>
      <pageMargins left="0.7" right="0.7" top="0.75" bottom="0.75" header="0.3" footer="0.3"/>
      <pageSetup paperSize="9" orientation="portrait" r:id="rId2"/>
    </customSheetView>
    <customSheetView guid="{2A1F94CA-1A34-4418-88FD-EABF7586C2B2}">
      <pane xSplit="2" ySplit="7" topLeftCell="W68" activePane="bottomRight" state="frozen"/>
      <selection pane="bottomRight" activeCell="AD80" sqref="AD80"/>
      <pageMargins left="0.7" right="0.7" top="0.75" bottom="0.75" header="0.3" footer="0.3"/>
      <pageSetup paperSize="9" orientation="portrait" r:id="rId3"/>
    </customSheetView>
  </customSheetViews>
  <mergeCells count="49">
    <mergeCell ref="C1:Q1"/>
    <mergeCell ref="K3:N3"/>
    <mergeCell ref="S2:V3"/>
    <mergeCell ref="S4:T4"/>
    <mergeCell ref="T5:T6"/>
    <mergeCell ref="U5:U6"/>
    <mergeCell ref="Q2:R4"/>
    <mergeCell ref="Q5:Q6"/>
    <mergeCell ref="R5:R6"/>
    <mergeCell ref="S5:S6"/>
    <mergeCell ref="V5:V6"/>
    <mergeCell ref="P2:P6"/>
    <mergeCell ref="A2:B3"/>
    <mergeCell ref="A4:A6"/>
    <mergeCell ref="B4:B6"/>
    <mergeCell ref="O2:O6"/>
    <mergeCell ref="C2:N2"/>
    <mergeCell ref="C4:D5"/>
    <mergeCell ref="E4:F5"/>
    <mergeCell ref="G4:H5"/>
    <mergeCell ref="I4:J5"/>
    <mergeCell ref="C3:J3"/>
    <mergeCell ref="M4:N5"/>
    <mergeCell ref="K4:L5"/>
    <mergeCell ref="AK1:AM2"/>
    <mergeCell ref="AK3:AK6"/>
    <mergeCell ref="AM3:AM6"/>
    <mergeCell ref="AG3:AI3"/>
    <mergeCell ref="AG4:AG6"/>
    <mergeCell ref="AI4:AI6"/>
    <mergeCell ref="AH4:AH6"/>
    <mergeCell ref="AG2:AJ2"/>
    <mergeCell ref="AJ3:AJ6"/>
    <mergeCell ref="AL3:AL6"/>
    <mergeCell ref="W2:Y4"/>
    <mergeCell ref="W5:W6"/>
    <mergeCell ref="X5:X6"/>
    <mergeCell ref="Y5:Y6"/>
    <mergeCell ref="AB1:AJ1"/>
    <mergeCell ref="AB2:AD3"/>
    <mergeCell ref="AE2:AF3"/>
    <mergeCell ref="AB4:AB6"/>
    <mergeCell ref="AA5:AA6"/>
    <mergeCell ref="AC4:AC6"/>
    <mergeCell ref="AD4:AD6"/>
    <mergeCell ref="AE4:AE6"/>
    <mergeCell ref="Z2:AA4"/>
    <mergeCell ref="Z5:Z6"/>
    <mergeCell ref="AF4:AF6"/>
  </mergeCells>
  <pageMargins left="0.7" right="0.7" top="0.75" bottom="0.75" header="0.3" footer="0.3"/>
  <pageSetup paperSize="9" orientation="portrait" r:id="rId4"/>
  <legacyDrawing r:id="rId5"/>
</worksheet>
</file>

<file path=xl/worksheets/sheet4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A00-000000000000}">
  <sheetPr codeName="Sheet32">
    <tabColor theme="9"/>
  </sheetPr>
  <dimension ref="A1:AM28"/>
  <sheetViews>
    <sheetView tabSelected="1" workbookViewId="0">
      <pane xSplit="2" ySplit="7" topLeftCell="C8" activePane="bottomRight" state="frozen"/>
      <selection pane="topRight" activeCell="C1" sqref="C1"/>
      <selection pane="bottomLeft" activeCell="A8" sqref="A8"/>
      <selection pane="bottomRight" activeCell="A7" sqref="A7"/>
    </sheetView>
  </sheetViews>
  <sheetFormatPr defaultRowHeight="15" x14ac:dyDescent="0.25"/>
  <cols>
    <col min="1" max="2" width="16.42578125" style="28" customWidth="1"/>
    <col min="3" max="14" width="17.7109375" style="12" customWidth="1"/>
    <col min="15" max="15" width="16.42578125" style="12" customWidth="1"/>
    <col min="16" max="16" width="17.5703125" style="12" customWidth="1"/>
    <col min="17" max="17" width="16.42578125" style="12" customWidth="1"/>
    <col min="18" max="18" width="16.42578125" style="340" customWidth="1"/>
    <col min="19" max="24" width="16.42578125" style="12" customWidth="1"/>
    <col min="25" max="25" width="19" style="12" customWidth="1"/>
    <col min="26" max="26" width="13.140625" style="12" bestFit="1" customWidth="1"/>
    <col min="27" max="27" width="14.28515625" style="12" bestFit="1" customWidth="1"/>
    <col min="28" max="28" width="15.5703125" style="12" customWidth="1"/>
    <col min="29" max="29" width="22.5703125" style="12" bestFit="1" customWidth="1"/>
    <col min="30" max="30" width="14.42578125" style="53" customWidth="1"/>
    <col min="31" max="31" width="17.5703125" style="12" customWidth="1"/>
    <col min="32" max="32" width="14" style="53" customWidth="1"/>
    <col min="33" max="33" width="17.42578125" style="12" customWidth="1"/>
    <col min="34" max="34" width="16.7109375" style="12" customWidth="1"/>
    <col min="35" max="35" width="18.7109375" style="12" customWidth="1"/>
    <col min="36" max="36" width="17.140625" style="53" customWidth="1"/>
    <col min="37" max="38" width="20.7109375" style="12" customWidth="1"/>
    <col min="39" max="39" width="20.7109375" style="28" customWidth="1"/>
    <col min="40" max="16384" width="9.140625" style="28"/>
  </cols>
  <sheetData>
    <row r="1" spans="1:39" ht="15.75" customHeight="1" thickBot="1" x14ac:dyDescent="0.3">
      <c r="A1" s="87"/>
      <c r="B1" s="87"/>
      <c r="C1" s="1160" t="s">
        <v>23</v>
      </c>
      <c r="D1" s="1442"/>
      <c r="E1" s="1442"/>
      <c r="F1" s="1442"/>
      <c r="G1" s="1442"/>
      <c r="H1" s="1442"/>
      <c r="I1" s="1442"/>
      <c r="J1" s="1442"/>
      <c r="K1" s="1442"/>
      <c r="L1" s="1442"/>
      <c r="M1" s="1442"/>
      <c r="N1" s="1442"/>
      <c r="O1" s="1442"/>
      <c r="P1" s="1442"/>
      <c r="Q1" s="1442"/>
      <c r="R1" s="762"/>
      <c r="S1" s="617"/>
      <c r="T1" s="617"/>
      <c r="U1" s="617"/>
      <c r="V1" s="617"/>
      <c r="W1" s="617"/>
      <c r="X1" s="617"/>
      <c r="Y1" s="617"/>
      <c r="Z1" s="617"/>
      <c r="AA1" s="617"/>
      <c r="AB1" s="1160" t="s">
        <v>24</v>
      </c>
      <c r="AC1" s="1161"/>
      <c r="AD1" s="1161"/>
      <c r="AE1" s="1161"/>
      <c r="AF1" s="1161"/>
      <c r="AG1" s="1161"/>
      <c r="AH1" s="1161"/>
      <c r="AI1" s="1161"/>
      <c r="AJ1" s="1162"/>
      <c r="AK1" s="1164" t="s">
        <v>251</v>
      </c>
      <c r="AL1" s="1214"/>
      <c r="AM1" s="1165"/>
    </row>
    <row r="2" spans="1:39" ht="15.75" customHeight="1" thickBot="1" x14ac:dyDescent="0.3">
      <c r="A2" s="1164" t="s">
        <v>13</v>
      </c>
      <c r="B2" s="1165"/>
      <c r="C2" s="1211" t="s">
        <v>117</v>
      </c>
      <c r="D2" s="1212"/>
      <c r="E2" s="1212"/>
      <c r="F2" s="1212"/>
      <c r="G2" s="1212"/>
      <c r="H2" s="1212"/>
      <c r="I2" s="1212"/>
      <c r="J2" s="1212"/>
      <c r="K2" s="1212"/>
      <c r="L2" s="1212"/>
      <c r="M2" s="1212"/>
      <c r="N2" s="1212"/>
      <c r="O2" s="1443" t="s">
        <v>44</v>
      </c>
      <c r="P2" s="1421" t="s">
        <v>869</v>
      </c>
      <c r="Q2" s="1371" t="s">
        <v>45</v>
      </c>
      <c r="R2" s="1373"/>
      <c r="S2" s="1371" t="s">
        <v>346</v>
      </c>
      <c r="T2" s="1372"/>
      <c r="U2" s="1372"/>
      <c r="V2" s="1373"/>
      <c r="W2" s="1371" t="s">
        <v>477</v>
      </c>
      <c r="X2" s="1372"/>
      <c r="Y2" s="1373"/>
      <c r="Z2" s="1306" t="s">
        <v>235</v>
      </c>
      <c r="AA2" s="1308"/>
      <c r="AB2" s="1385" t="s">
        <v>876</v>
      </c>
      <c r="AC2" s="1386"/>
      <c r="AD2" s="1387"/>
      <c r="AE2" s="1164" t="s">
        <v>250</v>
      </c>
      <c r="AF2" s="1214"/>
      <c r="AG2" s="1211" t="s">
        <v>244</v>
      </c>
      <c r="AH2" s="1212"/>
      <c r="AI2" s="1212"/>
      <c r="AJ2" s="1213"/>
      <c r="AK2" s="1166"/>
      <c r="AL2" s="1217"/>
      <c r="AM2" s="1167"/>
    </row>
    <row r="3" spans="1:39" ht="15.75" customHeight="1" thickBot="1" x14ac:dyDescent="0.3">
      <c r="A3" s="1215"/>
      <c r="B3" s="1236"/>
      <c r="C3" s="1258" t="s">
        <v>116</v>
      </c>
      <c r="D3" s="1259"/>
      <c r="E3" s="1259"/>
      <c r="F3" s="1259"/>
      <c r="G3" s="1259"/>
      <c r="H3" s="1259"/>
      <c r="I3" s="1259"/>
      <c r="J3" s="1274"/>
      <c r="K3" s="1436" t="s">
        <v>115</v>
      </c>
      <c r="L3" s="1437"/>
      <c r="M3" s="1437"/>
      <c r="N3" s="1438"/>
      <c r="O3" s="1444"/>
      <c r="P3" s="1422"/>
      <c r="Q3" s="1374"/>
      <c r="R3" s="1376"/>
      <c r="S3" s="1374"/>
      <c r="T3" s="1375"/>
      <c r="U3" s="1375"/>
      <c r="V3" s="1376"/>
      <c r="W3" s="1374"/>
      <c r="X3" s="1375"/>
      <c r="Y3" s="1376"/>
      <c r="Z3" s="1448"/>
      <c r="AA3" s="1449"/>
      <c r="AB3" s="1388"/>
      <c r="AC3" s="1389"/>
      <c r="AD3" s="1390"/>
      <c r="AE3" s="1166"/>
      <c r="AF3" s="1217"/>
      <c r="AG3" s="1248" t="s">
        <v>248</v>
      </c>
      <c r="AH3" s="1238"/>
      <c r="AI3" s="1238"/>
      <c r="AJ3" s="1360" t="s">
        <v>249</v>
      </c>
      <c r="AK3" s="1224" t="s">
        <v>52</v>
      </c>
      <c r="AL3" s="1403" t="s">
        <v>523</v>
      </c>
      <c r="AM3" s="1403" t="s">
        <v>524</v>
      </c>
    </row>
    <row r="4" spans="1:39" ht="15" customHeight="1" thickBot="1" x14ac:dyDescent="0.3">
      <c r="A4" s="1188" t="s">
        <v>16</v>
      </c>
      <c r="B4" s="1176" t="s">
        <v>17</v>
      </c>
      <c r="C4" s="1254" t="s">
        <v>50</v>
      </c>
      <c r="D4" s="1255"/>
      <c r="E4" s="1254" t="s">
        <v>234</v>
      </c>
      <c r="F4" s="1255"/>
      <c r="G4" s="1254" t="s">
        <v>51</v>
      </c>
      <c r="H4" s="1255"/>
      <c r="I4" s="1254" t="s">
        <v>49</v>
      </c>
      <c r="J4" s="1255"/>
      <c r="K4" s="1431" t="s">
        <v>48</v>
      </c>
      <c r="L4" s="1432"/>
      <c r="M4" s="1431" t="s">
        <v>49</v>
      </c>
      <c r="N4" s="1432"/>
      <c r="O4" s="1444"/>
      <c r="P4" s="1422"/>
      <c r="Q4" s="1377"/>
      <c r="R4" s="1379"/>
      <c r="S4" s="1377"/>
      <c r="T4" s="1378"/>
      <c r="U4" s="1378"/>
      <c r="V4" s="1379"/>
      <c r="W4" s="1377"/>
      <c r="X4" s="1378"/>
      <c r="Y4" s="1379"/>
      <c r="Z4" s="1309"/>
      <c r="AA4" s="1311"/>
      <c r="AB4" s="1218" t="s">
        <v>238</v>
      </c>
      <c r="AC4" s="1240" t="s">
        <v>46</v>
      </c>
      <c r="AD4" s="1446" t="s">
        <v>47</v>
      </c>
      <c r="AE4" s="1218" t="s">
        <v>239</v>
      </c>
      <c r="AF4" s="1221" t="s">
        <v>47</v>
      </c>
      <c r="AG4" s="1218" t="s">
        <v>245</v>
      </c>
      <c r="AH4" s="1240" t="s">
        <v>246</v>
      </c>
      <c r="AI4" s="1227" t="s">
        <v>57</v>
      </c>
      <c r="AJ4" s="1361"/>
      <c r="AK4" s="1225"/>
      <c r="AL4" s="1404"/>
      <c r="AM4" s="1404"/>
    </row>
    <row r="5" spans="1:39" ht="15.75" customHeight="1" thickBot="1" x14ac:dyDescent="0.3">
      <c r="A5" s="1188"/>
      <c r="B5" s="1176"/>
      <c r="C5" s="1266"/>
      <c r="D5" s="1267"/>
      <c r="E5" s="1266"/>
      <c r="F5" s="1267"/>
      <c r="G5" s="1266"/>
      <c r="H5" s="1267"/>
      <c r="I5" s="1266"/>
      <c r="J5" s="1267"/>
      <c r="K5" s="1433"/>
      <c r="L5" s="1434"/>
      <c r="M5" s="1433"/>
      <c r="N5" s="1434"/>
      <c r="O5" s="1444"/>
      <c r="P5" s="1422"/>
      <c r="Q5" s="1380" t="s">
        <v>566</v>
      </c>
      <c r="R5" s="1439" t="s">
        <v>565</v>
      </c>
      <c r="S5" s="1402" t="s">
        <v>350</v>
      </c>
      <c r="T5" s="1380" t="s">
        <v>351</v>
      </c>
      <c r="U5" s="1402" t="s">
        <v>347</v>
      </c>
      <c r="V5" s="1402" t="s">
        <v>352</v>
      </c>
      <c r="W5" s="1380" t="s">
        <v>479</v>
      </c>
      <c r="X5" s="1380" t="s">
        <v>480</v>
      </c>
      <c r="Y5" s="1380" t="s">
        <v>478</v>
      </c>
      <c r="Z5" s="1224" t="s">
        <v>236</v>
      </c>
      <c r="AA5" s="1224" t="s">
        <v>237</v>
      </c>
      <c r="AB5" s="1219"/>
      <c r="AC5" s="1241"/>
      <c r="AD5" s="1447"/>
      <c r="AE5" s="1219"/>
      <c r="AF5" s="1222"/>
      <c r="AG5" s="1219"/>
      <c r="AH5" s="1241"/>
      <c r="AI5" s="1237"/>
      <c r="AJ5" s="1361"/>
      <c r="AK5" s="1225"/>
      <c r="AL5" s="1404"/>
      <c r="AM5" s="1404"/>
    </row>
    <row r="6" spans="1:39" ht="33" customHeight="1" thickBot="1" x14ac:dyDescent="0.3">
      <c r="A6" s="1207"/>
      <c r="B6" s="1177"/>
      <c r="C6" s="837" t="s">
        <v>233</v>
      </c>
      <c r="D6" s="838" t="s">
        <v>605</v>
      </c>
      <c r="E6" s="837" t="s">
        <v>233</v>
      </c>
      <c r="F6" s="838" t="s">
        <v>605</v>
      </c>
      <c r="G6" s="837" t="s">
        <v>233</v>
      </c>
      <c r="H6" s="838" t="s">
        <v>605</v>
      </c>
      <c r="I6" s="837" t="s">
        <v>233</v>
      </c>
      <c r="J6" s="838" t="s">
        <v>605</v>
      </c>
      <c r="K6" s="837" t="s">
        <v>233</v>
      </c>
      <c r="L6" s="838" t="s">
        <v>605</v>
      </c>
      <c r="M6" s="837" t="s">
        <v>233</v>
      </c>
      <c r="N6" s="838" t="s">
        <v>605</v>
      </c>
      <c r="O6" s="1445"/>
      <c r="P6" s="1423"/>
      <c r="Q6" s="1381"/>
      <c r="R6" s="1440"/>
      <c r="S6" s="1381"/>
      <c r="T6" s="1381"/>
      <c r="U6" s="1381"/>
      <c r="V6" s="1381"/>
      <c r="W6" s="1381"/>
      <c r="X6" s="1381"/>
      <c r="Y6" s="1381"/>
      <c r="Z6" s="1226"/>
      <c r="AA6" s="1226"/>
      <c r="AB6" s="1220"/>
      <c r="AC6" s="1242"/>
      <c r="AD6" s="1223"/>
      <c r="AE6" s="1220"/>
      <c r="AF6" s="1441"/>
      <c r="AG6" s="1220"/>
      <c r="AH6" s="1242"/>
      <c r="AI6" s="1228"/>
      <c r="AJ6" s="1362"/>
      <c r="AK6" s="1226"/>
      <c r="AL6" s="1405"/>
      <c r="AM6" s="1405"/>
    </row>
    <row r="7" spans="1:39" ht="15" customHeight="1" thickBot="1" x14ac:dyDescent="0.3">
      <c r="A7" s="713" t="s">
        <v>550</v>
      </c>
      <c r="B7" s="714" t="s">
        <v>551</v>
      </c>
      <c r="C7" s="316" t="s">
        <v>443</v>
      </c>
      <c r="D7" s="317" t="s">
        <v>635</v>
      </c>
      <c r="E7" s="316" t="s">
        <v>444</v>
      </c>
      <c r="F7" s="317" t="s">
        <v>636</v>
      </c>
      <c r="G7" s="316" t="s">
        <v>445</v>
      </c>
      <c r="H7" s="317" t="s">
        <v>637</v>
      </c>
      <c r="I7" s="316" t="s">
        <v>792</v>
      </c>
      <c r="J7" s="317" t="s">
        <v>793</v>
      </c>
      <c r="K7" s="316" t="s">
        <v>446</v>
      </c>
      <c r="L7" s="317" t="s">
        <v>638</v>
      </c>
      <c r="M7" s="308" t="s">
        <v>794</v>
      </c>
      <c r="N7" s="309" t="s">
        <v>795</v>
      </c>
      <c r="O7" s="309" t="s">
        <v>447</v>
      </c>
      <c r="P7" s="411" t="s">
        <v>870</v>
      </c>
      <c r="Q7" s="307" t="s">
        <v>448</v>
      </c>
      <c r="R7" s="764" t="s">
        <v>564</v>
      </c>
      <c r="S7" s="412" t="s">
        <v>519</v>
      </c>
      <c r="T7" s="412" t="s">
        <v>520</v>
      </c>
      <c r="U7" s="414" t="s">
        <v>521</v>
      </c>
      <c r="V7" s="411" t="s">
        <v>522</v>
      </c>
      <c r="W7" s="698" t="s">
        <v>796</v>
      </c>
      <c r="X7" s="698" t="s">
        <v>797</v>
      </c>
      <c r="Y7" s="696" t="s">
        <v>798</v>
      </c>
      <c r="Z7" s="308" t="s">
        <v>799</v>
      </c>
      <c r="AA7" s="309" t="s">
        <v>800</v>
      </c>
      <c r="AB7" s="308" t="s">
        <v>449</v>
      </c>
      <c r="AC7" s="312" t="s">
        <v>450</v>
      </c>
      <c r="AD7" s="311" t="s">
        <v>451</v>
      </c>
      <c r="AE7" s="308" t="s">
        <v>452</v>
      </c>
      <c r="AF7" s="1087" t="s">
        <v>453</v>
      </c>
      <c r="AG7" s="308" t="s">
        <v>454</v>
      </c>
      <c r="AH7" s="312" t="s">
        <v>455</v>
      </c>
      <c r="AI7" s="309" t="s">
        <v>456</v>
      </c>
      <c r="AJ7" s="315" t="s">
        <v>457</v>
      </c>
      <c r="AK7" s="307" t="s">
        <v>664</v>
      </c>
      <c r="AL7" s="706" t="s">
        <v>801</v>
      </c>
      <c r="AM7" s="417" t="s">
        <v>802</v>
      </c>
    </row>
    <row r="8" spans="1:39" x14ac:dyDescent="0.25">
      <c r="A8" s="161">
        <v>36708</v>
      </c>
      <c r="B8" s="162">
        <v>37072</v>
      </c>
      <c r="C8" s="18">
        <f t="shared" ref="C8:L22" si="0">AnnualAverage($A8,C$7,FTBAParms,FTBADates,FTBANames)</f>
        <v>3029.5</v>
      </c>
      <c r="D8" s="60">
        <f t="shared" si="0"/>
        <v>0</v>
      </c>
      <c r="E8" s="18">
        <f t="shared" si="0"/>
        <v>3839.8</v>
      </c>
      <c r="F8" s="60">
        <f t="shared" si="0"/>
        <v>0</v>
      </c>
      <c r="G8" s="18">
        <f t="shared" si="0"/>
        <v>974.55</v>
      </c>
      <c r="H8" s="60">
        <f t="shared" si="0"/>
        <v>0</v>
      </c>
      <c r="I8" s="18">
        <f t="shared" si="0"/>
        <v>1306.7</v>
      </c>
      <c r="J8" s="60">
        <f>AnnualAverage($A8,J$7,FTBAParms,FTBADates,FTBANames)</f>
        <v>0</v>
      </c>
      <c r="K8" s="18">
        <f t="shared" si="0"/>
        <v>974.55</v>
      </c>
      <c r="L8" s="35">
        <f>AnnualAverage($A8,L$7,FTBAParms,FTBADates,FTBANames)</f>
        <v>0</v>
      </c>
      <c r="M8" s="17">
        <f t="shared" ref="M8:AE22" si="1">AnnualAverage($A8,M$7,FTBAParms,FTBADates,FTBANames)</f>
        <v>1306.7</v>
      </c>
      <c r="N8" s="35"/>
      <c r="O8" s="92">
        <f t="shared" si="1"/>
        <v>0</v>
      </c>
      <c r="P8" s="92"/>
      <c r="Q8" s="92">
        <f t="shared" ref="Q8:Y8" si="2">AnnualAverage($A8,Q$7,FTBAParms,FTBADates,FTBANames)</f>
        <v>208.05</v>
      </c>
      <c r="R8" s="774">
        <f t="shared" si="2"/>
        <v>0</v>
      </c>
      <c r="S8" s="18">
        <f t="shared" si="2"/>
        <v>0</v>
      </c>
      <c r="T8" s="20">
        <f t="shared" si="2"/>
        <v>0</v>
      </c>
      <c r="U8" s="20">
        <f t="shared" si="2"/>
        <v>0</v>
      </c>
      <c r="V8" s="691">
        <f t="shared" si="2"/>
        <v>0</v>
      </c>
      <c r="W8" s="20">
        <f t="shared" si="2"/>
        <v>0</v>
      </c>
      <c r="X8" s="20">
        <f t="shared" si="2"/>
        <v>0</v>
      </c>
      <c r="Y8" s="20">
        <f t="shared" si="2"/>
        <v>0</v>
      </c>
      <c r="Z8" s="18">
        <f t="shared" si="1"/>
        <v>2533.1</v>
      </c>
      <c r="AA8" s="60">
        <f t="shared" si="1"/>
        <v>3379.9</v>
      </c>
      <c r="AB8" s="18">
        <f t="shared" si="1"/>
        <v>73000</v>
      </c>
      <c r="AC8" s="20">
        <f t="shared" si="1"/>
        <v>3000</v>
      </c>
      <c r="AD8" s="57">
        <f t="shared" si="1"/>
        <v>0.3</v>
      </c>
      <c r="AE8" s="18">
        <f t="shared" si="1"/>
        <v>28200</v>
      </c>
      <c r="AF8" s="59">
        <f>AnnualAverage($A8,AF$7,FTBAParms,FTBADates,FTBANames)</f>
        <v>0.3</v>
      </c>
      <c r="AG8" s="18">
        <f t="shared" ref="AF8:AL17" si="3">AnnualAverage($A8,AG$7,FTBAParms,FTBADates,FTBANames)</f>
        <v>1007.4</v>
      </c>
      <c r="AH8" s="20">
        <f t="shared" si="3"/>
        <v>2014.8</v>
      </c>
      <c r="AI8" s="60">
        <f t="shared" si="3"/>
        <v>335.8</v>
      </c>
      <c r="AJ8" s="100">
        <f t="shared" si="3"/>
        <v>0.5</v>
      </c>
      <c r="AK8" s="93">
        <f t="shared" si="3"/>
        <v>0</v>
      </c>
      <c r="AL8" s="709">
        <f>AnnualAverage($A8,AL$7,FTBAParms,FTBADates,FTBANames)</f>
        <v>25</v>
      </c>
      <c r="AM8" s="710"/>
    </row>
    <row r="9" spans="1:39" x14ac:dyDescent="0.25">
      <c r="A9" s="163">
        <v>37073</v>
      </c>
      <c r="B9" s="164">
        <v>37437</v>
      </c>
      <c r="C9" s="17">
        <f t="shared" si="0"/>
        <v>3204.7</v>
      </c>
      <c r="D9" s="35">
        <f t="shared" si="0"/>
        <v>0</v>
      </c>
      <c r="E9" s="17">
        <f t="shared" si="0"/>
        <v>4062.45</v>
      </c>
      <c r="F9" s="35">
        <f t="shared" si="0"/>
        <v>0</v>
      </c>
      <c r="G9" s="17">
        <f t="shared" si="0"/>
        <v>1029.3</v>
      </c>
      <c r="H9" s="35">
        <f t="shared" si="0"/>
        <v>0</v>
      </c>
      <c r="I9" s="17">
        <f t="shared" si="0"/>
        <v>1383.35</v>
      </c>
      <c r="J9" s="35">
        <f t="shared" si="0"/>
        <v>0</v>
      </c>
      <c r="K9" s="17">
        <f t="shared" si="0"/>
        <v>1029.3</v>
      </c>
      <c r="L9" s="35">
        <f t="shared" si="0"/>
        <v>0</v>
      </c>
      <c r="M9" s="17">
        <f t="shared" si="1"/>
        <v>1383.35</v>
      </c>
      <c r="N9" s="35"/>
      <c r="O9" s="93">
        <f t="shared" si="1"/>
        <v>0</v>
      </c>
      <c r="P9" s="93"/>
      <c r="Q9" s="93">
        <f t="shared" si="1"/>
        <v>219</v>
      </c>
      <c r="R9" s="775">
        <f t="shared" ref="R9:R22" si="4">AnnualAverage($A9,R$7,FTBAParms,FTBADates,FTBANames)</f>
        <v>0</v>
      </c>
      <c r="S9" s="17">
        <f t="shared" si="1"/>
        <v>0</v>
      </c>
      <c r="T9" s="19">
        <f t="shared" si="1"/>
        <v>0</v>
      </c>
      <c r="U9" s="19">
        <f t="shared" si="1"/>
        <v>0</v>
      </c>
      <c r="V9" s="688">
        <f t="shared" si="1"/>
        <v>0</v>
      </c>
      <c r="W9" s="19">
        <f t="shared" si="1"/>
        <v>0</v>
      </c>
      <c r="X9" s="19">
        <f t="shared" si="1"/>
        <v>0</v>
      </c>
      <c r="Y9" s="19">
        <f t="shared" si="1"/>
        <v>0</v>
      </c>
      <c r="Z9" s="17">
        <f t="shared" si="1"/>
        <v>2679.1</v>
      </c>
      <c r="AA9" s="35">
        <f t="shared" si="1"/>
        <v>3577</v>
      </c>
      <c r="AB9" s="17">
        <f t="shared" si="1"/>
        <v>77234</v>
      </c>
      <c r="AC9" s="19">
        <f t="shared" si="1"/>
        <v>3139</v>
      </c>
      <c r="AD9" s="61">
        <f t="shared" si="1"/>
        <v>0.3</v>
      </c>
      <c r="AE9" s="17">
        <f t="shared" si="1"/>
        <v>29857</v>
      </c>
      <c r="AF9" s="63">
        <f t="shared" si="3"/>
        <v>0.3</v>
      </c>
      <c r="AG9" s="17">
        <f t="shared" si="3"/>
        <v>1062.1500000000001</v>
      </c>
      <c r="AH9" s="19">
        <f t="shared" si="3"/>
        <v>2124.3000000000002</v>
      </c>
      <c r="AI9" s="35">
        <f t="shared" si="3"/>
        <v>354.05</v>
      </c>
      <c r="AJ9" s="102">
        <f t="shared" si="3"/>
        <v>0.5</v>
      </c>
      <c r="AK9" s="93">
        <f t="shared" si="3"/>
        <v>0</v>
      </c>
      <c r="AL9" s="709">
        <f t="shared" si="3"/>
        <v>25</v>
      </c>
      <c r="AM9" s="709"/>
    </row>
    <row r="10" spans="1:39" x14ac:dyDescent="0.25">
      <c r="A10" s="163">
        <v>37438</v>
      </c>
      <c r="B10" s="164">
        <v>37802</v>
      </c>
      <c r="C10" s="17">
        <f t="shared" si="0"/>
        <v>3303.25</v>
      </c>
      <c r="D10" s="35">
        <f t="shared" si="0"/>
        <v>0</v>
      </c>
      <c r="E10" s="17">
        <f t="shared" si="0"/>
        <v>4190.2</v>
      </c>
      <c r="F10" s="35">
        <f t="shared" si="0"/>
        <v>0</v>
      </c>
      <c r="G10" s="17">
        <f t="shared" si="0"/>
        <v>1062.1500000000001</v>
      </c>
      <c r="H10" s="35">
        <f t="shared" si="0"/>
        <v>0</v>
      </c>
      <c r="I10" s="17">
        <f t="shared" si="0"/>
        <v>1427.15</v>
      </c>
      <c r="J10" s="35">
        <f t="shared" si="0"/>
        <v>0</v>
      </c>
      <c r="K10" s="17">
        <f t="shared" si="0"/>
        <v>1062.1500000000001</v>
      </c>
      <c r="L10" s="35">
        <f t="shared" si="0"/>
        <v>0</v>
      </c>
      <c r="M10" s="17">
        <f t="shared" si="1"/>
        <v>1427.15</v>
      </c>
      <c r="N10" s="35"/>
      <c r="O10" s="93">
        <f>AnnualAverage($A10,O$7,FTBAParms,FTBADates,FTBANames)</f>
        <v>0</v>
      </c>
      <c r="P10" s="93"/>
      <c r="Q10" s="93">
        <f t="shared" si="1"/>
        <v>226.3</v>
      </c>
      <c r="R10" s="775">
        <f t="shared" si="4"/>
        <v>0</v>
      </c>
      <c r="S10" s="17">
        <f t="shared" si="1"/>
        <v>0</v>
      </c>
      <c r="T10" s="19">
        <f t="shared" si="1"/>
        <v>0</v>
      </c>
      <c r="U10" s="19">
        <f t="shared" si="1"/>
        <v>0</v>
      </c>
      <c r="V10" s="688">
        <f t="shared" si="1"/>
        <v>0</v>
      </c>
      <c r="W10" s="19">
        <f t="shared" si="1"/>
        <v>0</v>
      </c>
      <c r="X10" s="19">
        <f t="shared" si="1"/>
        <v>0</v>
      </c>
      <c r="Y10" s="19">
        <f t="shared" si="1"/>
        <v>0</v>
      </c>
      <c r="Z10" s="17">
        <f t="shared" si="1"/>
        <v>2763.05</v>
      </c>
      <c r="AA10" s="35">
        <f t="shared" si="1"/>
        <v>3686.5</v>
      </c>
      <c r="AB10" s="17">
        <f t="shared" si="1"/>
        <v>79643</v>
      </c>
      <c r="AC10" s="19">
        <f t="shared" si="1"/>
        <v>3212</v>
      </c>
      <c r="AD10" s="61">
        <f t="shared" si="1"/>
        <v>0.3</v>
      </c>
      <c r="AE10" s="17">
        <f t="shared" si="1"/>
        <v>30806</v>
      </c>
      <c r="AF10" s="63">
        <f t="shared" si="3"/>
        <v>0.3</v>
      </c>
      <c r="AG10" s="17">
        <f t="shared" si="3"/>
        <v>1095</v>
      </c>
      <c r="AH10" s="19">
        <f t="shared" si="3"/>
        <v>2190</v>
      </c>
      <c r="AI10" s="35">
        <f t="shared" si="3"/>
        <v>365</v>
      </c>
      <c r="AJ10" s="102">
        <f t="shared" si="3"/>
        <v>0.5</v>
      </c>
      <c r="AK10" s="93">
        <f t="shared" si="3"/>
        <v>0</v>
      </c>
      <c r="AL10" s="709">
        <f t="shared" si="3"/>
        <v>25</v>
      </c>
      <c r="AM10" s="709"/>
    </row>
    <row r="11" spans="1:39" x14ac:dyDescent="0.25">
      <c r="A11" s="163">
        <v>37803</v>
      </c>
      <c r="B11" s="164">
        <v>38168</v>
      </c>
      <c r="C11" s="17">
        <f t="shared" si="0"/>
        <v>3401.8</v>
      </c>
      <c r="D11" s="35">
        <f t="shared" si="0"/>
        <v>0</v>
      </c>
      <c r="E11" s="17">
        <f t="shared" si="0"/>
        <v>4314.3</v>
      </c>
      <c r="F11" s="35">
        <f t="shared" si="0"/>
        <v>0</v>
      </c>
      <c r="G11" s="17">
        <f t="shared" si="0"/>
        <v>1095</v>
      </c>
      <c r="H11" s="35">
        <f t="shared" si="0"/>
        <v>0</v>
      </c>
      <c r="I11" s="17">
        <f t="shared" si="0"/>
        <v>1470.95</v>
      </c>
      <c r="J11" s="35">
        <f t="shared" si="0"/>
        <v>0</v>
      </c>
      <c r="K11" s="17">
        <f t="shared" si="0"/>
        <v>1095</v>
      </c>
      <c r="L11" s="35">
        <f t="shared" si="0"/>
        <v>0</v>
      </c>
      <c r="M11" s="17">
        <f t="shared" si="1"/>
        <v>1470.95</v>
      </c>
      <c r="N11" s="35"/>
      <c r="O11" s="93">
        <f t="shared" si="1"/>
        <v>600</v>
      </c>
      <c r="P11" s="93"/>
      <c r="Q11" s="93">
        <f t="shared" si="1"/>
        <v>233.6</v>
      </c>
      <c r="R11" s="775">
        <f t="shared" si="4"/>
        <v>0</v>
      </c>
      <c r="S11" s="17">
        <f t="shared" si="1"/>
        <v>0</v>
      </c>
      <c r="T11" s="19">
        <f t="shared" si="1"/>
        <v>0</v>
      </c>
      <c r="U11" s="19">
        <f t="shared" si="1"/>
        <v>0</v>
      </c>
      <c r="V11" s="688">
        <f t="shared" si="1"/>
        <v>0</v>
      </c>
      <c r="W11" s="19">
        <f t="shared" si="1"/>
        <v>0</v>
      </c>
      <c r="X11" s="19">
        <f t="shared" si="1"/>
        <v>0</v>
      </c>
      <c r="Y11" s="19">
        <f t="shared" si="1"/>
        <v>0</v>
      </c>
      <c r="Z11" s="17">
        <f t="shared" si="1"/>
        <v>2847</v>
      </c>
      <c r="AA11" s="35">
        <f t="shared" si="1"/>
        <v>3796</v>
      </c>
      <c r="AB11" s="17">
        <f t="shared" si="1"/>
        <v>82052</v>
      </c>
      <c r="AC11" s="19">
        <f t="shared" si="1"/>
        <v>3285</v>
      </c>
      <c r="AD11" s="61">
        <f t="shared" si="1"/>
        <v>0.3</v>
      </c>
      <c r="AE11" s="17">
        <f t="shared" si="1"/>
        <v>31755</v>
      </c>
      <c r="AF11" s="63">
        <f t="shared" si="3"/>
        <v>0.3</v>
      </c>
      <c r="AG11" s="17">
        <f t="shared" si="3"/>
        <v>1127.8499999999999</v>
      </c>
      <c r="AH11" s="19">
        <f t="shared" si="3"/>
        <v>2255.6999999999998</v>
      </c>
      <c r="AI11" s="35">
        <f t="shared" si="3"/>
        <v>375.95</v>
      </c>
      <c r="AJ11" s="102">
        <f t="shared" si="3"/>
        <v>0.5</v>
      </c>
      <c r="AK11" s="93">
        <f t="shared" si="3"/>
        <v>0</v>
      </c>
      <c r="AL11" s="709">
        <f t="shared" si="3"/>
        <v>25</v>
      </c>
      <c r="AM11" s="709"/>
    </row>
    <row r="12" spans="1:39" x14ac:dyDescent="0.25">
      <c r="A12" s="163">
        <v>38169</v>
      </c>
      <c r="B12" s="164">
        <v>38533</v>
      </c>
      <c r="C12" s="17">
        <f t="shared" si="0"/>
        <v>3482.1</v>
      </c>
      <c r="D12" s="35">
        <f t="shared" si="0"/>
        <v>0</v>
      </c>
      <c r="E12" s="17">
        <f t="shared" si="0"/>
        <v>4416.5</v>
      </c>
      <c r="F12" s="35">
        <f t="shared" si="0"/>
        <v>0</v>
      </c>
      <c r="G12" s="17">
        <f t="shared" si="0"/>
        <v>1120.55</v>
      </c>
      <c r="H12" s="35">
        <f t="shared" si="0"/>
        <v>0</v>
      </c>
      <c r="I12" s="17">
        <f t="shared" si="0"/>
        <v>1507.45</v>
      </c>
      <c r="J12" s="35">
        <f t="shared" si="0"/>
        <v>0</v>
      </c>
      <c r="K12" s="17">
        <f t="shared" si="0"/>
        <v>1120.55</v>
      </c>
      <c r="L12" s="35">
        <f t="shared" si="0"/>
        <v>0</v>
      </c>
      <c r="M12" s="17">
        <f t="shared" si="1"/>
        <v>1507.45</v>
      </c>
      <c r="N12" s="35"/>
      <c r="O12" s="93">
        <f t="shared" si="1"/>
        <v>613.20000000000005</v>
      </c>
      <c r="P12" s="93"/>
      <c r="Q12" s="93">
        <f t="shared" si="1"/>
        <v>240.9</v>
      </c>
      <c r="R12" s="775">
        <f t="shared" si="4"/>
        <v>0</v>
      </c>
      <c r="S12" s="17">
        <f t="shared" si="1"/>
        <v>0</v>
      </c>
      <c r="T12" s="19">
        <f t="shared" si="1"/>
        <v>0</v>
      </c>
      <c r="U12" s="19">
        <f t="shared" si="1"/>
        <v>0</v>
      </c>
      <c r="V12" s="688">
        <f t="shared" si="1"/>
        <v>0</v>
      </c>
      <c r="W12" s="19">
        <f t="shared" si="1"/>
        <v>0</v>
      </c>
      <c r="X12" s="19">
        <f t="shared" si="1"/>
        <v>0</v>
      </c>
      <c r="Y12" s="19">
        <f t="shared" si="1"/>
        <v>0</v>
      </c>
      <c r="Z12" s="17">
        <f t="shared" si="1"/>
        <v>2916.35</v>
      </c>
      <c r="AA12" s="35">
        <f t="shared" si="1"/>
        <v>3887.25</v>
      </c>
      <c r="AB12" s="17">
        <f t="shared" si="1"/>
        <v>84023</v>
      </c>
      <c r="AC12" s="19">
        <f t="shared" si="1"/>
        <v>3358</v>
      </c>
      <c r="AD12" s="61">
        <f t="shared" si="1"/>
        <v>0.3</v>
      </c>
      <c r="AE12" s="17">
        <f t="shared" si="1"/>
        <v>32485</v>
      </c>
      <c r="AF12" s="63">
        <f t="shared" si="3"/>
        <v>0.2</v>
      </c>
      <c r="AG12" s="17">
        <f t="shared" si="3"/>
        <v>1149.75</v>
      </c>
      <c r="AH12" s="19">
        <f t="shared" si="3"/>
        <v>2299.5</v>
      </c>
      <c r="AI12" s="35">
        <f t="shared" si="3"/>
        <v>383.25</v>
      </c>
      <c r="AJ12" s="102">
        <f t="shared" si="3"/>
        <v>0.5</v>
      </c>
      <c r="AK12" s="93">
        <f t="shared" si="3"/>
        <v>0</v>
      </c>
      <c r="AL12" s="709">
        <f t="shared" si="3"/>
        <v>25</v>
      </c>
      <c r="AM12" s="709"/>
    </row>
    <row r="13" spans="1:39" x14ac:dyDescent="0.25">
      <c r="A13" s="163">
        <v>38534</v>
      </c>
      <c r="B13" s="164">
        <v>38898</v>
      </c>
      <c r="C13" s="17">
        <f t="shared" si="0"/>
        <v>3573.35</v>
      </c>
      <c r="D13" s="35">
        <f t="shared" si="0"/>
        <v>0</v>
      </c>
      <c r="E13" s="17">
        <f t="shared" si="0"/>
        <v>4529.6499999999996</v>
      </c>
      <c r="F13" s="35">
        <f t="shared" si="0"/>
        <v>0</v>
      </c>
      <c r="G13" s="17">
        <f t="shared" si="0"/>
        <v>1149.75</v>
      </c>
      <c r="H13" s="35">
        <f t="shared" si="0"/>
        <v>0</v>
      </c>
      <c r="I13" s="17">
        <f t="shared" si="0"/>
        <v>1547.6</v>
      </c>
      <c r="J13" s="35">
        <f t="shared" si="0"/>
        <v>0</v>
      </c>
      <c r="K13" s="17">
        <f t="shared" si="0"/>
        <v>1149.75</v>
      </c>
      <c r="L13" s="35">
        <f t="shared" si="0"/>
        <v>0</v>
      </c>
      <c r="M13" s="17">
        <f t="shared" si="1"/>
        <v>1547.6</v>
      </c>
      <c r="N13" s="35"/>
      <c r="O13" s="93">
        <f t="shared" si="1"/>
        <v>627.79999999999995</v>
      </c>
      <c r="P13" s="93"/>
      <c r="Q13" s="93">
        <f t="shared" si="1"/>
        <v>248.2</v>
      </c>
      <c r="R13" s="775">
        <f t="shared" si="4"/>
        <v>0</v>
      </c>
      <c r="S13" s="17">
        <f t="shared" si="1"/>
        <v>0</v>
      </c>
      <c r="T13" s="19">
        <f t="shared" si="1"/>
        <v>0</v>
      </c>
      <c r="U13" s="19">
        <f t="shared" si="1"/>
        <v>0</v>
      </c>
      <c r="V13" s="688">
        <f t="shared" si="1"/>
        <v>0</v>
      </c>
      <c r="W13" s="19">
        <f t="shared" si="1"/>
        <v>0</v>
      </c>
      <c r="X13" s="19">
        <f t="shared" si="1"/>
        <v>0</v>
      </c>
      <c r="Y13" s="19">
        <f t="shared" si="1"/>
        <v>0</v>
      </c>
      <c r="Z13" s="17">
        <f t="shared" si="1"/>
        <v>2993</v>
      </c>
      <c r="AA13" s="35">
        <f t="shared" si="1"/>
        <v>3989.45</v>
      </c>
      <c r="AB13" s="17">
        <f t="shared" si="1"/>
        <v>86213</v>
      </c>
      <c r="AC13" s="19">
        <f t="shared" si="1"/>
        <v>3431</v>
      </c>
      <c r="AD13" s="61">
        <f t="shared" si="1"/>
        <v>0.3</v>
      </c>
      <c r="AE13" s="17">
        <f t="shared" si="1"/>
        <v>33361</v>
      </c>
      <c r="AF13" s="63">
        <f t="shared" si="3"/>
        <v>0.2</v>
      </c>
      <c r="AG13" s="17">
        <f t="shared" si="3"/>
        <v>1182.5999999999999</v>
      </c>
      <c r="AH13" s="19">
        <f t="shared" si="3"/>
        <v>2365.1999999999998</v>
      </c>
      <c r="AI13" s="35">
        <f t="shared" si="3"/>
        <v>394.2</v>
      </c>
      <c r="AJ13" s="102">
        <f t="shared" si="3"/>
        <v>0.5</v>
      </c>
      <c r="AK13" s="93">
        <f t="shared" si="3"/>
        <v>11233</v>
      </c>
      <c r="AL13" s="709">
        <f t="shared" si="3"/>
        <v>25</v>
      </c>
      <c r="AM13" s="709"/>
    </row>
    <row r="14" spans="1:39" x14ac:dyDescent="0.25">
      <c r="A14" s="163">
        <v>38899</v>
      </c>
      <c r="B14" s="164">
        <v>39263</v>
      </c>
      <c r="C14" s="17">
        <f t="shared" si="0"/>
        <v>3671.9</v>
      </c>
      <c r="D14" s="35">
        <f t="shared" si="0"/>
        <v>0</v>
      </c>
      <c r="E14" s="17">
        <f t="shared" si="0"/>
        <v>4686.6000000000004</v>
      </c>
      <c r="F14" s="35">
        <f t="shared" si="0"/>
        <v>0</v>
      </c>
      <c r="G14" s="17">
        <f t="shared" si="0"/>
        <v>1182.5999999999999</v>
      </c>
      <c r="H14" s="35">
        <f t="shared" si="0"/>
        <v>0</v>
      </c>
      <c r="I14" s="17">
        <f t="shared" si="0"/>
        <v>1591.4</v>
      </c>
      <c r="J14" s="35">
        <f t="shared" si="0"/>
        <v>0</v>
      </c>
      <c r="K14" s="17">
        <f t="shared" si="0"/>
        <v>1182.5999999999999</v>
      </c>
      <c r="L14" s="35">
        <f t="shared" si="0"/>
        <v>0</v>
      </c>
      <c r="M14" s="17">
        <f t="shared" si="1"/>
        <v>1591.4</v>
      </c>
      <c r="N14" s="35"/>
      <c r="O14" s="93">
        <f t="shared" si="1"/>
        <v>646.04999999999995</v>
      </c>
      <c r="P14" s="93"/>
      <c r="Q14" s="93">
        <f t="shared" si="1"/>
        <v>255.5</v>
      </c>
      <c r="R14" s="775">
        <f t="shared" si="4"/>
        <v>0</v>
      </c>
      <c r="S14" s="17">
        <f t="shared" si="1"/>
        <v>0</v>
      </c>
      <c r="T14" s="19">
        <f t="shared" si="1"/>
        <v>0</v>
      </c>
      <c r="U14" s="19">
        <f t="shared" si="1"/>
        <v>0</v>
      </c>
      <c r="V14" s="688">
        <f t="shared" si="1"/>
        <v>0</v>
      </c>
      <c r="W14" s="19">
        <f t="shared" si="1"/>
        <v>0</v>
      </c>
      <c r="X14" s="19">
        <f t="shared" si="1"/>
        <v>0</v>
      </c>
      <c r="Y14" s="19">
        <f t="shared" si="1"/>
        <v>0</v>
      </c>
      <c r="Z14" s="17">
        <f t="shared" si="1"/>
        <v>3076.95</v>
      </c>
      <c r="AA14" s="35">
        <f t="shared" si="1"/>
        <v>4102.6000000000004</v>
      </c>
      <c r="AB14" s="17">
        <f t="shared" si="1"/>
        <v>88622</v>
      </c>
      <c r="AC14" s="19">
        <f t="shared" si="1"/>
        <v>3504</v>
      </c>
      <c r="AD14" s="61">
        <f t="shared" si="1"/>
        <v>0.3</v>
      </c>
      <c r="AE14" s="17">
        <f t="shared" si="1"/>
        <v>40000</v>
      </c>
      <c r="AF14" s="63">
        <f t="shared" si="3"/>
        <v>0.2</v>
      </c>
      <c r="AG14" s="17">
        <f t="shared" si="3"/>
        <v>1215.45</v>
      </c>
      <c r="AH14" s="19">
        <f t="shared" si="3"/>
        <v>2430.9</v>
      </c>
      <c r="AI14" s="35">
        <f t="shared" si="3"/>
        <v>405.15</v>
      </c>
      <c r="AJ14" s="102">
        <f t="shared" si="3"/>
        <v>0.5</v>
      </c>
      <c r="AK14" s="93">
        <f t="shared" si="3"/>
        <v>11548</v>
      </c>
      <c r="AL14" s="709">
        <f t="shared" si="3"/>
        <v>25</v>
      </c>
      <c r="AM14" s="709"/>
    </row>
    <row r="15" spans="1:39" x14ac:dyDescent="0.25">
      <c r="A15" s="163">
        <v>39264</v>
      </c>
      <c r="B15" s="164">
        <v>39629</v>
      </c>
      <c r="C15" s="17">
        <f t="shared" si="0"/>
        <v>3792.35</v>
      </c>
      <c r="D15" s="35">
        <f t="shared" si="0"/>
        <v>0</v>
      </c>
      <c r="E15" s="17">
        <f t="shared" si="0"/>
        <v>4927.5</v>
      </c>
      <c r="F15" s="35">
        <f t="shared" si="0"/>
        <v>0</v>
      </c>
      <c r="G15" s="17">
        <f t="shared" si="0"/>
        <v>1222.75</v>
      </c>
      <c r="H15" s="35">
        <f t="shared" si="0"/>
        <v>0</v>
      </c>
      <c r="I15" s="17">
        <f t="shared" si="0"/>
        <v>1642.5</v>
      </c>
      <c r="J15" s="35">
        <f t="shared" si="0"/>
        <v>0</v>
      </c>
      <c r="K15" s="17">
        <f t="shared" si="0"/>
        <v>1222.75</v>
      </c>
      <c r="L15" s="35">
        <f t="shared" si="0"/>
        <v>0</v>
      </c>
      <c r="M15" s="17">
        <f t="shared" si="1"/>
        <v>1642.5</v>
      </c>
      <c r="N15" s="35"/>
      <c r="O15" s="93">
        <f t="shared" si="1"/>
        <v>667.95</v>
      </c>
      <c r="P15" s="93"/>
      <c r="Q15" s="93">
        <f t="shared" si="1"/>
        <v>262.8</v>
      </c>
      <c r="R15" s="775">
        <f t="shared" si="4"/>
        <v>0</v>
      </c>
      <c r="S15" s="17">
        <f t="shared" si="1"/>
        <v>0</v>
      </c>
      <c r="T15" s="19">
        <f t="shared" si="1"/>
        <v>0</v>
      </c>
      <c r="U15" s="19">
        <f t="shared" si="1"/>
        <v>0</v>
      </c>
      <c r="V15" s="688">
        <f t="shared" si="1"/>
        <v>0</v>
      </c>
      <c r="W15" s="19">
        <f t="shared" si="1"/>
        <v>0</v>
      </c>
      <c r="X15" s="19">
        <f t="shared" si="1"/>
        <v>0</v>
      </c>
      <c r="Y15" s="19">
        <f t="shared" si="1"/>
        <v>0</v>
      </c>
      <c r="Z15" s="17">
        <f t="shared" si="1"/>
        <v>3179.15</v>
      </c>
      <c r="AA15" s="35">
        <f t="shared" si="1"/>
        <v>4237.6499999999996</v>
      </c>
      <c r="AB15" s="17">
        <f t="shared" si="1"/>
        <v>91542</v>
      </c>
      <c r="AC15" s="19">
        <f t="shared" si="1"/>
        <v>3650</v>
      </c>
      <c r="AD15" s="61">
        <f t="shared" si="1"/>
        <v>0.3</v>
      </c>
      <c r="AE15" s="17">
        <f t="shared" si="1"/>
        <v>41318</v>
      </c>
      <c r="AF15" s="63">
        <f t="shared" si="3"/>
        <v>0.2</v>
      </c>
      <c r="AG15" s="17">
        <f t="shared" si="3"/>
        <v>1259.25</v>
      </c>
      <c r="AH15" s="19">
        <f t="shared" si="3"/>
        <v>2518.5</v>
      </c>
      <c r="AI15" s="35">
        <f t="shared" si="3"/>
        <v>419.75</v>
      </c>
      <c r="AJ15" s="102">
        <f t="shared" si="3"/>
        <v>0.5</v>
      </c>
      <c r="AK15" s="93">
        <f t="shared" si="3"/>
        <v>11929</v>
      </c>
      <c r="AL15" s="709">
        <f t="shared" si="3"/>
        <v>25</v>
      </c>
      <c r="AM15" s="709"/>
    </row>
    <row r="16" spans="1:39" x14ac:dyDescent="0.25">
      <c r="A16" s="163">
        <v>39630</v>
      </c>
      <c r="B16" s="164">
        <v>39994</v>
      </c>
      <c r="C16" s="17">
        <f t="shared" si="0"/>
        <v>3945.65</v>
      </c>
      <c r="D16" s="35">
        <f t="shared" si="0"/>
        <v>0</v>
      </c>
      <c r="E16" s="17">
        <f t="shared" si="0"/>
        <v>5131.8999999999996</v>
      </c>
      <c r="F16" s="35">
        <f t="shared" si="0"/>
        <v>0</v>
      </c>
      <c r="G16" s="17">
        <f t="shared" si="0"/>
        <v>1259.25</v>
      </c>
      <c r="H16" s="35">
        <f t="shared" si="0"/>
        <v>0</v>
      </c>
      <c r="I16" s="17">
        <f t="shared" si="0"/>
        <v>1693.6</v>
      </c>
      <c r="J16" s="35">
        <f t="shared" si="0"/>
        <v>0</v>
      </c>
      <c r="K16" s="17">
        <f t="shared" si="0"/>
        <v>1259.25</v>
      </c>
      <c r="L16" s="35">
        <f t="shared" si="0"/>
        <v>0</v>
      </c>
      <c r="M16" s="17">
        <f t="shared" si="1"/>
        <v>1693.6</v>
      </c>
      <c r="N16" s="35"/>
      <c r="O16" s="93">
        <f t="shared" si="1"/>
        <v>686.2</v>
      </c>
      <c r="P16" s="93"/>
      <c r="Q16" s="93">
        <f t="shared" si="1"/>
        <v>270.10000000000002</v>
      </c>
      <c r="R16" s="775">
        <f t="shared" si="4"/>
        <v>0</v>
      </c>
      <c r="S16" s="17">
        <f t="shared" si="1"/>
        <v>0</v>
      </c>
      <c r="T16" s="19">
        <f t="shared" si="1"/>
        <v>0</v>
      </c>
      <c r="U16" s="19">
        <f t="shared" si="1"/>
        <v>0</v>
      </c>
      <c r="V16" s="688">
        <f t="shared" si="1"/>
        <v>0</v>
      </c>
      <c r="W16" s="19">
        <f t="shared" si="1"/>
        <v>0</v>
      </c>
      <c r="X16" s="19">
        <f t="shared" si="1"/>
        <v>0</v>
      </c>
      <c r="Y16" s="19">
        <f t="shared" si="1"/>
        <v>0</v>
      </c>
      <c r="Z16" s="17">
        <f t="shared" si="1"/>
        <v>3274.05</v>
      </c>
      <c r="AA16" s="35">
        <f t="shared" si="1"/>
        <v>4365.3999999999996</v>
      </c>
      <c r="AB16" s="17">
        <f t="shared" si="1"/>
        <v>94316</v>
      </c>
      <c r="AC16" s="19">
        <f t="shared" si="1"/>
        <v>3796</v>
      </c>
      <c r="AD16" s="61">
        <f t="shared" si="1"/>
        <v>0.3</v>
      </c>
      <c r="AE16" s="17">
        <f t="shared" si="1"/>
        <v>42559</v>
      </c>
      <c r="AF16" s="63">
        <f t="shared" si="3"/>
        <v>0.2</v>
      </c>
      <c r="AG16" s="17">
        <f t="shared" si="3"/>
        <v>1292.0999999999999</v>
      </c>
      <c r="AH16" s="19">
        <f t="shared" si="3"/>
        <v>2584.1999999999998</v>
      </c>
      <c r="AI16" s="35">
        <f t="shared" si="3"/>
        <v>430.7</v>
      </c>
      <c r="AJ16" s="102">
        <f t="shared" si="3"/>
        <v>0.5</v>
      </c>
      <c r="AK16" s="93">
        <f t="shared" si="3"/>
        <v>12287</v>
      </c>
      <c r="AL16" s="709">
        <f t="shared" si="3"/>
        <v>25</v>
      </c>
      <c r="AM16" s="709"/>
    </row>
    <row r="17" spans="1:39" x14ac:dyDescent="0.25">
      <c r="A17" s="163">
        <v>39995</v>
      </c>
      <c r="B17" s="164">
        <v>40359</v>
      </c>
      <c r="C17" s="17">
        <f t="shared" si="0"/>
        <v>4091.65</v>
      </c>
      <c r="D17" s="35">
        <f t="shared" si="0"/>
        <v>0</v>
      </c>
      <c r="E17" s="17">
        <f t="shared" si="0"/>
        <v>5321.7</v>
      </c>
      <c r="F17" s="35">
        <f t="shared" si="0"/>
        <v>0</v>
      </c>
      <c r="G17" s="17">
        <f t="shared" si="0"/>
        <v>1306.7</v>
      </c>
      <c r="H17" s="35">
        <f t="shared" si="0"/>
        <v>0</v>
      </c>
      <c r="I17" s="17">
        <f t="shared" si="0"/>
        <v>1755.65</v>
      </c>
      <c r="J17" s="35">
        <f t="shared" si="0"/>
        <v>0</v>
      </c>
      <c r="K17" s="17">
        <f t="shared" si="0"/>
        <v>1306.7</v>
      </c>
      <c r="L17" s="35">
        <f t="shared" si="0"/>
        <v>0</v>
      </c>
      <c r="M17" s="17">
        <f t="shared" si="1"/>
        <v>1755.65</v>
      </c>
      <c r="N17" s="35"/>
      <c r="O17" s="93">
        <f t="shared" si="1"/>
        <v>711.75</v>
      </c>
      <c r="P17" s="93"/>
      <c r="Q17" s="93">
        <f t="shared" si="1"/>
        <v>281.05</v>
      </c>
      <c r="R17" s="775">
        <f t="shared" si="4"/>
        <v>0</v>
      </c>
      <c r="S17" s="17">
        <f t="shared" si="1"/>
        <v>0</v>
      </c>
      <c r="T17" s="19">
        <f t="shared" si="1"/>
        <v>0</v>
      </c>
      <c r="U17" s="19">
        <f t="shared" si="1"/>
        <v>0</v>
      </c>
      <c r="V17" s="688">
        <f t="shared" si="1"/>
        <v>0</v>
      </c>
      <c r="W17" s="19">
        <f t="shared" si="1"/>
        <v>0</v>
      </c>
      <c r="X17" s="19">
        <f t="shared" si="1"/>
        <v>0</v>
      </c>
      <c r="Y17" s="19">
        <f t="shared" si="1"/>
        <v>0</v>
      </c>
      <c r="Z17" s="17">
        <f t="shared" si="1"/>
        <v>3394.5</v>
      </c>
      <c r="AA17" s="35">
        <f t="shared" si="1"/>
        <v>4526</v>
      </c>
      <c r="AB17" s="17">
        <f t="shared" si="1"/>
        <v>94316</v>
      </c>
      <c r="AC17" s="19">
        <f t="shared" si="1"/>
        <v>3796</v>
      </c>
      <c r="AD17" s="61">
        <f t="shared" si="1"/>
        <v>0.3</v>
      </c>
      <c r="AE17" s="17">
        <f t="shared" si="1"/>
        <v>44165</v>
      </c>
      <c r="AF17" s="63">
        <f t="shared" si="3"/>
        <v>0.2</v>
      </c>
      <c r="AG17" s="17">
        <f t="shared" si="3"/>
        <v>1335.9</v>
      </c>
      <c r="AH17" s="19">
        <f t="shared" si="3"/>
        <v>2671.8</v>
      </c>
      <c r="AI17" s="35">
        <f t="shared" si="3"/>
        <v>445.3</v>
      </c>
      <c r="AJ17" s="102">
        <f t="shared" si="3"/>
        <v>0.5</v>
      </c>
      <c r="AK17" s="93">
        <f t="shared" si="3"/>
        <v>12742</v>
      </c>
      <c r="AL17" s="709">
        <f t="shared" si="3"/>
        <v>25</v>
      </c>
      <c r="AM17" s="709"/>
    </row>
    <row r="18" spans="1:39" x14ac:dyDescent="0.25">
      <c r="A18" s="163">
        <v>40360</v>
      </c>
      <c r="B18" s="164">
        <v>40724</v>
      </c>
      <c r="C18" s="17">
        <f t="shared" ref="C18:L28" si="5">AnnualAverage($A18,C$7,FTBAParms,FTBADates,FTBANames)</f>
        <v>4179.25</v>
      </c>
      <c r="D18" s="35">
        <f t="shared" si="5"/>
        <v>0</v>
      </c>
      <c r="E18" s="17">
        <f t="shared" si="5"/>
        <v>5434.85</v>
      </c>
      <c r="F18" s="35">
        <f t="shared" si="5"/>
        <v>0</v>
      </c>
      <c r="G18" s="17">
        <f t="shared" si="5"/>
        <v>1335.9</v>
      </c>
      <c r="H18" s="35">
        <f t="shared" si="5"/>
        <v>0</v>
      </c>
      <c r="I18" s="17">
        <f t="shared" si="5"/>
        <v>1792.15</v>
      </c>
      <c r="J18" s="35">
        <f t="shared" si="5"/>
        <v>0</v>
      </c>
      <c r="K18" s="17">
        <f t="shared" si="5"/>
        <v>1335.9</v>
      </c>
      <c r="L18" s="35">
        <f t="shared" si="0"/>
        <v>0</v>
      </c>
      <c r="M18" s="17">
        <f t="shared" ref="M18:AE28" si="6">AnnualAverage($A18,M$7,FTBAParms,FTBADates,FTBANames)</f>
        <v>1792.15</v>
      </c>
      <c r="N18" s="35"/>
      <c r="O18" s="93">
        <f t="shared" si="6"/>
        <v>726.35</v>
      </c>
      <c r="P18" s="93"/>
      <c r="Q18" s="93">
        <f t="shared" si="6"/>
        <v>288.35000000000002</v>
      </c>
      <c r="R18" s="775">
        <f t="shared" si="4"/>
        <v>0</v>
      </c>
      <c r="S18" s="17">
        <f t="shared" si="1"/>
        <v>0</v>
      </c>
      <c r="T18" s="19">
        <f t="shared" si="1"/>
        <v>0</v>
      </c>
      <c r="U18" s="19">
        <f t="shared" si="1"/>
        <v>0</v>
      </c>
      <c r="V18" s="688">
        <f t="shared" si="1"/>
        <v>0</v>
      </c>
      <c r="W18" s="19">
        <f t="shared" si="1"/>
        <v>0</v>
      </c>
      <c r="X18" s="19">
        <f t="shared" si="1"/>
        <v>0</v>
      </c>
      <c r="Y18" s="19">
        <f t="shared" si="1"/>
        <v>0</v>
      </c>
      <c r="Z18" s="17">
        <f t="shared" si="6"/>
        <v>3467.5</v>
      </c>
      <c r="AA18" s="35">
        <f t="shared" si="6"/>
        <v>4620.8999999999996</v>
      </c>
      <c r="AB18" s="17">
        <f t="shared" si="6"/>
        <v>94316</v>
      </c>
      <c r="AC18" s="19">
        <f t="shared" si="6"/>
        <v>3796</v>
      </c>
      <c r="AD18" s="61">
        <f t="shared" si="6"/>
        <v>0.3</v>
      </c>
      <c r="AE18" s="17">
        <f t="shared" si="6"/>
        <v>45114</v>
      </c>
      <c r="AF18" s="63">
        <f t="shared" ref="AF18:AM28" si="7">AnnualAverage($A18,AF$7,FTBAParms,FTBADates,FTBANames)</f>
        <v>0.2</v>
      </c>
      <c r="AG18" s="17">
        <f t="shared" si="7"/>
        <v>1368.75</v>
      </c>
      <c r="AH18" s="19">
        <f t="shared" si="7"/>
        <v>2737.5</v>
      </c>
      <c r="AI18" s="35">
        <f t="shared" si="7"/>
        <v>456.25</v>
      </c>
      <c r="AJ18" s="102">
        <f t="shared" si="7"/>
        <v>0.5</v>
      </c>
      <c r="AK18" s="93">
        <f t="shared" si="7"/>
        <v>13010</v>
      </c>
      <c r="AL18" s="709">
        <f t="shared" si="7"/>
        <v>25</v>
      </c>
      <c r="AM18" s="709"/>
    </row>
    <row r="19" spans="1:39" x14ac:dyDescent="0.25">
      <c r="A19" s="163">
        <v>40725</v>
      </c>
      <c r="B19" s="164">
        <v>41090</v>
      </c>
      <c r="C19" s="17">
        <f t="shared" si="5"/>
        <v>4292.3999999999996</v>
      </c>
      <c r="D19" s="35">
        <f t="shared" si="5"/>
        <v>0</v>
      </c>
      <c r="E19" s="17">
        <f t="shared" si="5"/>
        <v>5580.85</v>
      </c>
      <c r="F19" s="35">
        <f t="shared" si="5"/>
        <v>0</v>
      </c>
      <c r="G19" s="17">
        <f t="shared" si="5"/>
        <v>1372.4</v>
      </c>
      <c r="H19" s="35">
        <f t="shared" si="5"/>
        <v>0</v>
      </c>
      <c r="I19" s="17">
        <f t="shared" si="5"/>
        <v>1839.6</v>
      </c>
      <c r="J19" s="35">
        <f t="shared" si="5"/>
        <v>0</v>
      </c>
      <c r="K19" s="17">
        <f t="shared" si="5"/>
        <v>1372.4</v>
      </c>
      <c r="L19" s="35">
        <f t="shared" si="0"/>
        <v>0</v>
      </c>
      <c r="M19" s="17">
        <f t="shared" si="6"/>
        <v>1839.6</v>
      </c>
      <c r="N19" s="35"/>
      <c r="O19" s="93">
        <f t="shared" si="6"/>
        <v>726.35</v>
      </c>
      <c r="P19" s="93"/>
      <c r="Q19" s="93">
        <f t="shared" si="6"/>
        <v>295.64999999999998</v>
      </c>
      <c r="R19" s="775">
        <f t="shared" si="4"/>
        <v>0</v>
      </c>
      <c r="S19" s="17">
        <f t="shared" si="1"/>
        <v>0</v>
      </c>
      <c r="T19" s="19">
        <f t="shared" si="1"/>
        <v>0</v>
      </c>
      <c r="U19" s="19">
        <f t="shared" si="1"/>
        <v>0</v>
      </c>
      <c r="V19" s="688">
        <f t="shared" si="1"/>
        <v>0</v>
      </c>
      <c r="W19" s="19">
        <f t="shared" si="1"/>
        <v>0</v>
      </c>
      <c r="X19" s="19">
        <f t="shared" si="1"/>
        <v>0</v>
      </c>
      <c r="Y19" s="19">
        <f t="shared" si="1"/>
        <v>0</v>
      </c>
      <c r="Z19" s="17">
        <f t="shared" si="6"/>
        <v>3562.4</v>
      </c>
      <c r="AA19" s="35">
        <f t="shared" si="6"/>
        <v>4745</v>
      </c>
      <c r="AB19" s="17">
        <f t="shared" si="6"/>
        <v>94316</v>
      </c>
      <c r="AC19" s="19">
        <f t="shared" si="6"/>
        <v>3796</v>
      </c>
      <c r="AD19" s="61">
        <f t="shared" si="6"/>
        <v>0.3</v>
      </c>
      <c r="AE19" s="17">
        <f t="shared" si="6"/>
        <v>46355</v>
      </c>
      <c r="AF19" s="63">
        <f t="shared" si="7"/>
        <v>0.2</v>
      </c>
      <c r="AG19" s="17">
        <f t="shared" si="7"/>
        <v>1401.6</v>
      </c>
      <c r="AH19" s="19">
        <f t="shared" si="7"/>
        <v>2803.2</v>
      </c>
      <c r="AI19" s="35">
        <f t="shared" si="7"/>
        <v>467.2</v>
      </c>
      <c r="AJ19" s="102">
        <f t="shared" si="7"/>
        <v>0.5</v>
      </c>
      <c r="AK19" s="93">
        <f t="shared" si="7"/>
        <v>13361</v>
      </c>
      <c r="AL19" s="707">
        <f t="shared" si="7"/>
        <v>23.5</v>
      </c>
      <c r="AM19" s="709"/>
    </row>
    <row r="20" spans="1:39" s="5" customFormat="1" x14ac:dyDescent="0.25">
      <c r="A20" s="496">
        <v>41091</v>
      </c>
      <c r="B20" s="497">
        <v>41455</v>
      </c>
      <c r="C20" s="375">
        <f t="shared" si="5"/>
        <v>4423.8</v>
      </c>
      <c r="D20" s="374">
        <f t="shared" si="5"/>
        <v>0</v>
      </c>
      <c r="E20" s="375">
        <f t="shared" si="5"/>
        <v>5752.4</v>
      </c>
      <c r="F20" s="374">
        <f t="shared" si="5"/>
        <v>0</v>
      </c>
      <c r="G20" s="375">
        <f t="shared" si="5"/>
        <v>1416.2</v>
      </c>
      <c r="H20" s="374">
        <f t="shared" si="5"/>
        <v>0</v>
      </c>
      <c r="I20" s="375">
        <f t="shared" si="5"/>
        <v>949</v>
      </c>
      <c r="J20" s="374">
        <f t="shared" si="5"/>
        <v>0</v>
      </c>
      <c r="K20" s="375">
        <f t="shared" si="5"/>
        <v>1416.2</v>
      </c>
      <c r="L20" s="374">
        <f t="shared" si="0"/>
        <v>0</v>
      </c>
      <c r="M20" s="375">
        <f t="shared" si="6"/>
        <v>949</v>
      </c>
      <c r="N20" s="374"/>
      <c r="O20" s="373">
        <f t="shared" si="6"/>
        <v>726.35</v>
      </c>
      <c r="P20" s="373"/>
      <c r="Q20" s="373">
        <f t="shared" si="6"/>
        <v>306.60000000000002</v>
      </c>
      <c r="R20" s="776">
        <f>3</f>
        <v>3</v>
      </c>
      <c r="S20" s="375">
        <f t="shared" si="1"/>
        <v>0</v>
      </c>
      <c r="T20" s="242">
        <f t="shared" si="1"/>
        <v>0</v>
      </c>
      <c r="U20" s="242">
        <f t="shared" si="1"/>
        <v>0</v>
      </c>
      <c r="V20" s="689">
        <f t="shared" si="1"/>
        <v>0</v>
      </c>
      <c r="W20" s="242">
        <f t="shared" si="1"/>
        <v>0</v>
      </c>
      <c r="X20" s="242">
        <f t="shared" si="1"/>
        <v>0</v>
      </c>
      <c r="Y20" s="242">
        <f t="shared" si="1"/>
        <v>0</v>
      </c>
      <c r="Z20" s="375">
        <f t="shared" si="6"/>
        <v>3671.9</v>
      </c>
      <c r="AA20" s="374">
        <f t="shared" si="6"/>
        <v>4891</v>
      </c>
      <c r="AB20" s="375">
        <f t="shared" si="6"/>
        <v>94316</v>
      </c>
      <c r="AC20" s="242">
        <f t="shared" si="6"/>
        <v>3796</v>
      </c>
      <c r="AD20" s="377">
        <f t="shared" si="6"/>
        <v>0.3</v>
      </c>
      <c r="AE20" s="375">
        <f t="shared" si="6"/>
        <v>47815</v>
      </c>
      <c r="AF20" s="404">
        <f t="shared" si="7"/>
        <v>0.2</v>
      </c>
      <c r="AG20" s="375">
        <f t="shared" si="7"/>
        <v>1445.4</v>
      </c>
      <c r="AH20" s="242">
        <f t="shared" si="7"/>
        <v>2890.8</v>
      </c>
      <c r="AI20" s="374">
        <f t="shared" si="7"/>
        <v>481.8</v>
      </c>
      <c r="AJ20" s="376">
        <f t="shared" si="7"/>
        <v>0.5</v>
      </c>
      <c r="AK20" s="373">
        <f t="shared" si="7"/>
        <v>13775</v>
      </c>
      <c r="AL20" s="711">
        <f t="shared" si="7"/>
        <v>20</v>
      </c>
      <c r="AM20" s="711">
        <f t="shared" si="7"/>
        <v>20</v>
      </c>
    </row>
    <row r="21" spans="1:39" s="5" customFormat="1" x14ac:dyDescent="0.25">
      <c r="A21" s="496">
        <v>41456</v>
      </c>
      <c r="B21" s="497">
        <v>41820</v>
      </c>
      <c r="C21" s="375">
        <f t="shared" si="5"/>
        <v>4489.5</v>
      </c>
      <c r="D21" s="374">
        <f t="shared" si="5"/>
        <v>87.6</v>
      </c>
      <c r="E21" s="375">
        <f t="shared" si="5"/>
        <v>5840</v>
      </c>
      <c r="F21" s="374">
        <f t="shared" si="5"/>
        <v>113.15</v>
      </c>
      <c r="G21" s="375">
        <f t="shared" si="5"/>
        <v>1438.1</v>
      </c>
      <c r="H21" s="374">
        <f t="shared" si="5"/>
        <v>25.55</v>
      </c>
      <c r="I21" s="375">
        <f t="shared" si="5"/>
        <v>0</v>
      </c>
      <c r="J21" s="374">
        <f t="shared" si="5"/>
        <v>0</v>
      </c>
      <c r="K21" s="375">
        <f t="shared" si="5"/>
        <v>1438.1</v>
      </c>
      <c r="L21" s="374">
        <f t="shared" si="0"/>
        <v>36.5</v>
      </c>
      <c r="M21" s="375">
        <f t="shared" si="6"/>
        <v>0</v>
      </c>
      <c r="N21" s="374"/>
      <c r="O21" s="373">
        <f t="shared" si="6"/>
        <v>726.35</v>
      </c>
      <c r="P21" s="373"/>
      <c r="Q21" s="373">
        <f t="shared" si="6"/>
        <v>313.89999999999998</v>
      </c>
      <c r="R21" s="776">
        <f t="shared" si="4"/>
        <v>3</v>
      </c>
      <c r="S21" s="375">
        <v>0</v>
      </c>
      <c r="T21" s="242">
        <v>0</v>
      </c>
      <c r="U21" s="242">
        <v>0</v>
      </c>
      <c r="V21" s="689">
        <v>0</v>
      </c>
      <c r="W21" s="242">
        <v>0</v>
      </c>
      <c r="X21" s="242">
        <v>0</v>
      </c>
      <c r="Y21" s="242">
        <v>0</v>
      </c>
      <c r="Z21" s="375">
        <f t="shared" si="6"/>
        <v>3752.2</v>
      </c>
      <c r="AA21" s="374">
        <f t="shared" si="6"/>
        <v>4996.8500000000004</v>
      </c>
      <c r="AB21" s="375">
        <f t="shared" si="6"/>
        <v>94316</v>
      </c>
      <c r="AC21" s="242">
        <f t="shared" si="6"/>
        <v>3796</v>
      </c>
      <c r="AD21" s="377">
        <f t="shared" si="6"/>
        <v>0.3</v>
      </c>
      <c r="AE21" s="375">
        <f t="shared" si="6"/>
        <v>48837</v>
      </c>
      <c r="AF21" s="404">
        <f t="shared" si="7"/>
        <v>0.2</v>
      </c>
      <c r="AG21" s="375">
        <f t="shared" si="7"/>
        <v>1478.25</v>
      </c>
      <c r="AH21" s="242">
        <f t="shared" si="7"/>
        <v>2956.5</v>
      </c>
      <c r="AI21" s="374">
        <f t="shared" si="7"/>
        <v>492.75</v>
      </c>
      <c r="AJ21" s="376">
        <f t="shared" si="7"/>
        <v>0.5</v>
      </c>
      <c r="AK21" s="373">
        <f t="shared" si="7"/>
        <v>14078</v>
      </c>
      <c r="AL21" s="708">
        <f t="shared" si="7"/>
        <v>17</v>
      </c>
      <c r="AM21" s="711">
        <f t="shared" si="7"/>
        <v>20</v>
      </c>
    </row>
    <row r="22" spans="1:39" s="5" customFormat="1" x14ac:dyDescent="0.25">
      <c r="A22" s="496">
        <v>41821</v>
      </c>
      <c r="B22" s="497">
        <v>42185</v>
      </c>
      <c r="C22" s="375">
        <f t="shared" si="5"/>
        <v>4609.95</v>
      </c>
      <c r="D22" s="374">
        <f t="shared" si="5"/>
        <v>91.25</v>
      </c>
      <c r="E22" s="375">
        <f t="shared" si="5"/>
        <v>5996.95</v>
      </c>
      <c r="F22" s="374">
        <f t="shared" si="5"/>
        <v>116.8</v>
      </c>
      <c r="G22" s="375">
        <f t="shared" si="5"/>
        <v>1478.25</v>
      </c>
      <c r="H22" s="374">
        <f t="shared" si="5"/>
        <v>25.55</v>
      </c>
      <c r="I22" s="375">
        <f t="shared" si="5"/>
        <v>0</v>
      </c>
      <c r="J22" s="374">
        <f t="shared" si="5"/>
        <v>0</v>
      </c>
      <c r="K22" s="375">
        <f t="shared" si="5"/>
        <v>1478.25</v>
      </c>
      <c r="L22" s="374">
        <f t="shared" si="0"/>
        <v>36.5</v>
      </c>
      <c r="M22" s="375">
        <f t="shared" si="6"/>
        <v>0</v>
      </c>
      <c r="N22" s="374"/>
      <c r="O22" s="373">
        <f t="shared" si="6"/>
        <v>726.35</v>
      </c>
      <c r="P22" s="373"/>
      <c r="Q22" s="373">
        <f t="shared" si="6"/>
        <v>321.2</v>
      </c>
      <c r="R22" s="776">
        <f t="shared" si="4"/>
        <v>3</v>
      </c>
      <c r="S22" s="375">
        <f t="shared" si="1"/>
        <v>1542.45</v>
      </c>
      <c r="T22" s="242">
        <f t="shared" si="1"/>
        <v>514.15</v>
      </c>
      <c r="U22" s="242">
        <f t="shared" si="1"/>
        <v>514</v>
      </c>
      <c r="V22" s="689">
        <f t="shared" si="1"/>
        <v>13</v>
      </c>
      <c r="W22" s="242">
        <f t="shared" si="1"/>
        <v>2056.4499999999998</v>
      </c>
      <c r="X22" s="242">
        <f t="shared" si="1"/>
        <v>1028.1500000000001</v>
      </c>
      <c r="Y22" s="242">
        <f t="shared" si="1"/>
        <v>60000</v>
      </c>
      <c r="Z22" s="375">
        <f t="shared" si="6"/>
        <v>3854.4</v>
      </c>
      <c r="AA22" s="374">
        <f t="shared" si="6"/>
        <v>5131.8999999999996</v>
      </c>
      <c r="AB22" s="375">
        <f t="shared" si="6"/>
        <v>94316</v>
      </c>
      <c r="AC22" s="242">
        <f t="shared" si="6"/>
        <v>3796</v>
      </c>
      <c r="AD22" s="377">
        <f t="shared" si="6"/>
        <v>0.3</v>
      </c>
      <c r="AE22" s="375">
        <f t="shared" si="6"/>
        <v>50151</v>
      </c>
      <c r="AF22" s="404">
        <f t="shared" si="7"/>
        <v>0.2</v>
      </c>
      <c r="AG22" s="375">
        <f t="shared" si="7"/>
        <v>1522.05</v>
      </c>
      <c r="AH22" s="242">
        <f t="shared" si="7"/>
        <v>3044.1</v>
      </c>
      <c r="AI22" s="374">
        <f t="shared" si="7"/>
        <v>507.35</v>
      </c>
      <c r="AJ22" s="376">
        <f t="shared" si="7"/>
        <v>0.5</v>
      </c>
      <c r="AK22" s="373">
        <f t="shared" si="7"/>
        <v>0</v>
      </c>
      <c r="AL22" s="711">
        <f t="shared" si="7"/>
        <v>16</v>
      </c>
      <c r="AM22" s="711">
        <f t="shared" si="7"/>
        <v>20</v>
      </c>
    </row>
    <row r="23" spans="1:39" x14ac:dyDescent="0.25">
      <c r="A23" s="496">
        <v>42186</v>
      </c>
      <c r="B23" s="497">
        <v>42551</v>
      </c>
      <c r="C23" s="375">
        <v>4686.6000000000004</v>
      </c>
      <c r="D23" s="374">
        <v>91.25</v>
      </c>
      <c r="E23" s="375">
        <v>6099.15</v>
      </c>
      <c r="F23" s="374">
        <v>116.8</v>
      </c>
      <c r="G23" s="375">
        <v>1503.8</v>
      </c>
      <c r="H23" s="374">
        <v>25.55</v>
      </c>
      <c r="I23" s="375">
        <f t="shared" si="5"/>
        <v>0</v>
      </c>
      <c r="J23" s="374">
        <f t="shared" si="5"/>
        <v>0</v>
      </c>
      <c r="K23" s="375">
        <v>1503.8</v>
      </c>
      <c r="L23" s="374">
        <v>36.5</v>
      </c>
      <c r="M23" s="375">
        <f t="shared" si="6"/>
        <v>0</v>
      </c>
      <c r="N23" s="374"/>
      <c r="O23" s="373">
        <v>726.35</v>
      </c>
      <c r="P23" s="373"/>
      <c r="Q23" s="373">
        <v>324.85000000000002</v>
      </c>
      <c r="R23" s="776">
        <v>4</v>
      </c>
      <c r="S23" s="375">
        <v>1568.84</v>
      </c>
      <c r="T23" s="242">
        <v>523.25</v>
      </c>
      <c r="U23" s="242">
        <v>523</v>
      </c>
      <c r="V23" s="689">
        <v>13</v>
      </c>
      <c r="W23" s="242">
        <v>2091.84</v>
      </c>
      <c r="X23" s="242">
        <v>1046.25</v>
      </c>
      <c r="Y23" s="242">
        <v>60000</v>
      </c>
      <c r="Z23" s="375">
        <f t="shared" si="6"/>
        <v>3920.1</v>
      </c>
      <c r="AA23" s="374">
        <f t="shared" si="6"/>
        <v>5219.5</v>
      </c>
      <c r="AB23" s="375">
        <f t="shared" si="6"/>
        <v>94316</v>
      </c>
      <c r="AC23" s="242">
        <f t="shared" si="6"/>
        <v>0</v>
      </c>
      <c r="AD23" s="377">
        <v>0.3</v>
      </c>
      <c r="AE23" s="375">
        <f t="shared" si="6"/>
        <v>51027</v>
      </c>
      <c r="AF23" s="404">
        <v>0.2</v>
      </c>
      <c r="AG23" s="375">
        <f t="shared" si="7"/>
        <v>1543.95</v>
      </c>
      <c r="AH23" s="242">
        <f t="shared" si="7"/>
        <v>3087.9</v>
      </c>
      <c r="AI23" s="374">
        <f t="shared" si="7"/>
        <v>514.65</v>
      </c>
      <c r="AJ23" s="376">
        <v>0.5</v>
      </c>
      <c r="AK23" s="373">
        <f t="shared" si="7"/>
        <v>0</v>
      </c>
      <c r="AL23" s="711">
        <f t="shared" si="7"/>
        <v>16</v>
      </c>
      <c r="AM23" s="711">
        <v>20</v>
      </c>
    </row>
    <row r="24" spans="1:39" s="5" customFormat="1" x14ac:dyDescent="0.25">
      <c r="A24" s="496">
        <v>42552</v>
      </c>
      <c r="B24" s="497">
        <v>42916</v>
      </c>
      <c r="C24" s="375">
        <f t="shared" si="5"/>
        <v>4766.8999999999996</v>
      </c>
      <c r="D24" s="374">
        <f t="shared" si="5"/>
        <v>91.25</v>
      </c>
      <c r="E24" s="375">
        <f t="shared" si="5"/>
        <v>6201.35</v>
      </c>
      <c r="F24" s="374">
        <f t="shared" si="5"/>
        <v>116.8</v>
      </c>
      <c r="G24" s="375">
        <f t="shared" si="5"/>
        <v>1529.35</v>
      </c>
      <c r="H24" s="374">
        <f t="shared" si="5"/>
        <v>25.55</v>
      </c>
      <c r="I24" s="375">
        <f t="shared" si="5"/>
        <v>0</v>
      </c>
      <c r="J24" s="374">
        <f t="shared" si="5"/>
        <v>0</v>
      </c>
      <c r="K24" s="375">
        <f t="shared" si="5"/>
        <v>1529.35</v>
      </c>
      <c r="L24" s="374">
        <f t="shared" si="5"/>
        <v>36.5</v>
      </c>
      <c r="M24" s="375">
        <f t="shared" si="6"/>
        <v>0</v>
      </c>
      <c r="N24" s="374"/>
      <c r="O24" s="373">
        <f t="shared" si="6"/>
        <v>726.35</v>
      </c>
      <c r="P24" s="373">
        <f>AnnualAverage($A24,P$7,FTBAParms,FTBADates,FTBANames)</f>
        <v>80000</v>
      </c>
      <c r="Q24" s="373">
        <f t="shared" si="6"/>
        <v>0</v>
      </c>
      <c r="R24" s="776">
        <f>AnnualAverage($A24,R$7,FTBAParms,FTBADates,FTBANames)</f>
        <v>0</v>
      </c>
      <c r="S24" s="375">
        <f t="shared" si="6"/>
        <v>1595.23</v>
      </c>
      <c r="T24" s="242">
        <f t="shared" si="6"/>
        <v>532.35</v>
      </c>
      <c r="U24" s="242">
        <f t="shared" si="6"/>
        <v>532</v>
      </c>
      <c r="V24" s="689">
        <f t="shared" si="6"/>
        <v>13</v>
      </c>
      <c r="W24" s="242">
        <f t="shared" si="6"/>
        <v>2127.23</v>
      </c>
      <c r="X24" s="242">
        <f t="shared" si="6"/>
        <v>1064.3499999999999</v>
      </c>
      <c r="Y24" s="242">
        <f t="shared" si="6"/>
        <v>60000</v>
      </c>
      <c r="Z24" s="375">
        <f t="shared" si="6"/>
        <v>3985.8</v>
      </c>
      <c r="AA24" s="374">
        <f t="shared" si="6"/>
        <v>5307.1</v>
      </c>
      <c r="AB24" s="375">
        <f t="shared" si="6"/>
        <v>94316</v>
      </c>
      <c r="AC24" s="242">
        <f t="shared" si="6"/>
        <v>0</v>
      </c>
      <c r="AD24" s="377">
        <f t="shared" si="6"/>
        <v>0.3</v>
      </c>
      <c r="AE24" s="375">
        <f t="shared" si="6"/>
        <v>51903</v>
      </c>
      <c r="AF24" s="404">
        <f t="shared" si="7"/>
        <v>0.2</v>
      </c>
      <c r="AG24" s="375">
        <f t="shared" si="7"/>
        <v>1565.85</v>
      </c>
      <c r="AH24" s="242">
        <f t="shared" si="7"/>
        <v>3131.7</v>
      </c>
      <c r="AI24" s="374">
        <f t="shared" si="7"/>
        <v>521.95000000000005</v>
      </c>
      <c r="AJ24" s="376">
        <f t="shared" si="7"/>
        <v>0.5</v>
      </c>
      <c r="AK24" s="373">
        <f t="shared" si="7"/>
        <v>0</v>
      </c>
      <c r="AL24" s="711">
        <f t="shared" si="7"/>
        <v>16</v>
      </c>
      <c r="AM24" s="711">
        <f t="shared" si="7"/>
        <v>20</v>
      </c>
    </row>
    <row r="25" spans="1:39" x14ac:dyDescent="0.25">
      <c r="A25" s="165">
        <v>42917</v>
      </c>
      <c r="B25" s="166">
        <v>43281</v>
      </c>
      <c r="C25" s="33">
        <f t="shared" si="5"/>
        <v>4766.8999999999996</v>
      </c>
      <c r="D25" s="75">
        <f t="shared" si="5"/>
        <v>91.25</v>
      </c>
      <c r="E25" s="33">
        <f t="shared" si="5"/>
        <v>6201.35</v>
      </c>
      <c r="F25" s="75">
        <f t="shared" si="5"/>
        <v>116.8</v>
      </c>
      <c r="G25" s="33">
        <f t="shared" si="5"/>
        <v>1529.35</v>
      </c>
      <c r="H25" s="75">
        <f t="shared" si="5"/>
        <v>25.55</v>
      </c>
      <c r="I25" s="33">
        <f t="shared" si="5"/>
        <v>0</v>
      </c>
      <c r="J25" s="75">
        <f t="shared" si="5"/>
        <v>0</v>
      </c>
      <c r="K25" s="33">
        <f t="shared" si="5"/>
        <v>1529.35</v>
      </c>
      <c r="L25" s="75">
        <f t="shared" si="5"/>
        <v>36.5</v>
      </c>
      <c r="M25" s="33">
        <f t="shared" si="6"/>
        <v>0</v>
      </c>
      <c r="N25" s="75"/>
      <c r="O25" s="107">
        <f t="shared" si="6"/>
        <v>737.3</v>
      </c>
      <c r="P25" s="107">
        <f t="shared" si="6"/>
        <v>80000</v>
      </c>
      <c r="Q25" s="107">
        <f t="shared" si="6"/>
        <v>0</v>
      </c>
      <c r="R25" s="777">
        <f t="shared" si="6"/>
        <v>0</v>
      </c>
      <c r="S25" s="33">
        <f t="shared" si="6"/>
        <v>1618.89</v>
      </c>
      <c r="T25" s="34">
        <f t="shared" si="6"/>
        <v>540.54</v>
      </c>
      <c r="U25" s="34">
        <f t="shared" si="6"/>
        <v>540</v>
      </c>
      <c r="V25" s="690">
        <f t="shared" si="6"/>
        <v>13</v>
      </c>
      <c r="W25" s="34">
        <f t="shared" si="6"/>
        <v>2158.89</v>
      </c>
      <c r="X25" s="34">
        <f t="shared" si="6"/>
        <v>1080.54</v>
      </c>
      <c r="Y25" s="34">
        <f t="shared" si="6"/>
        <v>60900</v>
      </c>
      <c r="Z25" s="33">
        <f t="shared" si="6"/>
        <v>4044.2</v>
      </c>
      <c r="AA25" s="75">
        <f t="shared" si="6"/>
        <v>5387.4</v>
      </c>
      <c r="AB25" s="33">
        <f t="shared" si="6"/>
        <v>94316</v>
      </c>
      <c r="AC25" s="34">
        <f t="shared" si="6"/>
        <v>0</v>
      </c>
      <c r="AD25" s="104">
        <f t="shared" si="6"/>
        <v>0.3</v>
      </c>
      <c r="AE25" s="33">
        <f t="shared" si="6"/>
        <v>52706</v>
      </c>
      <c r="AF25" s="76">
        <f t="shared" si="7"/>
        <v>0.2</v>
      </c>
      <c r="AG25" s="33">
        <f t="shared" si="7"/>
        <v>1587.75</v>
      </c>
      <c r="AH25" s="34">
        <f t="shared" si="7"/>
        <v>3175.5</v>
      </c>
      <c r="AI25" s="75">
        <f t="shared" si="7"/>
        <v>529.25</v>
      </c>
      <c r="AJ25" s="105">
        <f t="shared" si="7"/>
        <v>0.5</v>
      </c>
      <c r="AK25" s="107">
        <f t="shared" si="7"/>
        <v>0</v>
      </c>
      <c r="AL25" s="712">
        <f t="shared" si="7"/>
        <v>16</v>
      </c>
      <c r="AM25" s="712">
        <f t="shared" si="7"/>
        <v>20</v>
      </c>
    </row>
    <row r="26" spans="1:39" x14ac:dyDescent="0.25">
      <c r="A26" s="165">
        <v>43282</v>
      </c>
      <c r="B26" s="166">
        <v>43646</v>
      </c>
      <c r="C26" s="33">
        <f t="shared" si="5"/>
        <v>4766.8999999999996</v>
      </c>
      <c r="D26" s="75">
        <f t="shared" si="5"/>
        <v>91.25</v>
      </c>
      <c r="E26" s="33">
        <f t="shared" si="5"/>
        <v>6201.35</v>
      </c>
      <c r="F26" s="75">
        <f t="shared" si="5"/>
        <v>116.8</v>
      </c>
      <c r="G26" s="33">
        <f t="shared" si="5"/>
        <v>1529.35</v>
      </c>
      <c r="H26" s="75">
        <f t="shared" si="5"/>
        <v>25.55</v>
      </c>
      <c r="I26" s="33">
        <f t="shared" si="5"/>
        <v>0</v>
      </c>
      <c r="J26" s="75">
        <f t="shared" si="5"/>
        <v>0</v>
      </c>
      <c r="K26" s="33">
        <f t="shared" si="5"/>
        <v>1529.35</v>
      </c>
      <c r="L26" s="75">
        <f t="shared" si="5"/>
        <v>36.5</v>
      </c>
      <c r="M26" s="33">
        <f t="shared" si="6"/>
        <v>0</v>
      </c>
      <c r="N26" s="75"/>
      <c r="O26" s="107">
        <f t="shared" si="6"/>
        <v>748.25</v>
      </c>
      <c r="P26" s="107">
        <f t="shared" si="6"/>
        <v>80000</v>
      </c>
      <c r="Q26" s="107">
        <f t="shared" si="6"/>
        <v>0</v>
      </c>
      <c r="R26" s="777">
        <f t="shared" si="6"/>
        <v>0</v>
      </c>
      <c r="S26" s="33">
        <f t="shared" si="6"/>
        <v>1644.37</v>
      </c>
      <c r="T26" s="34">
        <f t="shared" si="6"/>
        <v>549.64</v>
      </c>
      <c r="U26" s="34">
        <f t="shared" si="6"/>
        <v>549</v>
      </c>
      <c r="V26" s="690">
        <f t="shared" si="6"/>
        <v>13</v>
      </c>
      <c r="W26" s="34">
        <f t="shared" si="6"/>
        <v>2193.37</v>
      </c>
      <c r="X26" s="34">
        <f t="shared" si="6"/>
        <v>1098.6400000000001</v>
      </c>
      <c r="Y26" s="34">
        <f t="shared" si="6"/>
        <v>61874</v>
      </c>
      <c r="Z26" s="33">
        <f t="shared" si="6"/>
        <v>4109.8999999999996</v>
      </c>
      <c r="AA26" s="75">
        <f t="shared" si="6"/>
        <v>5475</v>
      </c>
      <c r="AB26" s="33">
        <f t="shared" si="6"/>
        <v>94316</v>
      </c>
      <c r="AC26" s="34">
        <f t="shared" si="6"/>
        <v>0</v>
      </c>
      <c r="AD26" s="104">
        <f t="shared" si="6"/>
        <v>0.3</v>
      </c>
      <c r="AE26" s="33">
        <f t="shared" si="6"/>
        <v>53582</v>
      </c>
      <c r="AF26" s="76">
        <f t="shared" si="7"/>
        <v>0.2</v>
      </c>
      <c r="AG26" s="33">
        <f t="shared" si="7"/>
        <v>1609.65</v>
      </c>
      <c r="AH26" s="34">
        <f t="shared" si="7"/>
        <v>3219.3</v>
      </c>
      <c r="AI26" s="75">
        <f t="shared" si="7"/>
        <v>536.54999999999995</v>
      </c>
      <c r="AJ26" s="105">
        <f t="shared" si="7"/>
        <v>0.5</v>
      </c>
      <c r="AK26" s="107">
        <f t="shared" si="7"/>
        <v>0</v>
      </c>
      <c r="AL26" s="712">
        <f t="shared" si="7"/>
        <v>16</v>
      </c>
      <c r="AM26" s="712">
        <f t="shared" si="7"/>
        <v>20</v>
      </c>
    </row>
    <row r="27" spans="1:39" x14ac:dyDescent="0.25">
      <c r="A27" s="165">
        <v>43647</v>
      </c>
      <c r="B27" s="166">
        <v>44012</v>
      </c>
      <c r="C27" s="33">
        <f t="shared" si="5"/>
        <v>4865.45</v>
      </c>
      <c r="D27" s="75">
        <f t="shared" si="5"/>
        <v>91.25</v>
      </c>
      <c r="E27" s="33">
        <f t="shared" si="5"/>
        <v>6332.75</v>
      </c>
      <c r="F27" s="75">
        <f t="shared" si="5"/>
        <v>116.8</v>
      </c>
      <c r="G27" s="33">
        <f t="shared" si="5"/>
        <v>1562.2</v>
      </c>
      <c r="H27" s="75">
        <f t="shared" si="5"/>
        <v>25.55</v>
      </c>
      <c r="I27" s="33">
        <f t="shared" si="5"/>
        <v>0</v>
      </c>
      <c r="J27" s="75">
        <f t="shared" si="5"/>
        <v>0</v>
      </c>
      <c r="K27" s="33">
        <f t="shared" si="5"/>
        <v>1562.2</v>
      </c>
      <c r="L27" s="75">
        <f t="shared" si="5"/>
        <v>36.5</v>
      </c>
      <c r="M27" s="33">
        <f t="shared" si="6"/>
        <v>0</v>
      </c>
      <c r="N27" s="75"/>
      <c r="O27" s="107">
        <f t="shared" si="6"/>
        <v>762.85</v>
      </c>
      <c r="P27" s="107">
        <f t="shared" si="6"/>
        <v>80000</v>
      </c>
      <c r="Q27" s="107">
        <f t="shared" si="6"/>
        <v>0</v>
      </c>
      <c r="R27" s="777">
        <f t="shared" si="6"/>
        <v>0</v>
      </c>
      <c r="S27" s="33">
        <f t="shared" si="6"/>
        <v>1678.95</v>
      </c>
      <c r="T27" s="34">
        <f t="shared" si="6"/>
        <v>561.47</v>
      </c>
      <c r="U27" s="34">
        <f t="shared" si="6"/>
        <v>561</v>
      </c>
      <c r="V27" s="690">
        <f t="shared" si="6"/>
        <v>13</v>
      </c>
      <c r="W27" s="34">
        <f t="shared" si="6"/>
        <v>2239.9499999999998</v>
      </c>
      <c r="X27" s="34">
        <f t="shared" si="6"/>
        <v>1122.47</v>
      </c>
      <c r="Y27" s="34">
        <f t="shared" si="6"/>
        <v>63173</v>
      </c>
      <c r="Z27" s="33">
        <f t="shared" si="6"/>
        <v>4197.5</v>
      </c>
      <c r="AA27" s="75">
        <f t="shared" si="6"/>
        <v>5591.8</v>
      </c>
      <c r="AB27" s="33">
        <f t="shared" si="6"/>
        <v>94316</v>
      </c>
      <c r="AC27" s="34">
        <f t="shared" si="6"/>
        <v>0</v>
      </c>
      <c r="AD27" s="104">
        <f t="shared" si="6"/>
        <v>0.3</v>
      </c>
      <c r="AE27" s="33">
        <f t="shared" si="6"/>
        <v>54677</v>
      </c>
      <c r="AF27" s="76">
        <f t="shared" si="7"/>
        <v>0.2</v>
      </c>
      <c r="AG27" s="33">
        <f t="shared" si="7"/>
        <v>1642.5</v>
      </c>
      <c r="AH27" s="34">
        <f t="shared" si="7"/>
        <v>3285</v>
      </c>
      <c r="AI27" s="75">
        <f t="shared" si="7"/>
        <v>547.5</v>
      </c>
      <c r="AJ27" s="105">
        <f t="shared" si="7"/>
        <v>0.5</v>
      </c>
      <c r="AK27" s="107">
        <f t="shared" si="7"/>
        <v>0</v>
      </c>
      <c r="AL27" s="712">
        <f t="shared" si="7"/>
        <v>16</v>
      </c>
      <c r="AM27" s="712">
        <f t="shared" si="7"/>
        <v>20</v>
      </c>
    </row>
    <row r="28" spans="1:39" x14ac:dyDescent="0.25">
      <c r="A28" s="165">
        <v>44013</v>
      </c>
      <c r="B28" s="166">
        <v>44377</v>
      </c>
      <c r="C28" s="33">
        <f t="shared" ref="C28:K28" si="8">AnnualAverage($A28,C$7,FTBAParms,FTBADates,FTBANames)</f>
        <v>4982.25</v>
      </c>
      <c r="D28" s="75">
        <f t="shared" si="8"/>
        <v>91.25</v>
      </c>
      <c r="E28" s="33">
        <f t="shared" si="8"/>
        <v>6486.05</v>
      </c>
      <c r="F28" s="75">
        <f t="shared" si="8"/>
        <v>116.8</v>
      </c>
      <c r="G28" s="33">
        <f t="shared" si="8"/>
        <v>1598.7</v>
      </c>
      <c r="H28" s="75">
        <f t="shared" si="8"/>
        <v>25.55</v>
      </c>
      <c r="I28" s="33">
        <f t="shared" si="8"/>
        <v>0</v>
      </c>
      <c r="J28" s="75">
        <f t="shared" si="8"/>
        <v>0</v>
      </c>
      <c r="K28" s="33">
        <f t="shared" si="8"/>
        <v>1598.7</v>
      </c>
      <c r="L28" s="75">
        <f t="shared" si="5"/>
        <v>36.5</v>
      </c>
      <c r="M28" s="33">
        <f t="shared" si="6"/>
        <v>0</v>
      </c>
      <c r="N28" s="75"/>
      <c r="O28" s="107">
        <f t="shared" ref="O28:AE28" si="9">AnnualAverage($A28,O$7,FTBAParms,FTBADates,FTBANames)</f>
        <v>781.1</v>
      </c>
      <c r="P28" s="107">
        <f t="shared" si="6"/>
        <v>80000</v>
      </c>
      <c r="Q28" s="107">
        <f t="shared" si="9"/>
        <v>0</v>
      </c>
      <c r="R28" s="777">
        <f t="shared" si="6"/>
        <v>0</v>
      </c>
      <c r="S28" s="33">
        <f t="shared" si="6"/>
        <v>1718.99</v>
      </c>
      <c r="T28" s="34">
        <f t="shared" si="6"/>
        <v>575.12</v>
      </c>
      <c r="U28" s="34">
        <f t="shared" si="6"/>
        <v>574</v>
      </c>
      <c r="V28" s="690">
        <f t="shared" si="6"/>
        <v>13</v>
      </c>
      <c r="W28" s="34">
        <f t="shared" si="6"/>
        <v>2292.9899999999998</v>
      </c>
      <c r="X28" s="34">
        <f t="shared" si="6"/>
        <v>1149.1199999999999</v>
      </c>
      <c r="Y28" s="34">
        <f t="shared" si="6"/>
        <v>64689</v>
      </c>
      <c r="Z28" s="33">
        <f t="shared" si="9"/>
        <v>4299.7</v>
      </c>
      <c r="AA28" s="75">
        <f t="shared" si="9"/>
        <v>5726.85</v>
      </c>
      <c r="AB28" s="33">
        <f t="shared" si="9"/>
        <v>96579</v>
      </c>
      <c r="AC28" s="34">
        <f t="shared" si="9"/>
        <v>0</v>
      </c>
      <c r="AD28" s="104">
        <f t="shared" si="9"/>
        <v>0.3</v>
      </c>
      <c r="AE28" s="33">
        <f t="shared" si="9"/>
        <v>55991</v>
      </c>
      <c r="AF28" s="76">
        <f t="shared" ref="AF28:AL28" si="10">AnnualAverage($A28,AF$7,FTBAParms,FTBADates,FTBANames)</f>
        <v>0.2</v>
      </c>
      <c r="AG28" s="33">
        <f t="shared" si="10"/>
        <v>1686.3</v>
      </c>
      <c r="AH28" s="34">
        <f t="shared" si="10"/>
        <v>3372.6</v>
      </c>
      <c r="AI28" s="75">
        <f t="shared" si="10"/>
        <v>562.1</v>
      </c>
      <c r="AJ28" s="105">
        <f t="shared" si="10"/>
        <v>0.5</v>
      </c>
      <c r="AK28" s="107">
        <f t="shared" si="10"/>
        <v>0</v>
      </c>
      <c r="AL28" s="712">
        <f t="shared" si="10"/>
        <v>16</v>
      </c>
      <c r="AM28" s="712">
        <f t="shared" si="7"/>
        <v>20</v>
      </c>
    </row>
  </sheetData>
  <customSheetViews>
    <customSheetView guid="{E49C2F27-B0B9-497E-BEC0-5B59561292FE}">
      <pane xSplit="2" ySplit="7" topLeftCell="H8" activePane="bottomRight" state="frozen"/>
      <selection pane="bottomRight" activeCell="K41" sqref="K41"/>
      <pageMargins left="0.7" right="0.7" top="0.75" bottom="0.75" header="0.3" footer="0.3"/>
      <pageSetup paperSize="9" orientation="portrait" r:id="rId1"/>
    </customSheetView>
    <customSheetView guid="{A5953138-1481-4137-BEAD-32FA4FDF03E6}">
      <pane xSplit="2" ySplit="7" topLeftCell="H8" activePane="bottomRight" state="frozen"/>
      <selection pane="bottomRight" activeCell="K41" sqref="K41"/>
      <pageMargins left="0.7" right="0.7" top="0.75" bottom="0.75" header="0.3" footer="0.3"/>
      <pageSetup paperSize="9" orientation="portrait" r:id="rId2"/>
    </customSheetView>
    <customSheetView guid="{2A1F94CA-1A34-4418-88FD-EABF7586C2B2}">
      <pane xSplit="2" ySplit="7" topLeftCell="H8" activePane="bottomRight" state="frozen"/>
      <selection pane="bottomRight" activeCell="K41" sqref="K41"/>
      <pageMargins left="0.7" right="0.7" top="0.75" bottom="0.75" header="0.3" footer="0.3"/>
      <pageSetup paperSize="9" orientation="portrait" r:id="rId3"/>
    </customSheetView>
  </customSheetViews>
  <mergeCells count="48">
    <mergeCell ref="R5:R6"/>
    <mergeCell ref="P2:P6"/>
    <mergeCell ref="C1:Q1"/>
    <mergeCell ref="O2:O6"/>
    <mergeCell ref="AB2:AD3"/>
    <mergeCell ref="AB4:AB6"/>
    <mergeCell ref="AC4:AC6"/>
    <mergeCell ref="W2:Y4"/>
    <mergeCell ref="W5:W6"/>
    <mergeCell ref="AD4:AD6"/>
    <mergeCell ref="S2:V4"/>
    <mergeCell ref="S5:S6"/>
    <mergeCell ref="V5:V6"/>
    <mergeCell ref="Z5:Z6"/>
    <mergeCell ref="AA5:AA6"/>
    <mergeCell ref="Z2:AA4"/>
    <mergeCell ref="T5:T6"/>
    <mergeCell ref="AF4:AF6"/>
    <mergeCell ref="U5:U6"/>
    <mergeCell ref="A2:B3"/>
    <mergeCell ref="C2:N2"/>
    <mergeCell ref="C3:J3"/>
    <mergeCell ref="K3:N3"/>
    <mergeCell ref="C4:D5"/>
    <mergeCell ref="E4:F5"/>
    <mergeCell ref="A4:A6"/>
    <mergeCell ref="B4:B6"/>
    <mergeCell ref="M4:N5"/>
    <mergeCell ref="K4:L5"/>
    <mergeCell ref="G4:H5"/>
    <mergeCell ref="I4:J5"/>
    <mergeCell ref="Q2:R4"/>
    <mergeCell ref="Q5:Q6"/>
    <mergeCell ref="AE2:AF3"/>
    <mergeCell ref="X5:X6"/>
    <mergeCell ref="Y5:Y6"/>
    <mergeCell ref="AK1:AM2"/>
    <mergeCell ref="AG2:AJ2"/>
    <mergeCell ref="AG3:AI3"/>
    <mergeCell ref="AJ3:AJ6"/>
    <mergeCell ref="AK3:AK6"/>
    <mergeCell ref="AM3:AM6"/>
    <mergeCell ref="AG4:AG6"/>
    <mergeCell ref="AH4:AH6"/>
    <mergeCell ref="AI4:AI6"/>
    <mergeCell ref="AL3:AL6"/>
    <mergeCell ref="AB1:AJ1"/>
    <mergeCell ref="AE4:AE6"/>
  </mergeCells>
  <pageMargins left="0.7" right="0.7" top="0.75" bottom="0.75" header="0.3" footer="0.3"/>
  <pageSetup paperSize="9" orientation="portrait" r:id="rId4"/>
  <legacyDrawing r:id="rId5"/>
</worksheet>
</file>

<file path=xl/worksheets/sheet4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B00-000000000000}">
  <sheetPr codeName="Sheet33">
    <tabColor theme="9"/>
  </sheetPr>
  <dimension ref="A1:AC91"/>
  <sheetViews>
    <sheetView workbookViewId="0">
      <pane xSplit="2" ySplit="7" topLeftCell="C64" activePane="bottomRight" state="frozen"/>
      <selection pane="topRight" activeCell="C1" sqref="C1"/>
      <selection pane="bottomLeft" activeCell="A8" sqref="A8"/>
      <selection pane="bottomRight" activeCell="I26" sqref="I26"/>
    </sheetView>
  </sheetViews>
  <sheetFormatPr defaultRowHeight="15" x14ac:dyDescent="0.25"/>
  <cols>
    <col min="1" max="1" width="15.42578125" style="28" customWidth="1"/>
    <col min="2" max="2" width="12.85546875" style="28" customWidth="1"/>
    <col min="3" max="11" width="15.7109375" style="12" customWidth="1"/>
    <col min="12" max="12" width="17.7109375" style="12" customWidth="1"/>
    <col min="13" max="13" width="15.7109375" style="19" customWidth="1"/>
    <col min="14" max="14" width="15.7109375" style="53" customWidth="1"/>
    <col min="15" max="15" width="21" style="12" customWidth="1"/>
    <col min="16" max="16384" width="9.140625" style="28"/>
  </cols>
  <sheetData>
    <row r="1" spans="1:15" ht="15.75" thickBot="1" x14ac:dyDescent="0.3">
      <c r="A1" s="87"/>
      <c r="B1" s="87"/>
      <c r="C1" s="1160" t="s">
        <v>23</v>
      </c>
      <c r="D1" s="1161"/>
      <c r="E1" s="1161"/>
      <c r="F1" s="1161"/>
      <c r="G1" s="1161"/>
      <c r="H1" s="1161"/>
      <c r="I1" s="1161"/>
      <c r="J1" s="1161"/>
      <c r="K1" s="1161"/>
      <c r="L1" s="1161"/>
      <c r="M1" s="1160" t="s">
        <v>24</v>
      </c>
      <c r="N1" s="1161"/>
      <c r="O1" s="1162"/>
    </row>
    <row r="2" spans="1:15" ht="15.75" customHeight="1" thickBot="1" x14ac:dyDescent="0.3">
      <c r="A2" s="1164" t="s">
        <v>13</v>
      </c>
      <c r="B2" s="1165"/>
      <c r="C2" s="1212" t="s">
        <v>240</v>
      </c>
      <c r="D2" s="1212"/>
      <c r="E2" s="1212"/>
      <c r="F2" s="1212"/>
      <c r="G2" s="970"/>
      <c r="H2" s="970"/>
      <c r="I2" s="970"/>
      <c r="J2" s="970"/>
      <c r="K2" s="1224" t="s">
        <v>241</v>
      </c>
      <c r="L2" s="1218" t="s">
        <v>602</v>
      </c>
      <c r="M2" s="1164" t="s">
        <v>263</v>
      </c>
      <c r="N2" s="1214"/>
      <c r="O2" s="1224" t="s">
        <v>243</v>
      </c>
    </row>
    <row r="3" spans="1:15" ht="15.75" customHeight="1" thickBot="1" x14ac:dyDescent="0.3">
      <c r="A3" s="1215"/>
      <c r="B3" s="1236"/>
      <c r="C3" s="1328" t="s">
        <v>56</v>
      </c>
      <c r="D3" s="1255"/>
      <c r="E3" s="1254" t="s">
        <v>55</v>
      </c>
      <c r="F3" s="1255"/>
      <c r="G3" s="976" t="s">
        <v>743</v>
      </c>
      <c r="H3" s="977" t="s">
        <v>743</v>
      </c>
      <c r="I3" s="977" t="s">
        <v>743</v>
      </c>
      <c r="J3" s="977" t="s">
        <v>743</v>
      </c>
      <c r="K3" s="1225"/>
      <c r="L3" s="1219"/>
      <c r="M3" s="1166"/>
      <c r="N3" s="1217"/>
      <c r="O3" s="1225"/>
    </row>
    <row r="4" spans="1:15" ht="15" customHeight="1" thickBot="1" x14ac:dyDescent="0.3">
      <c r="A4" s="1188" t="s">
        <v>16</v>
      </c>
      <c r="B4" s="1176" t="s">
        <v>17</v>
      </c>
      <c r="C4" s="1329"/>
      <c r="D4" s="1267"/>
      <c r="E4" s="1266"/>
      <c r="F4" s="1267"/>
      <c r="G4" s="971" t="s">
        <v>744</v>
      </c>
      <c r="H4" s="971" t="s">
        <v>745</v>
      </c>
      <c r="I4" s="971" t="s">
        <v>746</v>
      </c>
      <c r="J4" s="971" t="s">
        <v>751</v>
      </c>
      <c r="K4" s="1225"/>
      <c r="L4" s="1219"/>
      <c r="M4" s="1218" t="s">
        <v>239</v>
      </c>
      <c r="N4" s="1446" t="s">
        <v>126</v>
      </c>
      <c r="O4" s="1225"/>
    </row>
    <row r="5" spans="1:15" x14ac:dyDescent="0.25">
      <c r="A5" s="1188"/>
      <c r="B5" s="1176"/>
      <c r="C5" s="1227" t="s">
        <v>247</v>
      </c>
      <c r="D5" s="1224" t="s">
        <v>605</v>
      </c>
      <c r="E5" s="1224" t="s">
        <v>247</v>
      </c>
      <c r="F5" s="1450" t="s">
        <v>605</v>
      </c>
      <c r="G5" s="968" t="s">
        <v>247</v>
      </c>
      <c r="H5" s="968" t="s">
        <v>247</v>
      </c>
      <c r="I5" s="968" t="s">
        <v>247</v>
      </c>
      <c r="J5" s="968" t="s">
        <v>247</v>
      </c>
      <c r="K5" s="1225"/>
      <c r="L5" s="1219"/>
      <c r="M5" s="1219"/>
      <c r="N5" s="1447"/>
      <c r="O5" s="1225"/>
    </row>
    <row r="6" spans="1:15" ht="15.75" thickBot="1" x14ac:dyDescent="0.3">
      <c r="A6" s="1207"/>
      <c r="B6" s="1177"/>
      <c r="C6" s="1228"/>
      <c r="D6" s="1226"/>
      <c r="E6" s="1226"/>
      <c r="F6" s="1450"/>
      <c r="G6" s="969"/>
      <c r="H6" s="969"/>
      <c r="I6" s="969"/>
      <c r="J6" s="969"/>
      <c r="K6" s="1226"/>
      <c r="L6" s="1220"/>
      <c r="M6" s="1220"/>
      <c r="N6" s="1223"/>
      <c r="O6" s="1226"/>
    </row>
    <row r="7" spans="1:15" ht="17.25" customHeight="1" thickBot="1" x14ac:dyDescent="0.3">
      <c r="A7" s="713" t="s">
        <v>550</v>
      </c>
      <c r="B7" s="714" t="s">
        <v>551</v>
      </c>
      <c r="C7" s="319" t="s">
        <v>458</v>
      </c>
      <c r="D7" s="318" t="s">
        <v>639</v>
      </c>
      <c r="E7" s="319" t="s">
        <v>459</v>
      </c>
      <c r="F7" s="317" t="s">
        <v>640</v>
      </c>
      <c r="G7" s="978" t="s">
        <v>871</v>
      </c>
      <c r="H7" s="972" t="s">
        <v>748</v>
      </c>
      <c r="I7" s="972" t="s">
        <v>749</v>
      </c>
      <c r="J7" s="972" t="s">
        <v>750</v>
      </c>
      <c r="K7" s="319" t="s">
        <v>460</v>
      </c>
      <c r="L7" s="320" t="s">
        <v>641</v>
      </c>
      <c r="M7" s="827" t="s">
        <v>461</v>
      </c>
      <c r="N7" s="321" t="s">
        <v>462</v>
      </c>
      <c r="O7" s="319" t="s">
        <v>463</v>
      </c>
    </row>
    <row r="8" spans="1:15" x14ac:dyDescent="0.25">
      <c r="A8" s="161">
        <v>36708</v>
      </c>
      <c r="B8" s="162">
        <v>36788</v>
      </c>
      <c r="C8" s="18">
        <v>2602.4499999999998</v>
      </c>
      <c r="D8" s="60"/>
      <c r="E8" s="18">
        <v>1814.05</v>
      </c>
      <c r="F8" s="60"/>
      <c r="G8" s="973"/>
      <c r="H8" s="60"/>
      <c r="I8" s="60"/>
      <c r="J8" s="60"/>
      <c r="K8" s="92">
        <v>0</v>
      </c>
      <c r="L8" s="18"/>
      <c r="M8" s="18">
        <v>1616</v>
      </c>
      <c r="N8" s="57">
        <v>0.3</v>
      </c>
      <c r="O8" s="60">
        <v>9999999</v>
      </c>
    </row>
    <row r="9" spans="1:15" x14ac:dyDescent="0.25">
      <c r="A9" s="163">
        <v>36789</v>
      </c>
      <c r="B9" s="164">
        <v>36891</v>
      </c>
      <c r="C9" s="17">
        <v>2602.4499999999998</v>
      </c>
      <c r="D9" s="35"/>
      <c r="E9" s="17">
        <v>1814.05</v>
      </c>
      <c r="F9" s="35"/>
      <c r="G9" s="974"/>
      <c r="H9" s="35"/>
      <c r="I9" s="35"/>
      <c r="J9" s="35"/>
      <c r="K9" s="93">
        <v>0</v>
      </c>
      <c r="L9" s="17"/>
      <c r="M9" s="17">
        <v>1616</v>
      </c>
      <c r="N9" s="61">
        <v>0.3</v>
      </c>
      <c r="O9" s="35">
        <v>9999999</v>
      </c>
    </row>
    <row r="10" spans="1:15" x14ac:dyDescent="0.25">
      <c r="A10" s="163">
        <v>36892</v>
      </c>
      <c r="B10" s="164">
        <v>36969</v>
      </c>
      <c r="C10" s="17">
        <v>2602.4499999999998</v>
      </c>
      <c r="D10" s="35"/>
      <c r="E10" s="17">
        <v>1814.05</v>
      </c>
      <c r="F10" s="35"/>
      <c r="G10" s="974"/>
      <c r="H10" s="35"/>
      <c r="I10" s="35"/>
      <c r="J10" s="35"/>
      <c r="K10" s="93">
        <v>0</v>
      </c>
      <c r="L10" s="17"/>
      <c r="M10" s="17">
        <v>1616</v>
      </c>
      <c r="N10" s="61">
        <v>0.3</v>
      </c>
      <c r="O10" s="35">
        <v>9999999</v>
      </c>
    </row>
    <row r="11" spans="1:15" ht="15.75" thickBot="1" x14ac:dyDescent="0.3">
      <c r="A11" s="180">
        <v>36970</v>
      </c>
      <c r="B11" s="181">
        <v>37072</v>
      </c>
      <c r="C11" s="65">
        <v>2602.4499999999998</v>
      </c>
      <c r="D11" s="69"/>
      <c r="E11" s="65">
        <v>1814.05</v>
      </c>
      <c r="F11" s="69"/>
      <c r="G11" s="975"/>
      <c r="H11" s="69"/>
      <c r="I11" s="69"/>
      <c r="J11" s="69"/>
      <c r="K11" s="94">
        <v>0</v>
      </c>
      <c r="L11" s="65"/>
      <c r="M11" s="65">
        <v>1616</v>
      </c>
      <c r="N11" s="66">
        <v>0.3</v>
      </c>
      <c r="O11" s="69">
        <v>9999999</v>
      </c>
    </row>
    <row r="12" spans="1:15" x14ac:dyDescent="0.25">
      <c r="A12" s="161">
        <v>37073</v>
      </c>
      <c r="B12" s="162">
        <v>37153</v>
      </c>
      <c r="C12" s="18">
        <v>2752.1</v>
      </c>
      <c r="D12" s="60"/>
      <c r="E12" s="18">
        <v>1919.8999999999999</v>
      </c>
      <c r="F12" s="60"/>
      <c r="G12" s="973"/>
      <c r="H12" s="60"/>
      <c r="I12" s="60"/>
      <c r="J12" s="60"/>
      <c r="K12" s="92">
        <v>0</v>
      </c>
      <c r="L12" s="18"/>
      <c r="M12" s="18">
        <v>1679</v>
      </c>
      <c r="N12" s="57">
        <v>0.3</v>
      </c>
      <c r="O12" s="35">
        <v>9999999</v>
      </c>
    </row>
    <row r="13" spans="1:15" x14ac:dyDescent="0.25">
      <c r="A13" s="163">
        <v>37154</v>
      </c>
      <c r="B13" s="164">
        <v>37256</v>
      </c>
      <c r="C13" s="17">
        <v>2752.1</v>
      </c>
      <c r="D13" s="35"/>
      <c r="E13" s="17">
        <v>1919.8999999999999</v>
      </c>
      <c r="F13" s="35"/>
      <c r="G13" s="974"/>
      <c r="H13" s="35"/>
      <c r="I13" s="35"/>
      <c r="J13" s="35"/>
      <c r="K13" s="93">
        <v>0</v>
      </c>
      <c r="L13" s="17"/>
      <c r="M13" s="17">
        <v>1679</v>
      </c>
      <c r="N13" s="61">
        <v>0.3</v>
      </c>
      <c r="O13" s="35">
        <v>9999999</v>
      </c>
    </row>
    <row r="14" spans="1:15" x14ac:dyDescent="0.25">
      <c r="A14" s="163">
        <v>37257</v>
      </c>
      <c r="B14" s="164">
        <v>37334</v>
      </c>
      <c r="C14" s="17">
        <v>2752.1</v>
      </c>
      <c r="D14" s="35"/>
      <c r="E14" s="17">
        <v>1919.8999999999999</v>
      </c>
      <c r="F14" s="35"/>
      <c r="G14" s="974"/>
      <c r="H14" s="35"/>
      <c r="I14" s="35"/>
      <c r="J14" s="35"/>
      <c r="K14" s="93">
        <v>0</v>
      </c>
      <c r="L14" s="17"/>
      <c r="M14" s="17">
        <v>1679</v>
      </c>
      <c r="N14" s="61">
        <v>0.3</v>
      </c>
      <c r="O14" s="35">
        <v>9999999</v>
      </c>
    </row>
    <row r="15" spans="1:15" ht="15.75" thickBot="1" x14ac:dyDescent="0.3">
      <c r="A15" s="180">
        <v>37335</v>
      </c>
      <c r="B15" s="181">
        <v>37437</v>
      </c>
      <c r="C15" s="65">
        <v>2752.1</v>
      </c>
      <c r="D15" s="69"/>
      <c r="E15" s="65">
        <v>1919.8999999999999</v>
      </c>
      <c r="F15" s="69"/>
      <c r="G15" s="975"/>
      <c r="H15" s="69"/>
      <c r="I15" s="69"/>
      <c r="J15" s="69"/>
      <c r="K15" s="94">
        <v>0</v>
      </c>
      <c r="L15" s="65"/>
      <c r="M15" s="65">
        <v>1679</v>
      </c>
      <c r="N15" s="66">
        <v>0.3</v>
      </c>
      <c r="O15" s="69">
        <v>9999999</v>
      </c>
    </row>
    <row r="16" spans="1:15" x14ac:dyDescent="0.25">
      <c r="A16" s="161">
        <v>37438</v>
      </c>
      <c r="B16" s="162">
        <v>37518</v>
      </c>
      <c r="C16" s="18">
        <v>2836.0499999999997</v>
      </c>
      <c r="D16" s="60"/>
      <c r="E16" s="18">
        <v>1978.3</v>
      </c>
      <c r="F16" s="60"/>
      <c r="G16" s="973"/>
      <c r="H16" s="60"/>
      <c r="I16" s="60"/>
      <c r="J16" s="60"/>
      <c r="K16" s="92">
        <v>0</v>
      </c>
      <c r="L16" s="18"/>
      <c r="M16" s="18">
        <v>1752</v>
      </c>
      <c r="N16" s="57">
        <v>0.3</v>
      </c>
      <c r="O16" s="60">
        <v>9999999</v>
      </c>
    </row>
    <row r="17" spans="1:15" x14ac:dyDescent="0.25">
      <c r="A17" s="163">
        <v>37519</v>
      </c>
      <c r="B17" s="164">
        <v>37621</v>
      </c>
      <c r="C17" s="17">
        <v>2836.0499999999997</v>
      </c>
      <c r="D17" s="35"/>
      <c r="E17" s="17">
        <v>1978.3</v>
      </c>
      <c r="F17" s="35"/>
      <c r="G17" s="974"/>
      <c r="H17" s="35"/>
      <c r="I17" s="35"/>
      <c r="J17" s="35"/>
      <c r="K17" s="93">
        <v>0</v>
      </c>
      <c r="L17" s="17"/>
      <c r="M17" s="17">
        <v>1752</v>
      </c>
      <c r="N17" s="61">
        <v>0.3</v>
      </c>
      <c r="O17" s="35">
        <v>9999999</v>
      </c>
    </row>
    <row r="18" spans="1:15" x14ac:dyDescent="0.25">
      <c r="A18" s="163">
        <v>37622</v>
      </c>
      <c r="B18" s="164">
        <v>37699</v>
      </c>
      <c r="C18" s="17">
        <v>2836.0499999999997</v>
      </c>
      <c r="D18" s="35"/>
      <c r="E18" s="17">
        <v>1978.3</v>
      </c>
      <c r="F18" s="35"/>
      <c r="G18" s="974"/>
      <c r="H18" s="35"/>
      <c r="I18" s="35"/>
      <c r="J18" s="35"/>
      <c r="K18" s="93">
        <v>0</v>
      </c>
      <c r="L18" s="17"/>
      <c r="M18" s="17">
        <v>1752</v>
      </c>
      <c r="N18" s="61">
        <v>0.3</v>
      </c>
      <c r="O18" s="35">
        <v>9999999</v>
      </c>
    </row>
    <row r="19" spans="1:15" ht="15.75" thickBot="1" x14ac:dyDescent="0.3">
      <c r="A19" s="180">
        <v>37700</v>
      </c>
      <c r="B19" s="181">
        <v>37802</v>
      </c>
      <c r="C19" s="65">
        <v>2836.0499999999997</v>
      </c>
      <c r="D19" s="69"/>
      <c r="E19" s="65">
        <v>1978.3</v>
      </c>
      <c r="F19" s="69"/>
      <c r="G19" s="975"/>
      <c r="H19" s="69"/>
      <c r="I19" s="69"/>
      <c r="J19" s="69"/>
      <c r="K19" s="94">
        <v>0</v>
      </c>
      <c r="L19" s="65"/>
      <c r="M19" s="65">
        <v>1752</v>
      </c>
      <c r="N19" s="66">
        <v>0.3</v>
      </c>
      <c r="O19" s="69">
        <v>9999999</v>
      </c>
    </row>
    <row r="20" spans="1:15" x14ac:dyDescent="0.25">
      <c r="A20" s="161">
        <v>37803</v>
      </c>
      <c r="B20" s="162">
        <v>37883</v>
      </c>
      <c r="C20" s="18">
        <v>2920</v>
      </c>
      <c r="D20" s="60"/>
      <c r="E20" s="18">
        <v>2036.7</v>
      </c>
      <c r="F20" s="60"/>
      <c r="G20" s="973"/>
      <c r="H20" s="60"/>
      <c r="I20" s="60"/>
      <c r="J20" s="60"/>
      <c r="K20" s="92">
        <v>0</v>
      </c>
      <c r="L20" s="18"/>
      <c r="M20" s="18">
        <v>1825</v>
      </c>
      <c r="N20" s="57">
        <v>0.3</v>
      </c>
      <c r="O20" s="60">
        <v>9999999</v>
      </c>
    </row>
    <row r="21" spans="1:15" x14ac:dyDescent="0.25">
      <c r="A21" s="163">
        <v>37884</v>
      </c>
      <c r="B21" s="164">
        <v>37986</v>
      </c>
      <c r="C21" s="17">
        <v>2920</v>
      </c>
      <c r="D21" s="35"/>
      <c r="E21" s="17">
        <v>2036.7</v>
      </c>
      <c r="F21" s="35"/>
      <c r="G21" s="974"/>
      <c r="H21" s="35"/>
      <c r="I21" s="35"/>
      <c r="J21" s="35"/>
      <c r="K21" s="93">
        <v>0</v>
      </c>
      <c r="L21" s="17"/>
      <c r="M21" s="17">
        <v>1825</v>
      </c>
      <c r="N21" s="61">
        <v>0.3</v>
      </c>
      <c r="O21" s="35">
        <v>9999999</v>
      </c>
    </row>
    <row r="22" spans="1:15" x14ac:dyDescent="0.25">
      <c r="A22" s="163">
        <v>37987</v>
      </c>
      <c r="B22" s="164">
        <v>38065</v>
      </c>
      <c r="C22" s="17">
        <v>2920</v>
      </c>
      <c r="D22" s="35"/>
      <c r="E22" s="17">
        <v>2036.7</v>
      </c>
      <c r="F22" s="35"/>
      <c r="G22" s="974"/>
      <c r="H22" s="35"/>
      <c r="I22" s="35"/>
      <c r="J22" s="35"/>
      <c r="K22" s="93">
        <v>0</v>
      </c>
      <c r="L22" s="17"/>
      <c r="M22" s="17">
        <v>1825</v>
      </c>
      <c r="N22" s="61">
        <v>0.3</v>
      </c>
      <c r="O22" s="35">
        <v>9999999</v>
      </c>
    </row>
    <row r="23" spans="1:15" ht="15.75" thickBot="1" x14ac:dyDescent="0.3">
      <c r="A23" s="180">
        <v>38066</v>
      </c>
      <c r="B23" s="181">
        <v>38168</v>
      </c>
      <c r="C23" s="65">
        <v>2920</v>
      </c>
      <c r="D23" s="69"/>
      <c r="E23" s="65">
        <v>2036.7</v>
      </c>
      <c r="F23" s="69"/>
      <c r="G23" s="975"/>
      <c r="H23" s="69"/>
      <c r="I23" s="69"/>
      <c r="J23" s="69"/>
      <c r="K23" s="94">
        <v>0</v>
      </c>
      <c r="L23" s="65"/>
      <c r="M23" s="65">
        <v>1825</v>
      </c>
      <c r="N23" s="66">
        <v>0.3</v>
      </c>
      <c r="O23" s="69">
        <v>9999999</v>
      </c>
    </row>
    <row r="24" spans="1:15" x14ac:dyDescent="0.25">
      <c r="A24" s="161">
        <v>38169</v>
      </c>
      <c r="B24" s="162">
        <v>38249</v>
      </c>
      <c r="C24" s="18">
        <v>2989.35</v>
      </c>
      <c r="D24" s="60"/>
      <c r="E24" s="18">
        <v>2084.15</v>
      </c>
      <c r="F24" s="60"/>
      <c r="G24" s="973"/>
      <c r="H24" s="60"/>
      <c r="I24" s="60"/>
      <c r="J24" s="60"/>
      <c r="K24" s="92">
        <v>0</v>
      </c>
      <c r="L24" s="18"/>
      <c r="M24" s="18">
        <v>4000</v>
      </c>
      <c r="N24" s="57">
        <v>0.2</v>
      </c>
      <c r="O24" s="60">
        <v>9999999</v>
      </c>
    </row>
    <row r="25" spans="1:15" x14ac:dyDescent="0.25">
      <c r="A25" s="163">
        <v>38250</v>
      </c>
      <c r="B25" s="164">
        <v>38352</v>
      </c>
      <c r="C25" s="17">
        <v>2989.35</v>
      </c>
      <c r="D25" s="35"/>
      <c r="E25" s="17">
        <v>2084.15</v>
      </c>
      <c r="F25" s="35"/>
      <c r="G25" s="35"/>
      <c r="H25" s="35"/>
      <c r="I25" s="35"/>
      <c r="J25" s="35"/>
      <c r="K25" s="93">
        <v>0</v>
      </c>
      <c r="L25" s="17"/>
      <c r="M25" s="17">
        <v>4000</v>
      </c>
      <c r="N25" s="61">
        <v>0.2</v>
      </c>
      <c r="O25" s="35">
        <v>9999999</v>
      </c>
    </row>
    <row r="26" spans="1:15" x14ac:dyDescent="0.25">
      <c r="A26" s="163">
        <v>38353</v>
      </c>
      <c r="B26" s="164">
        <v>38430</v>
      </c>
      <c r="C26" s="17">
        <v>2989.35</v>
      </c>
      <c r="D26" s="35"/>
      <c r="E26" s="17">
        <v>2084.15</v>
      </c>
      <c r="F26" s="35"/>
      <c r="G26" s="35"/>
      <c r="H26" s="35"/>
      <c r="I26" s="35"/>
      <c r="J26" s="35"/>
      <c r="K26" s="93">
        <v>150.22999999999999</v>
      </c>
      <c r="L26" s="17"/>
      <c r="M26" s="17">
        <v>4000</v>
      </c>
      <c r="N26" s="61">
        <v>0.2</v>
      </c>
      <c r="O26" s="35">
        <v>9999999</v>
      </c>
    </row>
    <row r="27" spans="1:15" ht="15.75" thickBot="1" x14ac:dyDescent="0.3">
      <c r="A27" s="180">
        <v>38431</v>
      </c>
      <c r="B27" s="181">
        <v>38533</v>
      </c>
      <c r="C27" s="65">
        <v>2989.35</v>
      </c>
      <c r="D27" s="69"/>
      <c r="E27" s="65">
        <v>2084.15</v>
      </c>
      <c r="F27" s="69"/>
      <c r="G27" s="69"/>
      <c r="H27" s="69"/>
      <c r="I27" s="69"/>
      <c r="J27" s="69"/>
      <c r="K27" s="94">
        <v>150.22999999999999</v>
      </c>
      <c r="L27" s="65"/>
      <c r="M27" s="65">
        <v>4000</v>
      </c>
      <c r="N27" s="66">
        <v>0.2</v>
      </c>
      <c r="O27" s="69">
        <v>9999999</v>
      </c>
    </row>
    <row r="28" spans="1:15" x14ac:dyDescent="0.25">
      <c r="A28" s="161">
        <v>38534</v>
      </c>
      <c r="B28" s="162">
        <v>38614</v>
      </c>
      <c r="C28" s="18">
        <v>3066</v>
      </c>
      <c r="D28" s="60"/>
      <c r="E28" s="18">
        <v>2138.9</v>
      </c>
      <c r="F28" s="60"/>
      <c r="G28" s="60"/>
      <c r="H28" s="60"/>
      <c r="I28" s="60"/>
      <c r="J28" s="60"/>
      <c r="K28" s="92">
        <v>306.60000000000002</v>
      </c>
      <c r="L28" s="18"/>
      <c r="M28" s="18">
        <v>4088</v>
      </c>
      <c r="N28" s="57">
        <v>0.2</v>
      </c>
      <c r="O28" s="60">
        <v>9999999</v>
      </c>
    </row>
    <row r="29" spans="1:15" x14ac:dyDescent="0.25">
      <c r="A29" s="163">
        <v>38615</v>
      </c>
      <c r="B29" s="164">
        <v>38717</v>
      </c>
      <c r="C29" s="17">
        <v>3066</v>
      </c>
      <c r="D29" s="35"/>
      <c r="E29" s="17">
        <v>2138.9</v>
      </c>
      <c r="F29" s="35"/>
      <c r="G29" s="35"/>
      <c r="H29" s="35"/>
      <c r="I29" s="35"/>
      <c r="J29" s="35"/>
      <c r="K29" s="93">
        <v>306.60000000000002</v>
      </c>
      <c r="L29" s="17"/>
      <c r="M29" s="17">
        <v>4088</v>
      </c>
      <c r="N29" s="61">
        <v>0.2</v>
      </c>
      <c r="O29" s="35">
        <v>9999999</v>
      </c>
    </row>
    <row r="30" spans="1:15" x14ac:dyDescent="0.25">
      <c r="A30" s="163">
        <v>38718</v>
      </c>
      <c r="B30" s="164">
        <v>38795</v>
      </c>
      <c r="C30" s="17">
        <v>3066</v>
      </c>
      <c r="D30" s="35"/>
      <c r="E30" s="17">
        <v>2138.9</v>
      </c>
      <c r="F30" s="35"/>
      <c r="G30" s="35"/>
      <c r="H30" s="35"/>
      <c r="I30" s="35"/>
      <c r="J30" s="35"/>
      <c r="K30" s="93">
        <v>306.60000000000002</v>
      </c>
      <c r="L30" s="17"/>
      <c r="M30" s="17">
        <v>4088</v>
      </c>
      <c r="N30" s="61">
        <v>0.2</v>
      </c>
      <c r="O30" s="35">
        <v>9999999</v>
      </c>
    </row>
    <row r="31" spans="1:15" ht="15.75" thickBot="1" x14ac:dyDescent="0.3">
      <c r="A31" s="180">
        <v>38796</v>
      </c>
      <c r="B31" s="181">
        <v>38898</v>
      </c>
      <c r="C31" s="65">
        <v>3066</v>
      </c>
      <c r="D31" s="69"/>
      <c r="E31" s="65">
        <v>2138.9</v>
      </c>
      <c r="F31" s="69"/>
      <c r="G31" s="69"/>
      <c r="H31" s="69"/>
      <c r="I31" s="69"/>
      <c r="J31" s="69"/>
      <c r="K31" s="94">
        <v>306.60000000000002</v>
      </c>
      <c r="L31" s="65"/>
      <c r="M31" s="65">
        <v>4088</v>
      </c>
      <c r="N31" s="66">
        <v>0.2</v>
      </c>
      <c r="O31" s="69">
        <v>9999999</v>
      </c>
    </row>
    <row r="32" spans="1:15" x14ac:dyDescent="0.25">
      <c r="A32" s="161">
        <v>38899</v>
      </c>
      <c r="B32" s="162">
        <v>38979</v>
      </c>
      <c r="C32" s="18">
        <v>3153.6</v>
      </c>
      <c r="D32" s="60"/>
      <c r="E32" s="18">
        <v>2197.2999999999997</v>
      </c>
      <c r="F32" s="60"/>
      <c r="G32" s="60"/>
      <c r="H32" s="60"/>
      <c r="I32" s="60"/>
      <c r="J32" s="60"/>
      <c r="K32" s="92">
        <v>313.89999999999998</v>
      </c>
      <c r="L32" s="18"/>
      <c r="M32" s="18">
        <v>4234</v>
      </c>
      <c r="N32" s="57">
        <v>0.2</v>
      </c>
      <c r="O32" s="60">
        <v>9999999</v>
      </c>
    </row>
    <row r="33" spans="1:15" x14ac:dyDescent="0.25">
      <c r="A33" s="163">
        <v>38980</v>
      </c>
      <c r="B33" s="164">
        <v>39082</v>
      </c>
      <c r="C33" s="17">
        <v>3153.6</v>
      </c>
      <c r="D33" s="35"/>
      <c r="E33" s="17">
        <v>2197.2999999999997</v>
      </c>
      <c r="F33" s="35"/>
      <c r="G33" s="35"/>
      <c r="H33" s="35"/>
      <c r="I33" s="35"/>
      <c r="J33" s="35"/>
      <c r="K33" s="93">
        <v>313.89999999999998</v>
      </c>
      <c r="L33" s="17"/>
      <c r="M33" s="17">
        <v>4234</v>
      </c>
      <c r="N33" s="61">
        <v>0.2</v>
      </c>
      <c r="O33" s="35">
        <v>9999999</v>
      </c>
    </row>
    <row r="34" spans="1:15" x14ac:dyDescent="0.25">
      <c r="A34" s="163">
        <v>39083</v>
      </c>
      <c r="B34" s="164">
        <v>39160</v>
      </c>
      <c r="C34" s="17">
        <v>3153.6</v>
      </c>
      <c r="D34" s="35"/>
      <c r="E34" s="17">
        <v>2197.2999999999997</v>
      </c>
      <c r="F34" s="35"/>
      <c r="G34" s="35"/>
      <c r="H34" s="35"/>
      <c r="I34" s="35"/>
      <c r="J34" s="35"/>
      <c r="K34" s="93">
        <v>313.89999999999998</v>
      </c>
      <c r="L34" s="17"/>
      <c r="M34" s="17">
        <v>4234</v>
      </c>
      <c r="N34" s="61">
        <v>0.2</v>
      </c>
      <c r="O34" s="35">
        <v>9999999</v>
      </c>
    </row>
    <row r="35" spans="1:15" ht="15.75" thickBot="1" x14ac:dyDescent="0.3">
      <c r="A35" s="180">
        <v>39161</v>
      </c>
      <c r="B35" s="181">
        <v>39263</v>
      </c>
      <c r="C35" s="65">
        <v>3153.6</v>
      </c>
      <c r="D35" s="69"/>
      <c r="E35" s="65">
        <v>2197.2999999999997</v>
      </c>
      <c r="F35" s="69"/>
      <c r="G35" s="69"/>
      <c r="H35" s="69"/>
      <c r="I35" s="69"/>
      <c r="J35" s="69"/>
      <c r="K35" s="94">
        <v>313.89999999999998</v>
      </c>
      <c r="L35" s="65"/>
      <c r="M35" s="65">
        <v>4234</v>
      </c>
      <c r="N35" s="66">
        <v>0.2</v>
      </c>
      <c r="O35" s="69">
        <v>9999999</v>
      </c>
    </row>
    <row r="36" spans="1:15" x14ac:dyDescent="0.25">
      <c r="A36" s="161">
        <v>39264</v>
      </c>
      <c r="B36" s="162">
        <v>39344</v>
      </c>
      <c r="C36" s="18">
        <v>3259.45</v>
      </c>
      <c r="D36" s="60"/>
      <c r="E36" s="18">
        <v>2270.2999999999997</v>
      </c>
      <c r="F36" s="60"/>
      <c r="G36" s="60"/>
      <c r="H36" s="60"/>
      <c r="I36" s="60"/>
      <c r="J36" s="60"/>
      <c r="K36" s="92">
        <v>324.84999999999997</v>
      </c>
      <c r="L36" s="18"/>
      <c r="M36" s="18">
        <v>4380</v>
      </c>
      <c r="N36" s="57">
        <v>0.2</v>
      </c>
      <c r="O36" s="60">
        <v>9999999</v>
      </c>
    </row>
    <row r="37" spans="1:15" x14ac:dyDescent="0.25">
      <c r="A37" s="163">
        <v>39345</v>
      </c>
      <c r="B37" s="164">
        <v>39447</v>
      </c>
      <c r="C37" s="17">
        <v>3259.45</v>
      </c>
      <c r="D37" s="35"/>
      <c r="E37" s="17">
        <v>2270.2999999999997</v>
      </c>
      <c r="F37" s="35"/>
      <c r="G37" s="35"/>
      <c r="H37" s="35"/>
      <c r="I37" s="35"/>
      <c r="J37" s="35"/>
      <c r="K37" s="93">
        <v>324.84999999999997</v>
      </c>
      <c r="L37" s="17"/>
      <c r="M37" s="17">
        <v>4380</v>
      </c>
      <c r="N37" s="61">
        <v>0.2</v>
      </c>
      <c r="O37" s="35">
        <v>9999999</v>
      </c>
    </row>
    <row r="38" spans="1:15" x14ac:dyDescent="0.25">
      <c r="A38" s="163">
        <v>39448</v>
      </c>
      <c r="B38" s="164">
        <v>39526</v>
      </c>
      <c r="C38" s="17">
        <v>3259.45</v>
      </c>
      <c r="D38" s="35"/>
      <c r="E38" s="17">
        <v>2270.2999999999997</v>
      </c>
      <c r="F38" s="35"/>
      <c r="G38" s="35"/>
      <c r="H38" s="35"/>
      <c r="I38" s="35"/>
      <c r="J38" s="35"/>
      <c r="K38" s="93">
        <v>324.84999999999997</v>
      </c>
      <c r="L38" s="17"/>
      <c r="M38" s="17">
        <v>4380</v>
      </c>
      <c r="N38" s="61">
        <v>0.2</v>
      </c>
      <c r="O38" s="35">
        <v>9999999</v>
      </c>
    </row>
    <row r="39" spans="1:15" ht="15.75" thickBot="1" x14ac:dyDescent="0.3">
      <c r="A39" s="180">
        <v>39527</v>
      </c>
      <c r="B39" s="181">
        <v>39629</v>
      </c>
      <c r="C39" s="65">
        <v>3259.45</v>
      </c>
      <c r="D39" s="69"/>
      <c r="E39" s="65">
        <v>2270.2999999999997</v>
      </c>
      <c r="F39" s="69"/>
      <c r="G39" s="69"/>
      <c r="H39" s="69"/>
      <c r="I39" s="69"/>
      <c r="J39" s="69"/>
      <c r="K39" s="94">
        <v>324.84999999999997</v>
      </c>
      <c r="L39" s="65"/>
      <c r="M39" s="65">
        <v>4380</v>
      </c>
      <c r="N39" s="66">
        <v>0.2</v>
      </c>
      <c r="O39" s="69">
        <v>9999999</v>
      </c>
    </row>
    <row r="40" spans="1:15" x14ac:dyDescent="0.25">
      <c r="A40" s="161">
        <v>39630</v>
      </c>
      <c r="B40" s="162">
        <v>39710</v>
      </c>
      <c r="C40" s="18">
        <v>3358</v>
      </c>
      <c r="D40" s="60"/>
      <c r="E40" s="18">
        <v>2339.65</v>
      </c>
      <c r="F40" s="60"/>
      <c r="G40" s="60"/>
      <c r="H40" s="60"/>
      <c r="I40" s="60"/>
      <c r="J40" s="60"/>
      <c r="K40" s="92">
        <v>335.8</v>
      </c>
      <c r="L40" s="18"/>
      <c r="M40" s="18">
        <v>4526</v>
      </c>
      <c r="N40" s="57">
        <v>0.2</v>
      </c>
      <c r="O40" s="60">
        <v>150000</v>
      </c>
    </row>
    <row r="41" spans="1:15" x14ac:dyDescent="0.25">
      <c r="A41" s="163">
        <v>39711</v>
      </c>
      <c r="B41" s="164">
        <v>39813</v>
      </c>
      <c r="C41" s="17">
        <v>3358</v>
      </c>
      <c r="D41" s="35"/>
      <c r="E41" s="17">
        <v>2339.65</v>
      </c>
      <c r="F41" s="35"/>
      <c r="G41" s="35"/>
      <c r="H41" s="35"/>
      <c r="I41" s="35"/>
      <c r="J41" s="35"/>
      <c r="K41" s="93">
        <v>335.8</v>
      </c>
      <c r="L41" s="17"/>
      <c r="M41" s="17">
        <v>4526</v>
      </c>
      <c r="N41" s="61">
        <v>0.2</v>
      </c>
      <c r="O41" s="35">
        <v>150000</v>
      </c>
    </row>
    <row r="42" spans="1:15" x14ac:dyDescent="0.25">
      <c r="A42" s="163">
        <v>39814</v>
      </c>
      <c r="B42" s="164">
        <v>39891</v>
      </c>
      <c r="C42" s="17">
        <v>3358</v>
      </c>
      <c r="D42" s="35"/>
      <c r="E42" s="17">
        <v>2339.65</v>
      </c>
      <c r="F42" s="35"/>
      <c r="G42" s="35"/>
      <c r="H42" s="35"/>
      <c r="I42" s="35"/>
      <c r="J42" s="35"/>
      <c r="K42" s="93">
        <v>335.8</v>
      </c>
      <c r="L42" s="17"/>
      <c r="M42" s="17">
        <v>4526</v>
      </c>
      <c r="N42" s="61">
        <v>0.2</v>
      </c>
      <c r="O42" s="35">
        <v>150000</v>
      </c>
    </row>
    <row r="43" spans="1:15" ht="15.75" thickBot="1" x14ac:dyDescent="0.3">
      <c r="A43" s="180">
        <v>39892</v>
      </c>
      <c r="B43" s="181">
        <v>39994</v>
      </c>
      <c r="C43" s="65">
        <v>3358</v>
      </c>
      <c r="D43" s="69"/>
      <c r="E43" s="65">
        <v>2339.65</v>
      </c>
      <c r="F43" s="69"/>
      <c r="G43" s="69"/>
      <c r="H43" s="69"/>
      <c r="I43" s="69"/>
      <c r="J43" s="69"/>
      <c r="K43" s="94">
        <v>335.8</v>
      </c>
      <c r="L43" s="65"/>
      <c r="M43" s="65">
        <v>4526</v>
      </c>
      <c r="N43" s="66">
        <v>0.2</v>
      </c>
      <c r="O43" s="69">
        <v>150000</v>
      </c>
    </row>
    <row r="44" spans="1:15" x14ac:dyDescent="0.25">
      <c r="A44" s="163">
        <v>39995</v>
      </c>
      <c r="B44" s="164">
        <v>40075</v>
      </c>
      <c r="C44" s="17">
        <v>3482.1</v>
      </c>
      <c r="D44" s="35"/>
      <c r="E44" s="17">
        <v>2427.25</v>
      </c>
      <c r="F44" s="35"/>
      <c r="G44" s="60"/>
      <c r="H44" s="60"/>
      <c r="I44" s="60"/>
      <c r="J44" s="19"/>
      <c r="K44" s="17">
        <v>346.75</v>
      </c>
      <c r="L44" s="17"/>
      <c r="M44" s="17">
        <v>4672</v>
      </c>
      <c r="N44" s="61">
        <v>0.2</v>
      </c>
      <c r="O44" s="60">
        <v>150000</v>
      </c>
    </row>
    <row r="45" spans="1:15" x14ac:dyDescent="0.25">
      <c r="A45" s="163">
        <v>40076</v>
      </c>
      <c r="B45" s="164">
        <v>40178</v>
      </c>
      <c r="C45" s="17">
        <v>3482.1</v>
      </c>
      <c r="D45" s="35"/>
      <c r="E45" s="17">
        <v>2427.25</v>
      </c>
      <c r="F45" s="35"/>
      <c r="G45" s="35"/>
      <c r="H45" s="35"/>
      <c r="I45" s="35"/>
      <c r="J45" s="19"/>
      <c r="K45" s="17">
        <v>346.75</v>
      </c>
      <c r="L45" s="17"/>
      <c r="M45" s="17">
        <v>4672</v>
      </c>
      <c r="N45" s="61">
        <v>0.2</v>
      </c>
      <c r="O45" s="35">
        <v>150000</v>
      </c>
    </row>
    <row r="46" spans="1:15" x14ac:dyDescent="0.25">
      <c r="A46" s="163">
        <v>40179</v>
      </c>
      <c r="B46" s="164">
        <v>40256</v>
      </c>
      <c r="C46" s="17">
        <v>3482.1</v>
      </c>
      <c r="D46" s="35"/>
      <c r="E46" s="17">
        <v>2427.25</v>
      </c>
      <c r="F46" s="35"/>
      <c r="G46" s="35"/>
      <c r="H46" s="35"/>
      <c r="I46" s="35"/>
      <c r="J46" s="19"/>
      <c r="K46" s="17">
        <v>346.75</v>
      </c>
      <c r="L46" s="17"/>
      <c r="M46" s="17">
        <v>4672</v>
      </c>
      <c r="N46" s="61">
        <v>0.2</v>
      </c>
      <c r="O46" s="35">
        <v>150000</v>
      </c>
    </row>
    <row r="47" spans="1:15" ht="15.75" thickBot="1" x14ac:dyDescent="0.3">
      <c r="A47" s="180">
        <v>40257</v>
      </c>
      <c r="B47" s="181">
        <v>40359</v>
      </c>
      <c r="C47" s="65">
        <v>3482.1</v>
      </c>
      <c r="D47" s="69"/>
      <c r="E47" s="65">
        <v>2427.25</v>
      </c>
      <c r="F47" s="69"/>
      <c r="G47" s="69"/>
      <c r="H47" s="69"/>
      <c r="I47" s="69"/>
      <c r="J47" s="68"/>
      <c r="K47" s="65">
        <v>346.75</v>
      </c>
      <c r="L47" s="65"/>
      <c r="M47" s="65">
        <v>4672</v>
      </c>
      <c r="N47" s="66">
        <v>0.2</v>
      </c>
      <c r="O47" s="69">
        <v>150000</v>
      </c>
    </row>
    <row r="48" spans="1:15" x14ac:dyDescent="0.25">
      <c r="A48" s="161">
        <v>40360</v>
      </c>
      <c r="B48" s="162">
        <v>40440</v>
      </c>
      <c r="C48" s="18">
        <v>3555.1</v>
      </c>
      <c r="D48" s="60"/>
      <c r="E48" s="18">
        <v>2478.35</v>
      </c>
      <c r="F48" s="60"/>
      <c r="G48" s="60"/>
      <c r="H48" s="60"/>
      <c r="I48" s="60"/>
      <c r="J48" s="60"/>
      <c r="K48" s="92">
        <v>354.05</v>
      </c>
      <c r="L48" s="17"/>
      <c r="M48" s="17">
        <v>4745</v>
      </c>
      <c r="N48" s="61">
        <v>0.2</v>
      </c>
      <c r="O48" s="92">
        <v>150000</v>
      </c>
    </row>
    <row r="49" spans="1:15" x14ac:dyDescent="0.25">
      <c r="A49" s="163">
        <v>40441</v>
      </c>
      <c r="B49" s="164">
        <v>40543</v>
      </c>
      <c r="C49" s="17">
        <v>3555.1</v>
      </c>
      <c r="D49" s="35"/>
      <c r="E49" s="17">
        <v>2478.35</v>
      </c>
      <c r="F49" s="35"/>
      <c r="G49" s="35"/>
      <c r="H49" s="35"/>
      <c r="I49" s="35"/>
      <c r="J49" s="35"/>
      <c r="K49" s="93">
        <v>354.05</v>
      </c>
      <c r="L49" s="17"/>
      <c r="M49" s="17">
        <v>4745</v>
      </c>
      <c r="N49" s="61">
        <v>0.2</v>
      </c>
      <c r="O49" s="93">
        <v>150000</v>
      </c>
    </row>
    <row r="50" spans="1:15" x14ac:dyDescent="0.25">
      <c r="A50" s="163">
        <v>40544</v>
      </c>
      <c r="B50" s="164">
        <v>40621</v>
      </c>
      <c r="C50" s="17">
        <v>3555.1</v>
      </c>
      <c r="D50" s="35"/>
      <c r="E50" s="17">
        <v>2478.35</v>
      </c>
      <c r="F50" s="35"/>
      <c r="G50" s="35"/>
      <c r="H50" s="35"/>
      <c r="I50" s="35"/>
      <c r="J50" s="35"/>
      <c r="K50" s="93">
        <v>354.05</v>
      </c>
      <c r="L50" s="17"/>
      <c r="M50" s="17">
        <v>4745</v>
      </c>
      <c r="N50" s="61">
        <v>0.2</v>
      </c>
      <c r="O50" s="93">
        <v>150000</v>
      </c>
    </row>
    <row r="51" spans="1:15" ht="15.75" thickBot="1" x14ac:dyDescent="0.3">
      <c r="A51" s="180">
        <v>40622</v>
      </c>
      <c r="B51" s="181">
        <v>40724</v>
      </c>
      <c r="C51" s="65">
        <v>3555.1</v>
      </c>
      <c r="D51" s="69"/>
      <c r="E51" s="65">
        <v>2478.35</v>
      </c>
      <c r="F51" s="69"/>
      <c r="G51" s="69"/>
      <c r="H51" s="69"/>
      <c r="I51" s="69"/>
      <c r="J51" s="69"/>
      <c r="K51" s="94">
        <v>354.05</v>
      </c>
      <c r="L51" s="65"/>
      <c r="M51" s="65">
        <v>4745</v>
      </c>
      <c r="N51" s="66">
        <v>0.2</v>
      </c>
      <c r="O51" s="94">
        <v>150000</v>
      </c>
    </row>
    <row r="52" spans="1:15" x14ac:dyDescent="0.25">
      <c r="A52" s="161">
        <v>40725</v>
      </c>
      <c r="B52" s="162">
        <v>40805</v>
      </c>
      <c r="C52" s="18">
        <v>3650</v>
      </c>
      <c r="D52" s="60"/>
      <c r="E52" s="18">
        <v>2544.0499999999997</v>
      </c>
      <c r="F52" s="60"/>
      <c r="G52" s="60"/>
      <c r="H52" s="60"/>
      <c r="I52" s="60"/>
      <c r="J52" s="60"/>
      <c r="K52" s="92">
        <v>354.05</v>
      </c>
      <c r="L52" s="18"/>
      <c r="M52" s="18">
        <v>4891</v>
      </c>
      <c r="N52" s="57">
        <v>0.2</v>
      </c>
      <c r="O52" s="92">
        <v>150000</v>
      </c>
    </row>
    <row r="53" spans="1:15" x14ac:dyDescent="0.25">
      <c r="A53" s="163">
        <v>40806</v>
      </c>
      <c r="B53" s="164">
        <v>40908</v>
      </c>
      <c r="C53" s="17">
        <v>3650</v>
      </c>
      <c r="D53" s="35"/>
      <c r="E53" s="17">
        <v>2544.0499999999997</v>
      </c>
      <c r="F53" s="35"/>
      <c r="G53" s="35"/>
      <c r="H53" s="35"/>
      <c r="I53" s="35"/>
      <c r="J53" s="35"/>
      <c r="K53" s="93">
        <v>354.05</v>
      </c>
      <c r="L53" s="17"/>
      <c r="M53" s="17">
        <v>4891</v>
      </c>
      <c r="N53" s="61">
        <v>0.2</v>
      </c>
      <c r="O53" s="93">
        <v>150000</v>
      </c>
    </row>
    <row r="54" spans="1:15" x14ac:dyDescent="0.25">
      <c r="A54" s="163">
        <v>40909</v>
      </c>
      <c r="B54" s="164">
        <v>40987</v>
      </c>
      <c r="C54" s="17">
        <v>3650</v>
      </c>
      <c r="D54" s="35"/>
      <c r="E54" s="17">
        <v>2544.0499999999997</v>
      </c>
      <c r="F54" s="35"/>
      <c r="G54" s="35"/>
      <c r="H54" s="35"/>
      <c r="I54" s="35"/>
      <c r="J54" s="35"/>
      <c r="K54" s="93">
        <v>354.05</v>
      </c>
      <c r="L54" s="17"/>
      <c r="M54" s="17">
        <v>4891</v>
      </c>
      <c r="N54" s="61">
        <v>0.2</v>
      </c>
      <c r="O54" s="93">
        <v>150000</v>
      </c>
    </row>
    <row r="55" spans="1:15" ht="15.75" thickBot="1" x14ac:dyDescent="0.3">
      <c r="A55" s="180">
        <v>40988</v>
      </c>
      <c r="B55" s="181">
        <v>41090</v>
      </c>
      <c r="C55" s="65">
        <v>3650</v>
      </c>
      <c r="D55" s="69"/>
      <c r="E55" s="65">
        <v>2544.0499999999997</v>
      </c>
      <c r="F55" s="69"/>
      <c r="G55" s="69"/>
      <c r="H55" s="69"/>
      <c r="I55" s="69"/>
      <c r="J55" s="69"/>
      <c r="K55" s="94">
        <v>354.05</v>
      </c>
      <c r="L55" s="65"/>
      <c r="M55" s="65">
        <v>4891</v>
      </c>
      <c r="N55" s="66">
        <v>0.2</v>
      </c>
      <c r="O55" s="94">
        <v>150000</v>
      </c>
    </row>
    <row r="56" spans="1:15" x14ac:dyDescent="0.25">
      <c r="A56" s="161">
        <v>41091</v>
      </c>
      <c r="B56" s="162">
        <v>41171</v>
      </c>
      <c r="C56" s="18">
        <v>3763.15</v>
      </c>
      <c r="D56" s="60"/>
      <c r="E56" s="18">
        <v>2624.35</v>
      </c>
      <c r="F56" s="60"/>
      <c r="G56" s="60"/>
      <c r="H56" s="60"/>
      <c r="I56" s="60"/>
      <c r="J56" s="60"/>
      <c r="K56" s="92">
        <v>354.05</v>
      </c>
      <c r="L56" s="18"/>
      <c r="M56" s="18">
        <v>5037</v>
      </c>
      <c r="N56" s="57">
        <v>0.2</v>
      </c>
      <c r="O56" s="92">
        <v>150000</v>
      </c>
    </row>
    <row r="57" spans="1:15" x14ac:dyDescent="0.25">
      <c r="A57" s="163">
        <v>41172</v>
      </c>
      <c r="B57" s="164">
        <v>41274</v>
      </c>
      <c r="C57" s="17">
        <v>3763.15</v>
      </c>
      <c r="D57" s="35"/>
      <c r="E57" s="17">
        <v>2624.35</v>
      </c>
      <c r="F57" s="35"/>
      <c r="G57" s="35"/>
      <c r="H57" s="35"/>
      <c r="I57" s="35"/>
      <c r="J57" s="35"/>
      <c r="K57" s="93">
        <v>354.05</v>
      </c>
      <c r="L57" s="17"/>
      <c r="M57" s="17">
        <v>5037</v>
      </c>
      <c r="N57" s="61">
        <v>0.2</v>
      </c>
      <c r="O57" s="93">
        <v>150000</v>
      </c>
    </row>
    <row r="58" spans="1:15" s="5" customFormat="1" x14ac:dyDescent="0.25">
      <c r="A58" s="496">
        <v>41275</v>
      </c>
      <c r="B58" s="497">
        <v>41352</v>
      </c>
      <c r="C58" s="375">
        <v>3763.15</v>
      </c>
      <c r="D58" s="374"/>
      <c r="E58" s="375">
        <v>2624.35</v>
      </c>
      <c r="F58" s="374"/>
      <c r="G58" s="374"/>
      <c r="H58" s="374"/>
      <c r="I58" s="374"/>
      <c r="J58" s="374"/>
      <c r="K58" s="373">
        <v>354.05</v>
      </c>
      <c r="L58" s="375"/>
      <c r="M58" s="375">
        <v>5037</v>
      </c>
      <c r="N58" s="377">
        <v>0.2</v>
      </c>
      <c r="O58" s="373">
        <v>150000</v>
      </c>
    </row>
    <row r="59" spans="1:15" s="5" customFormat="1" ht="15.75" thickBot="1" x14ac:dyDescent="0.3">
      <c r="A59" s="538">
        <v>41353</v>
      </c>
      <c r="B59" s="539">
        <v>41455</v>
      </c>
      <c r="C59" s="540">
        <v>3763.15</v>
      </c>
      <c r="D59" s="541"/>
      <c r="E59" s="540">
        <v>2624.35</v>
      </c>
      <c r="F59" s="541"/>
      <c r="G59" s="541"/>
      <c r="H59" s="541"/>
      <c r="I59" s="541"/>
      <c r="J59" s="541"/>
      <c r="K59" s="542">
        <v>354.05</v>
      </c>
      <c r="L59" s="540"/>
      <c r="M59" s="540">
        <v>5037</v>
      </c>
      <c r="N59" s="545">
        <v>0.2</v>
      </c>
      <c r="O59" s="542">
        <v>150000</v>
      </c>
    </row>
    <row r="60" spans="1:15" x14ac:dyDescent="0.25">
      <c r="A60" s="531">
        <v>41456</v>
      </c>
      <c r="B60" s="532">
        <v>41536</v>
      </c>
      <c r="C60" s="534">
        <v>3817.9</v>
      </c>
      <c r="D60" s="535">
        <v>69.349999999999994</v>
      </c>
      <c r="E60" s="534">
        <v>2664.5</v>
      </c>
      <c r="F60" s="535">
        <v>51.1</v>
      </c>
      <c r="G60" s="535"/>
      <c r="H60" s="535"/>
      <c r="I60" s="535"/>
      <c r="J60" s="535"/>
      <c r="K60" s="533">
        <v>354.05</v>
      </c>
      <c r="L60" s="534"/>
      <c r="M60" s="534">
        <v>5183</v>
      </c>
      <c r="N60" s="547">
        <v>0.2</v>
      </c>
      <c r="O60" s="533">
        <v>150000</v>
      </c>
    </row>
    <row r="61" spans="1:15" x14ac:dyDescent="0.25">
      <c r="A61" s="496">
        <v>41537</v>
      </c>
      <c r="B61" s="497">
        <v>41639</v>
      </c>
      <c r="C61" s="375">
        <v>3817.9</v>
      </c>
      <c r="D61" s="374">
        <v>69.349999999999994</v>
      </c>
      <c r="E61" s="375">
        <v>2664.5</v>
      </c>
      <c r="F61" s="374">
        <v>51.1</v>
      </c>
      <c r="G61" s="374"/>
      <c r="H61" s="374"/>
      <c r="I61" s="374"/>
      <c r="J61" s="374"/>
      <c r="K61" s="373">
        <v>354.05</v>
      </c>
      <c r="L61" s="375"/>
      <c r="M61" s="375">
        <v>5183</v>
      </c>
      <c r="N61" s="377">
        <v>0.2</v>
      </c>
      <c r="O61" s="373">
        <v>150000</v>
      </c>
    </row>
    <row r="62" spans="1:15" x14ac:dyDescent="0.25">
      <c r="A62" s="496">
        <v>41640</v>
      </c>
      <c r="B62" s="497">
        <v>41717</v>
      </c>
      <c r="C62" s="375">
        <v>3817.9</v>
      </c>
      <c r="D62" s="374">
        <v>69.349999999999994</v>
      </c>
      <c r="E62" s="375">
        <v>2664.5</v>
      </c>
      <c r="F62" s="374">
        <v>51.1</v>
      </c>
      <c r="G62" s="374"/>
      <c r="H62" s="374"/>
      <c r="I62" s="374"/>
      <c r="J62" s="374"/>
      <c r="K62" s="373">
        <v>354.05</v>
      </c>
      <c r="L62" s="375"/>
      <c r="M62" s="375">
        <v>5183</v>
      </c>
      <c r="N62" s="377">
        <v>0.2</v>
      </c>
      <c r="O62" s="373">
        <v>150000</v>
      </c>
    </row>
    <row r="63" spans="1:15" ht="15.75" thickBot="1" x14ac:dyDescent="0.3">
      <c r="A63" s="538">
        <v>41718</v>
      </c>
      <c r="B63" s="539">
        <v>41820</v>
      </c>
      <c r="C63" s="540">
        <v>3817.9</v>
      </c>
      <c r="D63" s="541">
        <v>69.349999999999994</v>
      </c>
      <c r="E63" s="540">
        <v>2664.5</v>
      </c>
      <c r="F63" s="541">
        <v>51.1</v>
      </c>
      <c r="G63" s="541"/>
      <c r="H63" s="541"/>
      <c r="I63" s="541"/>
      <c r="J63" s="541"/>
      <c r="K63" s="542">
        <v>354.05</v>
      </c>
      <c r="L63" s="540"/>
      <c r="M63" s="540">
        <v>5183</v>
      </c>
      <c r="N63" s="545">
        <v>0.2</v>
      </c>
      <c r="O63" s="542">
        <v>150000</v>
      </c>
    </row>
    <row r="64" spans="1:15" s="5" customFormat="1" x14ac:dyDescent="0.25">
      <c r="A64" s="531">
        <v>41821</v>
      </c>
      <c r="B64" s="532">
        <v>41901</v>
      </c>
      <c r="C64" s="534">
        <v>3920.1</v>
      </c>
      <c r="D64" s="535">
        <v>73</v>
      </c>
      <c r="E64" s="534">
        <v>2737.5</v>
      </c>
      <c r="F64" s="535">
        <v>51.1</v>
      </c>
      <c r="G64" s="535"/>
      <c r="H64" s="535"/>
      <c r="I64" s="535"/>
      <c r="J64" s="535"/>
      <c r="K64" s="533">
        <v>354.05</v>
      </c>
      <c r="L64" s="534"/>
      <c r="M64" s="534">
        <v>5329</v>
      </c>
      <c r="N64" s="547">
        <v>0.2</v>
      </c>
      <c r="O64" s="533">
        <v>150000</v>
      </c>
    </row>
    <row r="65" spans="1:29" s="5" customFormat="1" x14ac:dyDescent="0.25">
      <c r="A65" s="496">
        <v>41902</v>
      </c>
      <c r="B65" s="497">
        <v>42004</v>
      </c>
      <c r="C65" s="375">
        <v>3920.1</v>
      </c>
      <c r="D65" s="374">
        <v>73</v>
      </c>
      <c r="E65" s="375">
        <v>2737.5</v>
      </c>
      <c r="F65" s="374">
        <v>51.1</v>
      </c>
      <c r="G65" s="374"/>
      <c r="H65" s="374"/>
      <c r="I65" s="374"/>
      <c r="J65" s="374"/>
      <c r="K65" s="373">
        <v>354.05</v>
      </c>
      <c r="L65" s="375"/>
      <c r="M65" s="375">
        <v>5329</v>
      </c>
      <c r="N65" s="377">
        <v>0.2</v>
      </c>
      <c r="O65" s="373">
        <v>150000</v>
      </c>
    </row>
    <row r="66" spans="1:29" s="5" customFormat="1" x14ac:dyDescent="0.25">
      <c r="A66" s="496">
        <v>42005</v>
      </c>
      <c r="B66" s="497">
        <v>42082</v>
      </c>
      <c r="C66" s="375">
        <v>3920.1</v>
      </c>
      <c r="D66" s="374">
        <v>73</v>
      </c>
      <c r="E66" s="375">
        <v>2737.5</v>
      </c>
      <c r="F66" s="374">
        <v>51.1</v>
      </c>
      <c r="G66" s="374"/>
      <c r="H66" s="374"/>
      <c r="I66" s="374"/>
      <c r="J66" s="374"/>
      <c r="K66" s="373">
        <v>354.05</v>
      </c>
      <c r="L66" s="375"/>
      <c r="M66" s="375">
        <v>5329</v>
      </c>
      <c r="N66" s="377">
        <v>0.2</v>
      </c>
      <c r="O66" s="373">
        <v>150000</v>
      </c>
    </row>
    <row r="67" spans="1:29" s="5" customFormat="1" ht="15.75" thickBot="1" x14ac:dyDescent="0.3">
      <c r="A67" s="538">
        <v>42083</v>
      </c>
      <c r="B67" s="539">
        <v>42185</v>
      </c>
      <c r="C67" s="540">
        <v>3920.1</v>
      </c>
      <c r="D67" s="541">
        <v>73</v>
      </c>
      <c r="E67" s="540">
        <v>2737.5</v>
      </c>
      <c r="F67" s="541">
        <v>51.1</v>
      </c>
      <c r="G67" s="541"/>
      <c r="H67" s="541"/>
      <c r="I67" s="541"/>
      <c r="J67" s="541"/>
      <c r="K67" s="542">
        <v>354.05</v>
      </c>
      <c r="L67" s="540"/>
      <c r="M67" s="375">
        <v>5329</v>
      </c>
      <c r="N67" s="545">
        <v>0.2</v>
      </c>
      <c r="O67" s="542">
        <v>150000</v>
      </c>
    </row>
    <row r="68" spans="1:29" x14ac:dyDescent="0.25">
      <c r="A68" s="647">
        <v>42186</v>
      </c>
      <c r="B68" s="648">
        <v>42266</v>
      </c>
      <c r="C68" s="534">
        <f>IndexAmt(C67,"peCpiFp",$B65,3.65,12)</f>
        <v>3985.7999999999997</v>
      </c>
      <c r="D68" s="535">
        <f>IndexAmt(D67,"peCpiFp",$B65,3.65,12)</f>
        <v>73</v>
      </c>
      <c r="E68" s="534">
        <f>IndexAmt(E67,"peCpiFp",$B65,3.65,12)</f>
        <v>2784.95</v>
      </c>
      <c r="F68" s="535">
        <f>IndexAmt(F67,"peCpiFp",$B65,3.65,12)</f>
        <v>51.1</v>
      </c>
      <c r="G68" s="535"/>
      <c r="H68" s="535"/>
      <c r="I68" s="535"/>
      <c r="J68" s="535"/>
      <c r="K68" s="535">
        <f>K67</f>
        <v>354.05</v>
      </c>
      <c r="L68"/>
      <c r="M68" s="534">
        <f>IndexAmt(M67,"peCpiFp",$B65,73,12)</f>
        <v>5402</v>
      </c>
      <c r="N68" s="547">
        <v>0.2</v>
      </c>
      <c r="O68" s="533">
        <v>100000</v>
      </c>
    </row>
    <row r="69" spans="1:29" x14ac:dyDescent="0.25">
      <c r="A69" s="557">
        <v>42267</v>
      </c>
      <c r="B69" s="558">
        <v>42369</v>
      </c>
      <c r="C69" s="375">
        <f>C68</f>
        <v>3985.7999999999997</v>
      </c>
      <c r="D69" s="374">
        <f>D68</f>
        <v>73</v>
      </c>
      <c r="E69" s="375">
        <f>E68</f>
        <v>2784.95</v>
      </c>
      <c r="F69" s="374">
        <f>F68</f>
        <v>51.1</v>
      </c>
      <c r="G69" s="374"/>
      <c r="H69" s="374"/>
      <c r="I69" s="374"/>
      <c r="J69" s="374"/>
      <c r="K69" s="373">
        <f>K68</f>
        <v>354.05</v>
      </c>
      <c r="L69" s="5"/>
      <c r="M69" s="375">
        <f t="shared" ref="M69:M91" si="0">M68</f>
        <v>5402</v>
      </c>
      <c r="N69" s="377">
        <v>0.2</v>
      </c>
      <c r="O69" s="373">
        <f>O68</f>
        <v>100000</v>
      </c>
    </row>
    <row r="70" spans="1:29" s="5" customFormat="1" x14ac:dyDescent="0.25">
      <c r="A70" s="557">
        <v>42370</v>
      </c>
      <c r="B70" s="558">
        <v>42448</v>
      </c>
      <c r="C70" s="375">
        <v>3985.8</v>
      </c>
      <c r="D70" s="374">
        <v>73</v>
      </c>
      <c r="E70" s="375">
        <v>2784.95</v>
      </c>
      <c r="F70" s="374">
        <v>51.1</v>
      </c>
      <c r="G70" s="374"/>
      <c r="H70" s="374"/>
      <c r="I70" s="374"/>
      <c r="J70" s="374"/>
      <c r="K70" s="373">
        <v>354.05</v>
      </c>
      <c r="M70" s="375">
        <v>5402</v>
      </c>
      <c r="N70" s="377">
        <v>0.2</v>
      </c>
      <c r="O70" s="373">
        <v>100000</v>
      </c>
      <c r="P70" s="28"/>
      <c r="Q70" s="994"/>
      <c r="R70" s="994"/>
      <c r="S70" s="995"/>
      <c r="T70" s="994"/>
      <c r="U70" s="995"/>
      <c r="V70" s="995"/>
      <c r="W70" s="995"/>
      <c r="X70" s="995"/>
      <c r="Y70" s="995"/>
      <c r="Z70" s="995"/>
      <c r="AA70" s="995"/>
      <c r="AB70" s="996"/>
      <c r="AC70" s="995"/>
    </row>
    <row r="71" spans="1:29" ht="15.75" thickBot="1" x14ac:dyDescent="0.3">
      <c r="A71" s="567">
        <v>42449</v>
      </c>
      <c r="B71" s="568">
        <v>42551</v>
      </c>
      <c r="C71" s="540">
        <v>3985.8</v>
      </c>
      <c r="D71" s="541">
        <v>73</v>
      </c>
      <c r="E71" s="540">
        <v>2784.95</v>
      </c>
      <c r="F71" s="541">
        <v>51.1</v>
      </c>
      <c r="G71" s="541"/>
      <c r="H71" s="541"/>
      <c r="I71" s="541"/>
      <c r="J71" s="541"/>
      <c r="K71" s="542">
        <v>354.05</v>
      </c>
      <c r="L71" s="5"/>
      <c r="M71" s="375">
        <v>5402</v>
      </c>
      <c r="N71" s="545">
        <v>0.2</v>
      </c>
      <c r="O71" s="542">
        <v>100000</v>
      </c>
    </row>
    <row r="72" spans="1:29" x14ac:dyDescent="0.25">
      <c r="A72" s="647">
        <v>42552</v>
      </c>
      <c r="B72" s="648">
        <v>42632</v>
      </c>
      <c r="C72" s="534">
        <v>4055.15</v>
      </c>
      <c r="D72" s="535">
        <v>73</v>
      </c>
      <c r="E72" s="534">
        <v>2832.4</v>
      </c>
      <c r="F72" s="535">
        <v>51.1</v>
      </c>
      <c r="G72" s="535"/>
      <c r="H72" s="535"/>
      <c r="I72" s="535"/>
      <c r="J72" s="535"/>
      <c r="K72" s="535">
        <f>K71</f>
        <v>354.05</v>
      </c>
      <c r="L72" s="536">
        <v>0</v>
      </c>
      <c r="M72" s="534">
        <v>5475</v>
      </c>
      <c r="N72" s="547">
        <v>0.2</v>
      </c>
      <c r="O72" s="373">
        <f>O71</f>
        <v>100000</v>
      </c>
    </row>
    <row r="73" spans="1:29" x14ac:dyDescent="0.25">
      <c r="A73" s="557">
        <v>42633</v>
      </c>
      <c r="B73" s="558">
        <v>42735</v>
      </c>
      <c r="C73" s="375">
        <v>4055.15</v>
      </c>
      <c r="D73" s="374">
        <v>73</v>
      </c>
      <c r="E73" s="375">
        <v>2832.4</v>
      </c>
      <c r="F73" s="374">
        <v>51.1</v>
      </c>
      <c r="G73" s="375"/>
      <c r="H73" s="375"/>
      <c r="I73" s="375"/>
      <c r="J73" s="375"/>
      <c r="K73" s="373">
        <f>K72</f>
        <v>354.05</v>
      </c>
      <c r="L73" s="375">
        <f t="shared" ref="L73:L79" si="1">L72</f>
        <v>0</v>
      </c>
      <c r="M73" s="375">
        <v>5475</v>
      </c>
      <c r="N73" s="377">
        <v>0.2</v>
      </c>
      <c r="O73" s="373">
        <v>100000</v>
      </c>
    </row>
    <row r="74" spans="1:29" x14ac:dyDescent="0.25">
      <c r="A74" s="557">
        <v>42736</v>
      </c>
      <c r="B74" s="558">
        <v>42813</v>
      </c>
      <c r="C74" s="375">
        <f t="shared" ref="C74:F75" si="2">C73</f>
        <v>4055.15</v>
      </c>
      <c r="D74" s="374">
        <f t="shared" si="2"/>
        <v>73</v>
      </c>
      <c r="E74" s="375">
        <f t="shared" si="2"/>
        <v>2832.4</v>
      </c>
      <c r="F74" s="374">
        <f t="shared" si="2"/>
        <v>51.1</v>
      </c>
      <c r="G74" s="375"/>
      <c r="H74" s="375"/>
      <c r="I74" s="375"/>
      <c r="J74" s="375"/>
      <c r="K74" s="373">
        <f>K73</f>
        <v>354.05</v>
      </c>
      <c r="L74" s="375">
        <f t="shared" si="1"/>
        <v>0</v>
      </c>
      <c r="M74" s="375">
        <f t="shared" si="0"/>
        <v>5475</v>
      </c>
      <c r="N74" s="377">
        <v>0.2</v>
      </c>
      <c r="O74" s="373">
        <f t="shared" ref="O74:O87" si="3">O73</f>
        <v>100000</v>
      </c>
    </row>
    <row r="75" spans="1:29" s="5" customFormat="1" ht="15.75" thickBot="1" x14ac:dyDescent="0.3">
      <c r="A75" s="567">
        <v>42814</v>
      </c>
      <c r="B75" s="568">
        <v>42916</v>
      </c>
      <c r="C75" s="540">
        <f t="shared" si="2"/>
        <v>4055.15</v>
      </c>
      <c r="D75" s="1092">
        <f t="shared" si="2"/>
        <v>73</v>
      </c>
      <c r="E75" s="540">
        <f t="shared" si="2"/>
        <v>2832.4</v>
      </c>
      <c r="F75" s="1092">
        <f t="shared" si="2"/>
        <v>51.1</v>
      </c>
      <c r="G75" s="540"/>
      <c r="H75" s="540"/>
      <c r="I75" s="540"/>
      <c r="J75" s="540"/>
      <c r="K75" s="542">
        <f>K74</f>
        <v>354.05</v>
      </c>
      <c r="L75" s="375">
        <f t="shared" si="1"/>
        <v>0</v>
      </c>
      <c r="M75" s="540">
        <f t="shared" si="0"/>
        <v>5475</v>
      </c>
      <c r="N75" s="545">
        <v>0.2</v>
      </c>
      <c r="O75" s="373">
        <f t="shared" si="3"/>
        <v>100000</v>
      </c>
    </row>
    <row r="76" spans="1:29" x14ac:dyDescent="0.25">
      <c r="A76" s="531">
        <v>42917</v>
      </c>
      <c r="B76" s="532">
        <v>42997</v>
      </c>
      <c r="C76" s="534">
        <f>C75</f>
        <v>4055.15</v>
      </c>
      <c r="D76" s="1098">
        <f t="shared" ref="D76:D91" si="4">D75</f>
        <v>73</v>
      </c>
      <c r="E76" s="534">
        <f>E75</f>
        <v>2832.4</v>
      </c>
      <c r="F76" s="1098">
        <f>IndexAmt(F75,"peCpiFp",$B73,3.65,12)</f>
        <v>51.1</v>
      </c>
      <c r="G76" s="534">
        <v>0</v>
      </c>
      <c r="H76" s="534">
        <v>0</v>
      </c>
      <c r="I76" s="534">
        <v>0</v>
      </c>
      <c r="J76" s="533">
        <v>0</v>
      </c>
      <c r="K76" s="535">
        <f>IndexAmt(K75,"peCpiFp",$B73,3.65,12)</f>
        <v>357.7</v>
      </c>
      <c r="L76" s="536">
        <f t="shared" si="1"/>
        <v>0</v>
      </c>
      <c r="M76" s="534">
        <f>IndexAmt(M75,"peCpiFp",$B73,73,12)</f>
        <v>5548</v>
      </c>
      <c r="N76" s="547">
        <v>0.2</v>
      </c>
      <c r="O76" s="533">
        <f t="shared" si="3"/>
        <v>100000</v>
      </c>
    </row>
    <row r="77" spans="1:29" x14ac:dyDescent="0.25">
      <c r="A77" s="247">
        <v>42998</v>
      </c>
      <c r="B77" s="248">
        <v>43100</v>
      </c>
      <c r="C77" s="249">
        <f t="shared" ref="C77:F79" si="5">C76</f>
        <v>4055.15</v>
      </c>
      <c r="D77" s="1078">
        <f t="shared" si="4"/>
        <v>73</v>
      </c>
      <c r="E77" s="249">
        <f t="shared" si="5"/>
        <v>2832.4</v>
      </c>
      <c r="F77" s="1078">
        <f t="shared" si="5"/>
        <v>51.1</v>
      </c>
      <c r="G77" s="249">
        <f t="shared" ref="G77:J79" si="6">G76</f>
        <v>0</v>
      </c>
      <c r="H77" s="249">
        <f t="shared" si="6"/>
        <v>0</v>
      </c>
      <c r="I77" s="249">
        <f t="shared" si="6"/>
        <v>0</v>
      </c>
      <c r="J77" s="252">
        <f t="shared" si="6"/>
        <v>0</v>
      </c>
      <c r="K77" s="252">
        <f>K76</f>
        <v>357.7</v>
      </c>
      <c r="L77" s="249">
        <f t="shared" si="1"/>
        <v>0</v>
      </c>
      <c r="M77" s="249">
        <f t="shared" si="0"/>
        <v>5548</v>
      </c>
      <c r="N77" s="323">
        <v>0.2</v>
      </c>
      <c r="O77" s="252">
        <f t="shared" si="3"/>
        <v>100000</v>
      </c>
    </row>
    <row r="78" spans="1:29" x14ac:dyDescent="0.25">
      <c r="A78" s="247">
        <v>43101</v>
      </c>
      <c r="B78" s="248">
        <v>43178</v>
      </c>
      <c r="C78" s="249">
        <f t="shared" si="5"/>
        <v>4055.15</v>
      </c>
      <c r="D78" s="1078">
        <f t="shared" si="4"/>
        <v>73</v>
      </c>
      <c r="E78" s="249">
        <f t="shared" si="5"/>
        <v>2832.4</v>
      </c>
      <c r="F78" s="1078">
        <f t="shared" si="5"/>
        <v>51.1</v>
      </c>
      <c r="G78" s="249">
        <f t="shared" si="6"/>
        <v>0</v>
      </c>
      <c r="H78" s="249">
        <f t="shared" si="6"/>
        <v>0</v>
      </c>
      <c r="I78" s="249">
        <f t="shared" si="6"/>
        <v>0</v>
      </c>
      <c r="J78" s="252">
        <f t="shared" si="6"/>
        <v>0</v>
      </c>
      <c r="K78" s="252">
        <f>K77</f>
        <v>357.7</v>
      </c>
      <c r="L78" s="249">
        <f t="shared" si="1"/>
        <v>0</v>
      </c>
      <c r="M78" s="249">
        <f t="shared" si="0"/>
        <v>5548</v>
      </c>
      <c r="N78" s="323">
        <v>0.2</v>
      </c>
      <c r="O78" s="252">
        <f t="shared" si="3"/>
        <v>100000</v>
      </c>
    </row>
    <row r="79" spans="1:29" ht="15.75" thickBot="1" x14ac:dyDescent="0.3">
      <c r="A79" s="261">
        <v>43179</v>
      </c>
      <c r="B79" s="262">
        <v>43281</v>
      </c>
      <c r="C79" s="263">
        <f t="shared" si="5"/>
        <v>4055.15</v>
      </c>
      <c r="D79" s="1076">
        <f t="shared" si="4"/>
        <v>73</v>
      </c>
      <c r="E79" s="263">
        <f t="shared" si="5"/>
        <v>2832.4</v>
      </c>
      <c r="F79" s="1076">
        <f t="shared" si="5"/>
        <v>51.1</v>
      </c>
      <c r="G79" s="263">
        <f t="shared" si="6"/>
        <v>0</v>
      </c>
      <c r="H79" s="263">
        <f t="shared" si="6"/>
        <v>0</v>
      </c>
      <c r="I79" s="263">
        <f t="shared" si="6"/>
        <v>0</v>
      </c>
      <c r="J79" s="266">
        <f t="shared" si="6"/>
        <v>0</v>
      </c>
      <c r="K79" s="266">
        <f>K78</f>
        <v>357.7</v>
      </c>
      <c r="L79" s="249">
        <f t="shared" si="1"/>
        <v>0</v>
      </c>
      <c r="M79" s="263">
        <f t="shared" si="0"/>
        <v>5548</v>
      </c>
      <c r="N79" s="324">
        <v>0.2</v>
      </c>
      <c r="O79" s="266">
        <f t="shared" si="3"/>
        <v>100000</v>
      </c>
    </row>
    <row r="80" spans="1:29" x14ac:dyDescent="0.25">
      <c r="A80" s="254">
        <v>43282</v>
      </c>
      <c r="B80" s="255">
        <v>43362</v>
      </c>
      <c r="C80" s="256">
        <f>C79</f>
        <v>4055.15</v>
      </c>
      <c r="D80" s="1077">
        <f t="shared" si="4"/>
        <v>73</v>
      </c>
      <c r="E80" s="256">
        <f>E79</f>
        <v>2832.4</v>
      </c>
      <c r="F80" s="1077">
        <f t="shared" ref="F80:K80" si="7">IndexAmt(F79,"peCpiFp",$B77,3.65,12)</f>
        <v>51.1</v>
      </c>
      <c r="G80" s="256">
        <f t="shared" si="7"/>
        <v>0</v>
      </c>
      <c r="H80" s="256">
        <f t="shared" si="7"/>
        <v>0</v>
      </c>
      <c r="I80" s="256">
        <f t="shared" si="7"/>
        <v>0</v>
      </c>
      <c r="J80" s="259">
        <f t="shared" si="7"/>
        <v>0</v>
      </c>
      <c r="K80" s="258">
        <f t="shared" si="7"/>
        <v>365</v>
      </c>
      <c r="L80" s="257">
        <f>IndexAmt(L79,"peCpiFp",B77,3.65,12)</f>
        <v>0</v>
      </c>
      <c r="M80" s="256">
        <f>IndexAmt(M79,"peCpiFp",$B77,73,12)</f>
        <v>5621</v>
      </c>
      <c r="N80" s="325">
        <v>0.2</v>
      </c>
      <c r="O80" s="259">
        <f t="shared" si="3"/>
        <v>100000</v>
      </c>
    </row>
    <row r="81" spans="1:15" x14ac:dyDescent="0.25">
      <c r="A81" s="247">
        <v>43363</v>
      </c>
      <c r="B81" s="248">
        <v>43465</v>
      </c>
      <c r="C81" s="249">
        <f t="shared" ref="C81:F83" si="8">C80</f>
        <v>4055.15</v>
      </c>
      <c r="D81" s="1078">
        <f t="shared" si="4"/>
        <v>73</v>
      </c>
      <c r="E81" s="249">
        <f t="shared" si="8"/>
        <v>2832.4</v>
      </c>
      <c r="F81" s="1078">
        <f t="shared" si="8"/>
        <v>51.1</v>
      </c>
      <c r="G81" s="249">
        <f t="shared" ref="G81:J83" si="9">G80</f>
        <v>0</v>
      </c>
      <c r="H81" s="249">
        <f t="shared" si="9"/>
        <v>0</v>
      </c>
      <c r="I81" s="249">
        <f t="shared" si="9"/>
        <v>0</v>
      </c>
      <c r="J81" s="252">
        <f t="shared" si="9"/>
        <v>0</v>
      </c>
      <c r="K81" s="252">
        <f>K80</f>
        <v>365</v>
      </c>
      <c r="L81" s="249">
        <f t="shared" ref="L81:L91" si="10">L80</f>
        <v>0</v>
      </c>
      <c r="M81" s="249">
        <f t="shared" si="0"/>
        <v>5621</v>
      </c>
      <c r="N81" s="323">
        <v>0.2</v>
      </c>
      <c r="O81" s="252">
        <f t="shared" si="3"/>
        <v>100000</v>
      </c>
    </row>
    <row r="82" spans="1:15" x14ac:dyDescent="0.25">
      <c r="A82" s="247">
        <v>43466</v>
      </c>
      <c r="B82" s="248">
        <v>43543</v>
      </c>
      <c r="C82" s="249">
        <f t="shared" si="8"/>
        <v>4055.15</v>
      </c>
      <c r="D82" s="1078">
        <f t="shared" si="4"/>
        <v>73</v>
      </c>
      <c r="E82" s="249">
        <f t="shared" si="8"/>
        <v>2832.4</v>
      </c>
      <c r="F82" s="1078">
        <f t="shared" si="8"/>
        <v>51.1</v>
      </c>
      <c r="G82" s="249">
        <f t="shared" si="9"/>
        <v>0</v>
      </c>
      <c r="H82" s="249">
        <f t="shared" si="9"/>
        <v>0</v>
      </c>
      <c r="I82" s="249">
        <f t="shared" si="9"/>
        <v>0</v>
      </c>
      <c r="J82" s="252">
        <f t="shared" si="9"/>
        <v>0</v>
      </c>
      <c r="K82" s="252">
        <f>K81</f>
        <v>365</v>
      </c>
      <c r="L82" s="249">
        <f t="shared" si="10"/>
        <v>0</v>
      </c>
      <c r="M82" s="249">
        <f t="shared" si="0"/>
        <v>5621</v>
      </c>
      <c r="N82" s="323">
        <v>0.2</v>
      </c>
      <c r="O82" s="252">
        <f t="shared" si="3"/>
        <v>100000</v>
      </c>
    </row>
    <row r="83" spans="1:15" ht="15.75" thickBot="1" x14ac:dyDescent="0.3">
      <c r="A83" s="261">
        <v>43544</v>
      </c>
      <c r="B83" s="262">
        <v>43646</v>
      </c>
      <c r="C83" s="263">
        <f t="shared" si="8"/>
        <v>4055.15</v>
      </c>
      <c r="D83" s="1076">
        <f t="shared" si="4"/>
        <v>73</v>
      </c>
      <c r="E83" s="263">
        <f t="shared" si="8"/>
        <v>2832.4</v>
      </c>
      <c r="F83" s="1076">
        <f t="shared" si="8"/>
        <v>51.1</v>
      </c>
      <c r="G83" s="263">
        <f t="shared" si="9"/>
        <v>0</v>
      </c>
      <c r="H83" s="263">
        <f t="shared" si="9"/>
        <v>0</v>
      </c>
      <c r="I83" s="263">
        <f t="shared" si="9"/>
        <v>0</v>
      </c>
      <c r="J83" s="266">
        <f t="shared" si="9"/>
        <v>0</v>
      </c>
      <c r="K83" s="266">
        <f>K82</f>
        <v>365</v>
      </c>
      <c r="L83" s="249">
        <f t="shared" si="10"/>
        <v>0</v>
      </c>
      <c r="M83" s="263">
        <f t="shared" si="0"/>
        <v>5621</v>
      </c>
      <c r="N83" s="324">
        <v>0.2</v>
      </c>
      <c r="O83" s="266">
        <f t="shared" si="3"/>
        <v>100000</v>
      </c>
    </row>
    <row r="84" spans="1:15" x14ac:dyDescent="0.25">
      <c r="A84" s="254">
        <v>43647</v>
      </c>
      <c r="B84" s="255">
        <v>43727</v>
      </c>
      <c r="C84" s="256">
        <f>IndexAmt(C83,"peCpiFp",$B81,3.65,12)</f>
        <v>4139.0999999999995</v>
      </c>
      <c r="D84" s="1077">
        <f t="shared" si="4"/>
        <v>73</v>
      </c>
      <c r="E84" s="256">
        <f t="shared" ref="E84:J84" si="11">IndexAmt(E83,"peCpiFp",$B81,3.65,12)</f>
        <v>2890.7999999999997</v>
      </c>
      <c r="F84" s="1077">
        <f t="shared" si="11"/>
        <v>51.1</v>
      </c>
      <c r="G84" s="256">
        <f t="shared" si="11"/>
        <v>0</v>
      </c>
      <c r="H84" s="256">
        <f t="shared" si="11"/>
        <v>0</v>
      </c>
      <c r="I84" s="256">
        <f t="shared" si="11"/>
        <v>0</v>
      </c>
      <c r="J84" s="259">
        <f t="shared" si="11"/>
        <v>0</v>
      </c>
      <c r="K84" s="258">
        <f>IndexAmt(K83,"peCpiFp",$B81,3.65,12)</f>
        <v>372.3</v>
      </c>
      <c r="L84" s="257">
        <f>IndexAmt(L83,"peCpiFp",B81,3.65,12)</f>
        <v>0</v>
      </c>
      <c r="M84" s="256">
        <f>IndexAmt(M83,"peCpiFp",$B81,73,12)</f>
        <v>5767</v>
      </c>
      <c r="N84" s="325">
        <v>0.2</v>
      </c>
      <c r="O84" s="259">
        <f t="shared" si="3"/>
        <v>100000</v>
      </c>
    </row>
    <row r="85" spans="1:15" x14ac:dyDescent="0.25">
      <c r="A85" s="247">
        <v>43728</v>
      </c>
      <c r="B85" s="248">
        <v>43830</v>
      </c>
      <c r="C85" s="249">
        <f t="shared" ref="C85:F87" si="12">C84</f>
        <v>4139.0999999999995</v>
      </c>
      <c r="D85" s="1078">
        <f t="shared" si="4"/>
        <v>73</v>
      </c>
      <c r="E85" s="249">
        <f t="shared" si="12"/>
        <v>2890.7999999999997</v>
      </c>
      <c r="F85" s="1078">
        <f t="shared" si="12"/>
        <v>51.1</v>
      </c>
      <c r="G85" s="249">
        <f t="shared" ref="G85:J87" si="13">G84</f>
        <v>0</v>
      </c>
      <c r="H85" s="249">
        <f t="shared" si="13"/>
        <v>0</v>
      </c>
      <c r="I85" s="249">
        <f t="shared" si="13"/>
        <v>0</v>
      </c>
      <c r="J85" s="252">
        <f t="shared" si="13"/>
        <v>0</v>
      </c>
      <c r="K85" s="252">
        <f>K84</f>
        <v>372.3</v>
      </c>
      <c r="L85" s="249">
        <f t="shared" si="10"/>
        <v>0</v>
      </c>
      <c r="M85" s="249">
        <f t="shared" si="0"/>
        <v>5767</v>
      </c>
      <c r="N85" s="323">
        <v>0.2</v>
      </c>
      <c r="O85" s="252">
        <f t="shared" si="3"/>
        <v>100000</v>
      </c>
    </row>
    <row r="86" spans="1:15" x14ac:dyDescent="0.25">
      <c r="A86" s="247">
        <v>43831</v>
      </c>
      <c r="B86" s="248">
        <v>43909</v>
      </c>
      <c r="C86" s="249">
        <f t="shared" si="12"/>
        <v>4139.0999999999995</v>
      </c>
      <c r="D86" s="1078">
        <f t="shared" si="4"/>
        <v>73</v>
      </c>
      <c r="E86" s="249">
        <f t="shared" si="12"/>
        <v>2890.7999999999997</v>
      </c>
      <c r="F86" s="1078">
        <f t="shared" si="12"/>
        <v>51.1</v>
      </c>
      <c r="G86" s="249">
        <f t="shared" si="13"/>
        <v>0</v>
      </c>
      <c r="H86" s="249">
        <f t="shared" si="13"/>
        <v>0</v>
      </c>
      <c r="I86" s="249">
        <f t="shared" si="13"/>
        <v>0</v>
      </c>
      <c r="J86" s="252">
        <f t="shared" si="13"/>
        <v>0</v>
      </c>
      <c r="K86" s="252">
        <f>K85</f>
        <v>372.3</v>
      </c>
      <c r="L86" s="249">
        <f t="shared" si="10"/>
        <v>0</v>
      </c>
      <c r="M86" s="249">
        <f t="shared" si="0"/>
        <v>5767</v>
      </c>
      <c r="N86" s="323">
        <v>0.2</v>
      </c>
      <c r="O86" s="252">
        <f t="shared" si="3"/>
        <v>100000</v>
      </c>
    </row>
    <row r="87" spans="1:15" ht="15.75" thickBot="1" x14ac:dyDescent="0.3">
      <c r="A87" s="261">
        <v>43910</v>
      </c>
      <c r="B87" s="262">
        <v>44012</v>
      </c>
      <c r="C87" s="263">
        <f t="shared" si="12"/>
        <v>4139.0999999999995</v>
      </c>
      <c r="D87" s="1076">
        <f t="shared" si="4"/>
        <v>73</v>
      </c>
      <c r="E87" s="263">
        <f t="shared" si="12"/>
        <v>2890.7999999999997</v>
      </c>
      <c r="F87" s="1076">
        <f t="shared" si="12"/>
        <v>51.1</v>
      </c>
      <c r="G87" s="263">
        <f t="shared" si="13"/>
        <v>0</v>
      </c>
      <c r="H87" s="263">
        <f t="shared" si="13"/>
        <v>0</v>
      </c>
      <c r="I87" s="263">
        <f t="shared" si="13"/>
        <v>0</v>
      </c>
      <c r="J87" s="266">
        <f t="shared" si="13"/>
        <v>0</v>
      </c>
      <c r="K87" s="266">
        <f>K86</f>
        <v>372.3</v>
      </c>
      <c r="L87" s="249">
        <f t="shared" si="10"/>
        <v>0</v>
      </c>
      <c r="M87" s="249">
        <f t="shared" si="0"/>
        <v>5767</v>
      </c>
      <c r="N87" s="324">
        <v>0.2</v>
      </c>
      <c r="O87" s="266">
        <f t="shared" si="3"/>
        <v>100000</v>
      </c>
    </row>
    <row r="88" spans="1:15" x14ac:dyDescent="0.25">
      <c r="A88" s="254">
        <v>44013</v>
      </c>
      <c r="B88" s="255">
        <v>44093</v>
      </c>
      <c r="C88" s="256">
        <f>IndexAmt(C87,"peCpiFp",$B85,3.65,12)</f>
        <v>4237.6499999999996</v>
      </c>
      <c r="D88" s="1077">
        <f t="shared" si="4"/>
        <v>73</v>
      </c>
      <c r="E88" s="256">
        <f t="shared" ref="E88:J88" si="14">IndexAmt(E87,"peCpiFp",$B85,3.65,12)</f>
        <v>2960.15</v>
      </c>
      <c r="F88" s="1077">
        <f t="shared" si="14"/>
        <v>51.1</v>
      </c>
      <c r="G88" s="256">
        <f t="shared" si="14"/>
        <v>0</v>
      </c>
      <c r="H88" s="256">
        <f t="shared" si="14"/>
        <v>0</v>
      </c>
      <c r="I88" s="256">
        <f t="shared" si="14"/>
        <v>0</v>
      </c>
      <c r="J88" s="259">
        <f t="shared" si="14"/>
        <v>0</v>
      </c>
      <c r="K88" s="258">
        <f>IndexAmt(K87,"peCpiFp",$B85,3.65,12)</f>
        <v>379.59999999999997</v>
      </c>
      <c r="L88" s="257">
        <f>IndexAmt(L87,"peCpiFp",B85,3.65,12)</f>
        <v>0</v>
      </c>
      <c r="M88" s="256">
        <f>IndexAmt(M87,"peCpiFp",$B85,73,12)</f>
        <v>5913</v>
      </c>
      <c r="N88" s="325">
        <v>0.2</v>
      </c>
      <c r="O88" s="259">
        <f>IndexAmt(O87,"peCpiFp",$B85,1,12)</f>
        <v>102400</v>
      </c>
    </row>
    <row r="89" spans="1:15" x14ac:dyDescent="0.25">
      <c r="A89" s="247">
        <v>44094</v>
      </c>
      <c r="B89" s="248">
        <v>44196</v>
      </c>
      <c r="C89" s="249">
        <f t="shared" ref="C89:F91" si="15">C88</f>
        <v>4237.6499999999996</v>
      </c>
      <c r="D89" s="1078">
        <f t="shared" si="4"/>
        <v>73</v>
      </c>
      <c r="E89" s="249">
        <f t="shared" si="15"/>
        <v>2960.15</v>
      </c>
      <c r="F89" s="1078">
        <f t="shared" si="15"/>
        <v>51.1</v>
      </c>
      <c r="G89" s="249">
        <f t="shared" ref="G89:J91" si="16">G88</f>
        <v>0</v>
      </c>
      <c r="H89" s="249">
        <f t="shared" si="16"/>
        <v>0</v>
      </c>
      <c r="I89" s="249">
        <f t="shared" si="16"/>
        <v>0</v>
      </c>
      <c r="J89" s="252">
        <f t="shared" si="16"/>
        <v>0</v>
      </c>
      <c r="K89" s="252">
        <f>K88</f>
        <v>379.59999999999997</v>
      </c>
      <c r="L89" s="249">
        <f t="shared" si="10"/>
        <v>0</v>
      </c>
      <c r="M89" s="249">
        <f t="shared" si="0"/>
        <v>5913</v>
      </c>
      <c r="N89" s="323">
        <v>0.2</v>
      </c>
      <c r="O89" s="252">
        <f>O88</f>
        <v>102400</v>
      </c>
    </row>
    <row r="90" spans="1:15" x14ac:dyDescent="0.25">
      <c r="A90" s="247">
        <v>44197</v>
      </c>
      <c r="B90" s="248">
        <v>44274</v>
      </c>
      <c r="C90" s="249">
        <f t="shared" si="15"/>
        <v>4237.6499999999996</v>
      </c>
      <c r="D90" s="1078">
        <f t="shared" si="4"/>
        <v>73</v>
      </c>
      <c r="E90" s="249">
        <f t="shared" si="15"/>
        <v>2960.15</v>
      </c>
      <c r="F90" s="1078">
        <f t="shared" si="15"/>
        <v>51.1</v>
      </c>
      <c r="G90" s="249">
        <f t="shared" si="16"/>
        <v>0</v>
      </c>
      <c r="H90" s="249">
        <f t="shared" si="16"/>
        <v>0</v>
      </c>
      <c r="I90" s="249">
        <f t="shared" si="16"/>
        <v>0</v>
      </c>
      <c r="J90" s="252">
        <f t="shared" si="16"/>
        <v>0</v>
      </c>
      <c r="K90" s="252">
        <f>K89</f>
        <v>379.59999999999997</v>
      </c>
      <c r="L90" s="249">
        <f t="shared" si="10"/>
        <v>0</v>
      </c>
      <c r="M90" s="249">
        <f t="shared" si="0"/>
        <v>5913</v>
      </c>
      <c r="N90" s="323">
        <v>0.2</v>
      </c>
      <c r="O90" s="252">
        <f>O89</f>
        <v>102400</v>
      </c>
    </row>
    <row r="91" spans="1:15" ht="15.75" thickBot="1" x14ac:dyDescent="0.3">
      <c r="A91" s="261">
        <v>44275</v>
      </c>
      <c r="B91" s="262">
        <v>44377</v>
      </c>
      <c r="C91" s="263">
        <f t="shared" si="15"/>
        <v>4237.6499999999996</v>
      </c>
      <c r="D91" s="1076">
        <f t="shared" si="4"/>
        <v>73</v>
      </c>
      <c r="E91" s="263">
        <f t="shared" si="15"/>
        <v>2960.15</v>
      </c>
      <c r="F91" s="1076">
        <f t="shared" si="15"/>
        <v>51.1</v>
      </c>
      <c r="G91" s="263">
        <f t="shared" si="16"/>
        <v>0</v>
      </c>
      <c r="H91" s="263">
        <f t="shared" si="16"/>
        <v>0</v>
      </c>
      <c r="I91" s="263">
        <f t="shared" si="16"/>
        <v>0</v>
      </c>
      <c r="J91" s="266">
        <f t="shared" si="16"/>
        <v>0</v>
      </c>
      <c r="K91" s="266">
        <f>K90</f>
        <v>379.59999999999997</v>
      </c>
      <c r="L91" s="249">
        <f t="shared" si="10"/>
        <v>0</v>
      </c>
      <c r="M91" s="249">
        <f t="shared" si="0"/>
        <v>5913</v>
      </c>
      <c r="N91" s="324">
        <v>0.2</v>
      </c>
      <c r="O91" s="266">
        <f>O90</f>
        <v>102400</v>
      </c>
    </row>
  </sheetData>
  <customSheetViews>
    <customSheetView guid="{E49C2F27-B0B9-497E-BEC0-5B59561292FE}">
      <pane xSplit="2" ySplit="7" topLeftCell="C182" activePane="bottomRight" state="frozen"/>
      <selection pane="bottomRight" activeCell="O188" sqref="O188"/>
      <pageMargins left="0.7" right="0.7" top="0.75" bottom="0.75" header="0.3" footer="0.3"/>
      <pageSetup paperSize="9" orientation="portrait" r:id="rId1"/>
    </customSheetView>
    <customSheetView guid="{A5953138-1481-4137-BEAD-32FA4FDF03E6}">
      <pane xSplit="2" ySplit="7" topLeftCell="C53" activePane="bottomRight" state="frozen"/>
      <selection pane="bottomRight" activeCell="I49" sqref="I49"/>
      <pageMargins left="0.7" right="0.7" top="0.75" bottom="0.75" header="0.3" footer="0.3"/>
      <pageSetup paperSize="9" orientation="portrait" r:id="rId2"/>
    </customSheetView>
    <customSheetView guid="{2A1F94CA-1A34-4418-88FD-EABF7586C2B2}">
      <pane xSplit="2" ySplit="7" topLeftCell="C61" activePane="bottomRight" state="frozen"/>
      <selection pane="bottomRight" activeCell="I71" sqref="I71"/>
      <pageMargins left="0.7" right="0.7" top="0.75" bottom="0.75" header="0.3" footer="0.3"/>
      <pageSetup paperSize="9" orientation="portrait" r:id="rId3"/>
    </customSheetView>
  </customSheetViews>
  <mergeCells count="18">
    <mergeCell ref="L2:L6"/>
    <mergeCell ref="C1:L1"/>
    <mergeCell ref="A4:A6"/>
    <mergeCell ref="B4:B6"/>
    <mergeCell ref="A2:B3"/>
    <mergeCell ref="E3:F4"/>
    <mergeCell ref="C3:D4"/>
    <mergeCell ref="C5:C6"/>
    <mergeCell ref="D5:D6"/>
    <mergeCell ref="E5:E6"/>
    <mergeCell ref="F5:F6"/>
    <mergeCell ref="C2:F2"/>
    <mergeCell ref="K2:K6"/>
    <mergeCell ref="M2:N3"/>
    <mergeCell ref="M4:M6"/>
    <mergeCell ref="N4:N6"/>
    <mergeCell ref="O2:O6"/>
    <mergeCell ref="M1:O1"/>
  </mergeCells>
  <pageMargins left="0.7" right="0.7" top="0.75" bottom="0.75" header="0.3" footer="0.3"/>
  <pageSetup paperSize="9" orientation="portrait" r:id="rId4"/>
  <legacyDrawing r:id="rId5"/>
</worksheet>
</file>

<file path=xl/worksheets/sheet4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C00-000000000000}">
  <sheetPr codeName="Sheet34">
    <tabColor theme="9"/>
  </sheetPr>
  <dimension ref="A1:O28"/>
  <sheetViews>
    <sheetView workbookViewId="0">
      <pane xSplit="2" ySplit="7" topLeftCell="C10" activePane="bottomRight" state="frozen"/>
      <selection pane="topRight" activeCell="C1" sqref="C1"/>
      <selection pane="bottomLeft" activeCell="A8" sqref="A8"/>
      <selection pane="bottomRight" activeCell="A29" sqref="A29:XFD58"/>
    </sheetView>
  </sheetViews>
  <sheetFormatPr defaultRowHeight="15" x14ac:dyDescent="0.25"/>
  <cols>
    <col min="1" max="2" width="14.42578125" style="28" customWidth="1"/>
    <col min="3" max="11" width="15.7109375" style="12" customWidth="1"/>
    <col min="12" max="12" width="18" style="12" customWidth="1"/>
    <col min="13" max="13" width="15.7109375" style="12" customWidth="1"/>
    <col min="14" max="14" width="15.7109375" style="53" customWidth="1"/>
    <col min="15" max="15" width="21" style="12" customWidth="1"/>
    <col min="16" max="16384" width="9.140625" style="28"/>
  </cols>
  <sheetData>
    <row r="1" spans="1:15" ht="15.75" thickBot="1" x14ac:dyDescent="0.3">
      <c r="A1" s="87"/>
      <c r="B1" s="87"/>
      <c r="C1" s="1451" t="s">
        <v>23</v>
      </c>
      <c r="D1" s="1452"/>
      <c r="E1" s="1452"/>
      <c r="F1" s="1452"/>
      <c r="G1" s="1452"/>
      <c r="H1" s="1452"/>
      <c r="I1" s="1452"/>
      <c r="J1" s="1452"/>
      <c r="K1" s="1453"/>
      <c r="L1" s="833"/>
      <c r="M1" s="1451" t="s">
        <v>24</v>
      </c>
      <c r="N1" s="1452"/>
      <c r="O1" s="1453"/>
    </row>
    <row r="2" spans="1:15" ht="15.75" customHeight="1" thickBot="1" x14ac:dyDescent="0.3">
      <c r="A2" s="1164" t="s">
        <v>13</v>
      </c>
      <c r="B2" s="1165"/>
      <c r="C2" s="1211" t="s">
        <v>240</v>
      </c>
      <c r="D2" s="1212"/>
      <c r="E2" s="1212"/>
      <c r="F2" s="1212"/>
      <c r="G2" s="970"/>
      <c r="H2" s="970"/>
      <c r="I2" s="970"/>
      <c r="J2" s="970"/>
      <c r="K2" s="1224" t="s">
        <v>241</v>
      </c>
      <c r="L2" s="1218" t="s">
        <v>602</v>
      </c>
      <c r="M2" s="1164" t="s">
        <v>242</v>
      </c>
      <c r="N2" s="1214"/>
      <c r="O2" s="1224" t="s">
        <v>243</v>
      </c>
    </row>
    <row r="3" spans="1:15" ht="15.75" customHeight="1" thickBot="1" x14ac:dyDescent="0.3">
      <c r="A3" s="1215"/>
      <c r="B3" s="1216"/>
      <c r="C3" s="1254" t="s">
        <v>56</v>
      </c>
      <c r="D3" s="1255"/>
      <c r="E3" s="1254" t="s">
        <v>55</v>
      </c>
      <c r="F3" s="1255"/>
      <c r="G3" s="977" t="s">
        <v>743</v>
      </c>
      <c r="H3" s="977" t="s">
        <v>743</v>
      </c>
      <c r="I3" s="977" t="s">
        <v>743</v>
      </c>
      <c r="J3" s="977" t="s">
        <v>743</v>
      </c>
      <c r="K3" s="1225"/>
      <c r="L3" s="1219"/>
      <c r="M3" s="1166"/>
      <c r="N3" s="1217"/>
      <c r="O3" s="1225"/>
    </row>
    <row r="4" spans="1:15" ht="15" customHeight="1" thickBot="1" x14ac:dyDescent="0.3">
      <c r="A4" s="1250" t="s">
        <v>16</v>
      </c>
      <c r="B4" s="1187" t="s">
        <v>17</v>
      </c>
      <c r="C4" s="1329"/>
      <c r="D4" s="1267"/>
      <c r="E4" s="1266"/>
      <c r="F4" s="1267"/>
      <c r="G4" s="971" t="s">
        <v>744</v>
      </c>
      <c r="H4" s="971" t="s">
        <v>745</v>
      </c>
      <c r="I4" s="971" t="s">
        <v>746</v>
      </c>
      <c r="J4" s="971" t="s">
        <v>747</v>
      </c>
      <c r="K4" s="1225"/>
      <c r="L4" s="1219"/>
      <c r="M4" s="1218" t="s">
        <v>239</v>
      </c>
      <c r="N4" s="1446" t="s">
        <v>126</v>
      </c>
      <c r="O4" s="1225"/>
    </row>
    <row r="5" spans="1:15" x14ac:dyDescent="0.25">
      <c r="A5" s="1188"/>
      <c r="B5" s="1176"/>
      <c r="C5" s="1227" t="s">
        <v>233</v>
      </c>
      <c r="D5" s="1224" t="s">
        <v>605</v>
      </c>
      <c r="E5" s="1224" t="s">
        <v>233</v>
      </c>
      <c r="F5" s="1450" t="s">
        <v>605</v>
      </c>
      <c r="G5" s="968" t="s">
        <v>233</v>
      </c>
      <c r="H5" s="968" t="s">
        <v>233</v>
      </c>
      <c r="I5" s="968" t="s">
        <v>233</v>
      </c>
      <c r="J5" s="968" t="s">
        <v>233</v>
      </c>
      <c r="K5" s="1225"/>
      <c r="L5" s="1219"/>
      <c r="M5" s="1219"/>
      <c r="N5" s="1447"/>
      <c r="O5" s="1225"/>
    </row>
    <row r="6" spans="1:15" ht="15.75" thickBot="1" x14ac:dyDescent="0.3">
      <c r="A6" s="1207"/>
      <c r="B6" s="1177"/>
      <c r="C6" s="1228"/>
      <c r="D6" s="1226"/>
      <c r="E6" s="1226"/>
      <c r="F6" s="1450"/>
      <c r="G6" s="969"/>
      <c r="H6" s="969"/>
      <c r="I6" s="969"/>
      <c r="J6" s="969"/>
      <c r="K6" s="1226"/>
      <c r="L6" s="1220"/>
      <c r="M6" s="1220"/>
      <c r="N6" s="1223"/>
      <c r="O6" s="1226"/>
    </row>
    <row r="7" spans="1:15" ht="18.75" customHeight="1" thickBot="1" x14ac:dyDescent="0.3">
      <c r="A7" s="713" t="s">
        <v>550</v>
      </c>
      <c r="B7" s="714" t="s">
        <v>551</v>
      </c>
      <c r="C7" s="316" t="s">
        <v>458</v>
      </c>
      <c r="D7" s="318" t="s">
        <v>639</v>
      </c>
      <c r="E7" s="318" t="s">
        <v>459</v>
      </c>
      <c r="F7" s="317" t="s">
        <v>640</v>
      </c>
      <c r="G7" s="972" t="s">
        <v>871</v>
      </c>
      <c r="H7" s="972" t="s">
        <v>748</v>
      </c>
      <c r="I7" s="972" t="s">
        <v>749</v>
      </c>
      <c r="J7" s="972" t="s">
        <v>750</v>
      </c>
      <c r="K7" s="319" t="s">
        <v>460</v>
      </c>
      <c r="L7" s="320" t="s">
        <v>641</v>
      </c>
      <c r="M7" s="316" t="s">
        <v>461</v>
      </c>
      <c r="N7" s="322" t="s">
        <v>462</v>
      </c>
      <c r="O7" s="319" t="s">
        <v>463</v>
      </c>
    </row>
    <row r="8" spans="1:15" x14ac:dyDescent="0.25">
      <c r="A8" s="161">
        <v>36708</v>
      </c>
      <c r="B8" s="162">
        <v>37072</v>
      </c>
      <c r="C8" s="18">
        <f t="shared" ref="C8:O17" si="0">AnnualAverage($A8,C$7,FTBBParms,FTBBDates,FTBBNames)</f>
        <v>2602.4499999999998</v>
      </c>
      <c r="D8" s="60">
        <f t="shared" si="0"/>
        <v>0</v>
      </c>
      <c r="E8" s="18">
        <f t="shared" si="0"/>
        <v>1814.05</v>
      </c>
      <c r="F8" s="60">
        <f t="shared" si="0"/>
        <v>0</v>
      </c>
      <c r="G8" s="60"/>
      <c r="H8" s="60"/>
      <c r="I8" s="60"/>
      <c r="J8" s="60"/>
      <c r="K8" s="92">
        <f t="shared" si="0"/>
        <v>0</v>
      </c>
      <c r="L8" s="18">
        <f t="shared" si="0"/>
        <v>0</v>
      </c>
      <c r="M8" s="18">
        <f t="shared" si="0"/>
        <v>1616</v>
      </c>
      <c r="N8" s="57">
        <f t="shared" si="0"/>
        <v>0.3</v>
      </c>
      <c r="O8" s="92">
        <f t="shared" si="0"/>
        <v>9999999</v>
      </c>
    </row>
    <row r="9" spans="1:15" x14ac:dyDescent="0.25">
      <c r="A9" s="163">
        <v>37073</v>
      </c>
      <c r="B9" s="164">
        <v>37437</v>
      </c>
      <c r="C9" s="17">
        <f t="shared" si="0"/>
        <v>2752.1</v>
      </c>
      <c r="D9" s="35">
        <f t="shared" si="0"/>
        <v>0</v>
      </c>
      <c r="E9" s="17">
        <f t="shared" si="0"/>
        <v>1919.9</v>
      </c>
      <c r="F9" s="35">
        <f t="shared" si="0"/>
        <v>0</v>
      </c>
      <c r="G9" s="35"/>
      <c r="H9" s="35"/>
      <c r="I9" s="35"/>
      <c r="J9" s="35"/>
      <c r="K9" s="93">
        <f t="shared" si="0"/>
        <v>0</v>
      </c>
      <c r="L9" s="17">
        <f t="shared" si="0"/>
        <v>0</v>
      </c>
      <c r="M9" s="17">
        <f t="shared" si="0"/>
        <v>1679</v>
      </c>
      <c r="N9" s="61">
        <f t="shared" si="0"/>
        <v>0.3</v>
      </c>
      <c r="O9" s="93">
        <f t="shared" si="0"/>
        <v>9999999</v>
      </c>
    </row>
    <row r="10" spans="1:15" x14ac:dyDescent="0.25">
      <c r="A10" s="163">
        <v>37438</v>
      </c>
      <c r="B10" s="164">
        <v>37802</v>
      </c>
      <c r="C10" s="17">
        <f t="shared" si="0"/>
        <v>2836.05</v>
      </c>
      <c r="D10" s="35">
        <f t="shared" si="0"/>
        <v>0</v>
      </c>
      <c r="E10" s="17">
        <f t="shared" si="0"/>
        <v>1978.3</v>
      </c>
      <c r="F10" s="35">
        <f t="shared" si="0"/>
        <v>0</v>
      </c>
      <c r="G10" s="35"/>
      <c r="H10" s="35"/>
      <c r="I10" s="35"/>
      <c r="J10" s="35"/>
      <c r="K10" s="93">
        <f t="shared" si="0"/>
        <v>0</v>
      </c>
      <c r="L10" s="17">
        <f t="shared" si="0"/>
        <v>0</v>
      </c>
      <c r="M10" s="17">
        <f t="shared" si="0"/>
        <v>1752</v>
      </c>
      <c r="N10" s="61">
        <f t="shared" si="0"/>
        <v>0.3</v>
      </c>
      <c r="O10" s="93">
        <f t="shared" si="0"/>
        <v>9999999</v>
      </c>
    </row>
    <row r="11" spans="1:15" x14ac:dyDescent="0.25">
      <c r="A11" s="163">
        <v>37803</v>
      </c>
      <c r="B11" s="164">
        <v>38168</v>
      </c>
      <c r="C11" s="17">
        <f t="shared" si="0"/>
        <v>2920</v>
      </c>
      <c r="D11" s="35">
        <f t="shared" si="0"/>
        <v>0</v>
      </c>
      <c r="E11" s="17">
        <f t="shared" si="0"/>
        <v>2036.7</v>
      </c>
      <c r="F11" s="35">
        <f t="shared" si="0"/>
        <v>0</v>
      </c>
      <c r="G11" s="35"/>
      <c r="H11" s="35"/>
      <c r="I11" s="35"/>
      <c r="J11" s="35"/>
      <c r="K11" s="93">
        <v>0</v>
      </c>
      <c r="L11" s="17">
        <v>0</v>
      </c>
      <c r="M11" s="17">
        <f t="shared" si="0"/>
        <v>1825</v>
      </c>
      <c r="N11" s="61">
        <f t="shared" si="0"/>
        <v>0.3</v>
      </c>
      <c r="O11" s="93">
        <f t="shared" si="0"/>
        <v>9999999</v>
      </c>
    </row>
    <row r="12" spans="1:15" x14ac:dyDescent="0.25">
      <c r="A12" s="163">
        <v>38169</v>
      </c>
      <c r="B12" s="164">
        <v>38533</v>
      </c>
      <c r="C12" s="17">
        <f t="shared" si="0"/>
        <v>2989.35</v>
      </c>
      <c r="D12" s="35">
        <f t="shared" si="0"/>
        <v>0</v>
      </c>
      <c r="E12" s="17">
        <f t="shared" si="0"/>
        <v>2084.15</v>
      </c>
      <c r="F12" s="35">
        <f t="shared" si="0"/>
        <v>0</v>
      </c>
      <c r="G12" s="35"/>
      <c r="H12" s="35"/>
      <c r="I12" s="35"/>
      <c r="J12" s="35"/>
      <c r="K12" s="93">
        <f t="shared" si="0"/>
        <v>72.332962962962952</v>
      </c>
      <c r="L12" s="17">
        <v>0</v>
      </c>
      <c r="M12" s="17">
        <f t="shared" si="0"/>
        <v>4000</v>
      </c>
      <c r="N12" s="61">
        <f t="shared" si="0"/>
        <v>0.2</v>
      </c>
      <c r="O12" s="93">
        <f t="shared" si="0"/>
        <v>9999999</v>
      </c>
    </row>
    <row r="13" spans="1:15" x14ac:dyDescent="0.25">
      <c r="A13" s="163">
        <v>38534</v>
      </c>
      <c r="B13" s="164">
        <v>38898</v>
      </c>
      <c r="C13" s="17">
        <f t="shared" si="0"/>
        <v>3066</v>
      </c>
      <c r="D13" s="35">
        <f t="shared" si="0"/>
        <v>0</v>
      </c>
      <c r="E13" s="17">
        <f t="shared" si="0"/>
        <v>2138.9</v>
      </c>
      <c r="F13" s="35">
        <f t="shared" si="0"/>
        <v>0</v>
      </c>
      <c r="G13" s="35"/>
      <c r="H13" s="35"/>
      <c r="I13" s="35"/>
      <c r="J13" s="35"/>
      <c r="K13" s="93">
        <f t="shared" si="0"/>
        <v>306.60000000000002</v>
      </c>
      <c r="L13" s="17">
        <v>0</v>
      </c>
      <c r="M13" s="17">
        <f t="shared" si="0"/>
        <v>4088</v>
      </c>
      <c r="N13" s="61">
        <f t="shared" si="0"/>
        <v>0.2</v>
      </c>
      <c r="O13" s="93">
        <f t="shared" si="0"/>
        <v>9999999</v>
      </c>
    </row>
    <row r="14" spans="1:15" x14ac:dyDescent="0.25">
      <c r="A14" s="163">
        <v>38899</v>
      </c>
      <c r="B14" s="164">
        <v>39263</v>
      </c>
      <c r="C14" s="17">
        <f t="shared" si="0"/>
        <v>3153.6</v>
      </c>
      <c r="D14" s="35">
        <f t="shared" si="0"/>
        <v>0</v>
      </c>
      <c r="E14" s="17">
        <f t="shared" si="0"/>
        <v>2197.3000000000002</v>
      </c>
      <c r="F14" s="35">
        <f t="shared" si="0"/>
        <v>0</v>
      </c>
      <c r="G14" s="35"/>
      <c r="H14" s="35"/>
      <c r="I14" s="35"/>
      <c r="J14" s="35"/>
      <c r="K14" s="93">
        <f t="shared" si="0"/>
        <v>313.89999999999998</v>
      </c>
      <c r="L14" s="17">
        <v>0</v>
      </c>
      <c r="M14" s="17">
        <f t="shared" si="0"/>
        <v>4234</v>
      </c>
      <c r="N14" s="61">
        <f t="shared" si="0"/>
        <v>0.2</v>
      </c>
      <c r="O14" s="93">
        <f t="shared" si="0"/>
        <v>9999999</v>
      </c>
    </row>
    <row r="15" spans="1:15" x14ac:dyDescent="0.25">
      <c r="A15" s="163">
        <v>39264</v>
      </c>
      <c r="B15" s="164">
        <v>39629</v>
      </c>
      <c r="C15" s="17">
        <f t="shared" si="0"/>
        <v>3259.45</v>
      </c>
      <c r="D15" s="35">
        <f t="shared" si="0"/>
        <v>0</v>
      </c>
      <c r="E15" s="17">
        <f t="shared" si="0"/>
        <v>2270.3000000000002</v>
      </c>
      <c r="F15" s="35">
        <f t="shared" si="0"/>
        <v>0</v>
      </c>
      <c r="G15" s="35"/>
      <c r="H15" s="35"/>
      <c r="I15" s="35"/>
      <c r="J15" s="35"/>
      <c r="K15" s="93">
        <f t="shared" si="0"/>
        <v>324.85000000000002</v>
      </c>
      <c r="L15" s="17">
        <v>0</v>
      </c>
      <c r="M15" s="17">
        <f t="shared" si="0"/>
        <v>4380</v>
      </c>
      <c r="N15" s="61">
        <f t="shared" si="0"/>
        <v>0.2</v>
      </c>
      <c r="O15" s="93">
        <f t="shared" si="0"/>
        <v>9999999</v>
      </c>
    </row>
    <row r="16" spans="1:15" x14ac:dyDescent="0.25">
      <c r="A16" s="163">
        <v>39630</v>
      </c>
      <c r="B16" s="164">
        <v>39994</v>
      </c>
      <c r="C16" s="17">
        <f t="shared" si="0"/>
        <v>3358</v>
      </c>
      <c r="D16" s="35">
        <f t="shared" si="0"/>
        <v>0</v>
      </c>
      <c r="E16" s="17">
        <f t="shared" si="0"/>
        <v>2339.65</v>
      </c>
      <c r="F16" s="35">
        <f t="shared" si="0"/>
        <v>0</v>
      </c>
      <c r="G16" s="35"/>
      <c r="H16" s="35"/>
      <c r="I16" s="35"/>
      <c r="J16" s="35"/>
      <c r="K16" s="93">
        <f t="shared" si="0"/>
        <v>335.8</v>
      </c>
      <c r="L16" s="17">
        <v>0</v>
      </c>
      <c r="M16" s="17">
        <f t="shared" si="0"/>
        <v>4526</v>
      </c>
      <c r="N16" s="61">
        <f t="shared" si="0"/>
        <v>0.2</v>
      </c>
      <c r="O16" s="93">
        <f t="shared" si="0"/>
        <v>150000</v>
      </c>
    </row>
    <row r="17" spans="1:15" x14ac:dyDescent="0.25">
      <c r="A17" s="163">
        <v>39995</v>
      </c>
      <c r="B17" s="164">
        <v>40359</v>
      </c>
      <c r="C17" s="17">
        <f t="shared" si="0"/>
        <v>3482.1</v>
      </c>
      <c r="D17" s="35">
        <f t="shared" si="0"/>
        <v>0</v>
      </c>
      <c r="E17" s="17">
        <f t="shared" si="0"/>
        <v>2427.25</v>
      </c>
      <c r="F17" s="35">
        <f t="shared" si="0"/>
        <v>0</v>
      </c>
      <c r="G17" s="35"/>
      <c r="H17" s="35"/>
      <c r="I17" s="35"/>
      <c r="J17" s="35"/>
      <c r="K17" s="93">
        <f t="shared" si="0"/>
        <v>346.75</v>
      </c>
      <c r="L17" s="17">
        <v>0</v>
      </c>
      <c r="M17" s="17">
        <f t="shared" si="0"/>
        <v>4672</v>
      </c>
      <c r="N17" s="61">
        <f t="shared" si="0"/>
        <v>0.2</v>
      </c>
      <c r="O17" s="93">
        <f t="shared" si="0"/>
        <v>150000</v>
      </c>
    </row>
    <row r="18" spans="1:15" x14ac:dyDescent="0.25">
      <c r="A18" s="163">
        <v>40360</v>
      </c>
      <c r="B18" s="164">
        <v>40724</v>
      </c>
      <c r="C18" s="17">
        <f t="shared" ref="C18:O27" si="1">AnnualAverage($A18,C$7,FTBBParms,FTBBDates,FTBBNames)</f>
        <v>3555.1</v>
      </c>
      <c r="D18" s="35">
        <f t="shared" si="1"/>
        <v>0</v>
      </c>
      <c r="E18" s="17">
        <f t="shared" si="1"/>
        <v>2478.35</v>
      </c>
      <c r="F18" s="35">
        <f t="shared" si="1"/>
        <v>0</v>
      </c>
      <c r="G18" s="35"/>
      <c r="H18" s="35"/>
      <c r="I18" s="35"/>
      <c r="J18" s="35"/>
      <c r="K18" s="93">
        <f t="shared" si="1"/>
        <v>354.05</v>
      </c>
      <c r="L18" s="17">
        <v>0</v>
      </c>
      <c r="M18" s="17">
        <f t="shared" si="1"/>
        <v>4745</v>
      </c>
      <c r="N18" s="61">
        <f t="shared" si="1"/>
        <v>0.2</v>
      </c>
      <c r="O18" s="93">
        <f t="shared" si="1"/>
        <v>150000</v>
      </c>
    </row>
    <row r="19" spans="1:15" x14ac:dyDescent="0.25">
      <c r="A19" s="163">
        <v>40725</v>
      </c>
      <c r="B19" s="164">
        <v>41090</v>
      </c>
      <c r="C19" s="17">
        <f t="shared" si="1"/>
        <v>3650</v>
      </c>
      <c r="D19" s="35">
        <f t="shared" si="1"/>
        <v>0</v>
      </c>
      <c r="E19" s="17">
        <f t="shared" si="1"/>
        <v>2544.0500000000002</v>
      </c>
      <c r="F19" s="35">
        <f t="shared" si="1"/>
        <v>0</v>
      </c>
      <c r="G19" s="35"/>
      <c r="H19" s="35"/>
      <c r="I19" s="35"/>
      <c r="J19" s="35"/>
      <c r="K19" s="93">
        <f t="shared" si="1"/>
        <v>354.05</v>
      </c>
      <c r="L19" s="17">
        <v>0</v>
      </c>
      <c r="M19" s="17">
        <f t="shared" si="1"/>
        <v>4891</v>
      </c>
      <c r="N19" s="61">
        <f t="shared" si="1"/>
        <v>0.2</v>
      </c>
      <c r="O19" s="93">
        <f t="shared" si="1"/>
        <v>150000</v>
      </c>
    </row>
    <row r="20" spans="1:15" x14ac:dyDescent="0.25">
      <c r="A20" s="163">
        <v>41091</v>
      </c>
      <c r="B20" s="164">
        <v>41455</v>
      </c>
      <c r="C20" s="17">
        <f t="shared" si="1"/>
        <v>3763.15</v>
      </c>
      <c r="D20" s="35">
        <f t="shared" si="1"/>
        <v>0</v>
      </c>
      <c r="E20" s="17">
        <f t="shared" si="1"/>
        <v>2624.35</v>
      </c>
      <c r="F20" s="35">
        <f t="shared" si="1"/>
        <v>0</v>
      </c>
      <c r="G20" s="35"/>
      <c r="H20" s="35"/>
      <c r="I20" s="35"/>
      <c r="J20" s="35"/>
      <c r="K20" s="93">
        <f t="shared" si="1"/>
        <v>354.05</v>
      </c>
      <c r="L20" s="17">
        <v>0</v>
      </c>
      <c r="M20" s="17">
        <f t="shared" si="1"/>
        <v>5037</v>
      </c>
      <c r="N20" s="61">
        <f t="shared" si="1"/>
        <v>0.2</v>
      </c>
      <c r="O20" s="93">
        <f t="shared" si="1"/>
        <v>150000</v>
      </c>
    </row>
    <row r="21" spans="1:15" s="5" customFormat="1" x14ac:dyDescent="0.25">
      <c r="A21" s="496">
        <v>41456</v>
      </c>
      <c r="B21" s="497">
        <v>41820</v>
      </c>
      <c r="C21" s="375">
        <f t="shared" si="1"/>
        <v>3817.9</v>
      </c>
      <c r="D21" s="374">
        <f t="shared" si="1"/>
        <v>69.349999999999994</v>
      </c>
      <c r="E21" s="375">
        <f t="shared" si="1"/>
        <v>2664.5</v>
      </c>
      <c r="F21" s="374">
        <f t="shared" si="1"/>
        <v>51.1</v>
      </c>
      <c r="G21" s="374"/>
      <c r="H21" s="374"/>
      <c r="I21" s="374"/>
      <c r="J21" s="374"/>
      <c r="K21" s="373">
        <f t="shared" si="1"/>
        <v>354.05</v>
      </c>
      <c r="L21" s="375">
        <v>0</v>
      </c>
      <c r="M21" s="375">
        <f t="shared" si="1"/>
        <v>5183</v>
      </c>
      <c r="N21" s="377">
        <f t="shared" si="1"/>
        <v>0.2</v>
      </c>
      <c r="O21" s="373">
        <f t="shared" si="1"/>
        <v>150000</v>
      </c>
    </row>
    <row r="22" spans="1:15" s="5" customFormat="1" x14ac:dyDescent="0.25">
      <c r="A22" s="496">
        <v>41821</v>
      </c>
      <c r="B22" s="497">
        <v>42185</v>
      </c>
      <c r="C22" s="375">
        <f t="shared" si="1"/>
        <v>3920.1</v>
      </c>
      <c r="D22" s="374">
        <f t="shared" si="1"/>
        <v>73</v>
      </c>
      <c r="E22" s="375">
        <f t="shared" si="1"/>
        <v>2737.5</v>
      </c>
      <c r="F22" s="374">
        <f t="shared" si="1"/>
        <v>51.1</v>
      </c>
      <c r="G22" s="374"/>
      <c r="H22" s="374"/>
      <c r="I22" s="374"/>
      <c r="J22" s="374"/>
      <c r="K22" s="373">
        <f t="shared" si="1"/>
        <v>354.05</v>
      </c>
      <c r="L22" s="375">
        <v>0</v>
      </c>
      <c r="M22" s="375">
        <f t="shared" si="1"/>
        <v>5329</v>
      </c>
      <c r="N22" s="377">
        <f t="shared" si="1"/>
        <v>0.2</v>
      </c>
      <c r="O22" s="373">
        <f t="shared" si="1"/>
        <v>150000</v>
      </c>
    </row>
    <row r="23" spans="1:15" x14ac:dyDescent="0.25">
      <c r="A23" s="496">
        <v>42186</v>
      </c>
      <c r="B23" s="497">
        <v>42551</v>
      </c>
      <c r="C23" s="375">
        <v>3985.8</v>
      </c>
      <c r="D23" s="374">
        <v>73</v>
      </c>
      <c r="E23" s="375">
        <v>2784.95</v>
      </c>
      <c r="F23" s="374">
        <v>51.1</v>
      </c>
      <c r="G23" s="374"/>
      <c r="H23" s="374"/>
      <c r="I23" s="374"/>
      <c r="J23" s="374"/>
      <c r="K23" s="373">
        <v>354.05</v>
      </c>
      <c r="L23" s="375">
        <v>0</v>
      </c>
      <c r="M23" s="375">
        <v>5402</v>
      </c>
      <c r="N23" s="377">
        <v>0.2</v>
      </c>
      <c r="O23" s="373">
        <v>100000</v>
      </c>
    </row>
    <row r="24" spans="1:15" s="5" customFormat="1" x14ac:dyDescent="0.25">
      <c r="A24" s="496">
        <v>42552</v>
      </c>
      <c r="B24" s="497">
        <v>42916</v>
      </c>
      <c r="C24" s="375">
        <f t="shared" si="1"/>
        <v>4055.15</v>
      </c>
      <c r="D24" s="374">
        <f t="shared" si="1"/>
        <v>73</v>
      </c>
      <c r="E24" s="375">
        <f t="shared" si="1"/>
        <v>2832.4</v>
      </c>
      <c r="F24" s="374">
        <f t="shared" si="1"/>
        <v>51.1</v>
      </c>
      <c r="G24" s="375">
        <f t="shared" ref="G24:J28" si="2">AnnualAverage($A24,G$7,FTBBParms,FTBBDates,FTBBNames)</f>
        <v>0</v>
      </c>
      <c r="H24" s="375">
        <f t="shared" si="2"/>
        <v>0</v>
      </c>
      <c r="I24" s="375">
        <f t="shared" si="2"/>
        <v>0</v>
      </c>
      <c r="J24" s="375">
        <f t="shared" si="2"/>
        <v>0</v>
      </c>
      <c r="K24" s="373">
        <f t="shared" si="1"/>
        <v>354.05</v>
      </c>
      <c r="L24" s="375">
        <f t="shared" si="1"/>
        <v>0</v>
      </c>
      <c r="M24" s="375">
        <f t="shared" si="1"/>
        <v>5475</v>
      </c>
      <c r="N24" s="377">
        <f t="shared" si="1"/>
        <v>0.2</v>
      </c>
      <c r="O24" s="373">
        <f t="shared" si="1"/>
        <v>100000</v>
      </c>
    </row>
    <row r="25" spans="1:15" x14ac:dyDescent="0.25">
      <c r="A25" s="247">
        <v>42917</v>
      </c>
      <c r="B25" s="248">
        <v>43281</v>
      </c>
      <c r="C25" s="249">
        <f t="shared" si="1"/>
        <v>4055.15</v>
      </c>
      <c r="D25" s="251">
        <f t="shared" si="1"/>
        <v>73</v>
      </c>
      <c r="E25" s="249">
        <f t="shared" si="1"/>
        <v>2832.4</v>
      </c>
      <c r="F25" s="251">
        <f t="shared" si="1"/>
        <v>51.1</v>
      </c>
      <c r="G25" s="249">
        <f t="shared" si="2"/>
        <v>0</v>
      </c>
      <c r="H25" s="249">
        <f t="shared" si="2"/>
        <v>0</v>
      </c>
      <c r="I25" s="249">
        <f t="shared" si="2"/>
        <v>0</v>
      </c>
      <c r="J25" s="249">
        <f t="shared" si="2"/>
        <v>0</v>
      </c>
      <c r="K25" s="252">
        <f t="shared" si="1"/>
        <v>357.7</v>
      </c>
      <c r="L25" s="249">
        <f t="shared" si="1"/>
        <v>0</v>
      </c>
      <c r="M25" s="249">
        <f t="shared" si="1"/>
        <v>5548</v>
      </c>
      <c r="N25" s="323">
        <f t="shared" si="1"/>
        <v>0.2</v>
      </c>
      <c r="O25" s="252">
        <f t="shared" si="1"/>
        <v>100000</v>
      </c>
    </row>
    <row r="26" spans="1:15" x14ac:dyDescent="0.25">
      <c r="A26" s="247">
        <v>43282</v>
      </c>
      <c r="B26" s="248">
        <v>43646</v>
      </c>
      <c r="C26" s="249">
        <f t="shared" si="1"/>
        <v>4055.15</v>
      </c>
      <c r="D26" s="251">
        <f t="shared" si="1"/>
        <v>73</v>
      </c>
      <c r="E26" s="249">
        <f t="shared" si="1"/>
        <v>2832.4</v>
      </c>
      <c r="F26" s="251">
        <f t="shared" si="1"/>
        <v>51.1</v>
      </c>
      <c r="G26" s="249">
        <f t="shared" si="2"/>
        <v>0</v>
      </c>
      <c r="H26" s="249">
        <f t="shared" si="2"/>
        <v>0</v>
      </c>
      <c r="I26" s="249">
        <f t="shared" si="2"/>
        <v>0</v>
      </c>
      <c r="J26" s="249">
        <f t="shared" si="2"/>
        <v>0</v>
      </c>
      <c r="K26" s="252">
        <f t="shared" si="1"/>
        <v>365</v>
      </c>
      <c r="L26" s="249">
        <f t="shared" si="1"/>
        <v>0</v>
      </c>
      <c r="M26" s="249">
        <f t="shared" si="1"/>
        <v>5621</v>
      </c>
      <c r="N26" s="323">
        <f t="shared" si="1"/>
        <v>0.2</v>
      </c>
      <c r="O26" s="252">
        <f t="shared" si="1"/>
        <v>100000</v>
      </c>
    </row>
    <row r="27" spans="1:15" x14ac:dyDescent="0.25">
      <c r="A27" s="247">
        <v>43647</v>
      </c>
      <c r="B27" s="248">
        <v>44012</v>
      </c>
      <c r="C27" s="249">
        <f t="shared" si="1"/>
        <v>4139.1000000000004</v>
      </c>
      <c r="D27" s="251">
        <f t="shared" si="1"/>
        <v>73</v>
      </c>
      <c r="E27" s="249">
        <f t="shared" si="1"/>
        <v>2890.8</v>
      </c>
      <c r="F27" s="251">
        <f t="shared" si="1"/>
        <v>51.1</v>
      </c>
      <c r="G27" s="249">
        <f t="shared" si="2"/>
        <v>0</v>
      </c>
      <c r="H27" s="249">
        <f t="shared" si="2"/>
        <v>0</v>
      </c>
      <c r="I27" s="249">
        <f t="shared" si="2"/>
        <v>0</v>
      </c>
      <c r="J27" s="249">
        <f t="shared" si="2"/>
        <v>0</v>
      </c>
      <c r="K27" s="252">
        <f t="shared" si="1"/>
        <v>372.3</v>
      </c>
      <c r="L27" s="249">
        <f t="shared" si="1"/>
        <v>0</v>
      </c>
      <c r="M27" s="249">
        <f t="shared" si="1"/>
        <v>5767</v>
      </c>
      <c r="N27" s="323">
        <f t="shared" si="1"/>
        <v>0.2</v>
      </c>
      <c r="O27" s="252">
        <f t="shared" si="1"/>
        <v>100000</v>
      </c>
    </row>
    <row r="28" spans="1:15" x14ac:dyDescent="0.25">
      <c r="A28" s="247">
        <v>44013</v>
      </c>
      <c r="B28" s="248">
        <v>44377</v>
      </c>
      <c r="C28" s="249">
        <f t="shared" ref="C28:O28" si="3">AnnualAverage($A28,C$7,FTBBParms,FTBBDates,FTBBNames)</f>
        <v>4237.6499999999996</v>
      </c>
      <c r="D28" s="251">
        <f t="shared" si="3"/>
        <v>73</v>
      </c>
      <c r="E28" s="249">
        <f t="shared" si="3"/>
        <v>2960.15</v>
      </c>
      <c r="F28" s="251">
        <f t="shared" si="3"/>
        <v>51.1</v>
      </c>
      <c r="G28" s="249">
        <f t="shared" si="2"/>
        <v>0</v>
      </c>
      <c r="H28" s="249">
        <f t="shared" si="2"/>
        <v>0</v>
      </c>
      <c r="I28" s="249">
        <f t="shared" si="2"/>
        <v>0</v>
      </c>
      <c r="J28" s="249">
        <f t="shared" si="2"/>
        <v>0</v>
      </c>
      <c r="K28" s="252">
        <f t="shared" si="3"/>
        <v>379.6</v>
      </c>
      <c r="L28" s="249">
        <f t="shared" si="3"/>
        <v>0</v>
      </c>
      <c r="M28" s="249">
        <f t="shared" si="3"/>
        <v>5913</v>
      </c>
      <c r="N28" s="323">
        <f t="shared" si="3"/>
        <v>0.2</v>
      </c>
      <c r="O28" s="252">
        <f t="shared" si="3"/>
        <v>102400</v>
      </c>
    </row>
  </sheetData>
  <customSheetViews>
    <customSheetView guid="{E49C2F27-B0B9-497E-BEC0-5B59561292FE}">
      <pane xSplit="2" ySplit="7" topLeftCell="C38" activePane="bottomRight" state="frozen"/>
      <selection pane="bottomRight" activeCell="D22" sqref="D22"/>
      <pageMargins left="0.7" right="0.7" top="0.75" bottom="0.75" header="0.3" footer="0.3"/>
    </customSheetView>
    <customSheetView guid="{A5953138-1481-4137-BEAD-32FA4FDF03E6}">
      <pane xSplit="2" ySplit="7" topLeftCell="C8" activePane="bottomRight" state="frozen"/>
      <selection pane="bottomRight" activeCell="I64" sqref="I64"/>
      <pageMargins left="0.7" right="0.7" top="0.75" bottom="0.75" header="0.3" footer="0.3"/>
    </customSheetView>
    <customSheetView guid="{2A1F94CA-1A34-4418-88FD-EABF7586C2B2}">
      <pane xSplit="2" ySplit="7" topLeftCell="C11" activePane="bottomRight" state="frozen"/>
      <selection pane="bottomRight" activeCell="G1" sqref="G1:G1048576"/>
      <pageMargins left="0.7" right="0.7" top="0.75" bottom="0.75" header="0.3" footer="0.3"/>
    </customSheetView>
  </customSheetViews>
  <mergeCells count="18">
    <mergeCell ref="O2:O6"/>
    <mergeCell ref="N4:N6"/>
    <mergeCell ref="C1:K1"/>
    <mergeCell ref="M1:O1"/>
    <mergeCell ref="E5:E6"/>
    <mergeCell ref="F5:F6"/>
    <mergeCell ref="L2:L6"/>
    <mergeCell ref="A4:A6"/>
    <mergeCell ref="B4:B6"/>
    <mergeCell ref="M4:M6"/>
    <mergeCell ref="M2:N3"/>
    <mergeCell ref="C3:D4"/>
    <mergeCell ref="E3:F4"/>
    <mergeCell ref="C5:C6"/>
    <mergeCell ref="D5:D6"/>
    <mergeCell ref="A2:B3"/>
    <mergeCell ref="C2:F2"/>
    <mergeCell ref="K2:K6"/>
  </mergeCells>
  <pageMargins left="0.7" right="0.7" top="0.75" bottom="0.75" header="0.3" footer="0.3"/>
  <legacyDrawing r:id="rId1"/>
</worksheet>
</file>

<file path=xl/worksheets/sheet4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D00-000000000000}">
  <sheetPr codeName="Sheet37">
    <tabColor theme="9"/>
  </sheetPr>
  <dimension ref="A1:E91"/>
  <sheetViews>
    <sheetView workbookViewId="0">
      <pane xSplit="2" ySplit="7" topLeftCell="C37" activePane="bottomRight" state="frozen"/>
      <selection pane="topRight" activeCell="C1" sqref="C1"/>
      <selection pane="bottomLeft" activeCell="A8" sqref="A8"/>
      <selection pane="bottomRight" activeCell="A92" sqref="A92:XFD211"/>
    </sheetView>
  </sheetViews>
  <sheetFormatPr defaultRowHeight="15" x14ac:dyDescent="0.25"/>
  <cols>
    <col min="1" max="2" width="14.85546875" style="25" customWidth="1"/>
    <col min="3" max="4" width="18.7109375" style="25" customWidth="1"/>
    <col min="5" max="5" width="24.140625" style="25" customWidth="1"/>
    <col min="6" max="16384" width="9.140625" style="25"/>
  </cols>
  <sheetData>
    <row r="1" spans="1:5" ht="15.75" thickBot="1" x14ac:dyDescent="0.3">
      <c r="A1" s="115"/>
      <c r="B1" s="36"/>
      <c r="C1" s="1463" t="s">
        <v>23</v>
      </c>
      <c r="D1" s="1463"/>
      <c r="E1" s="45" t="s">
        <v>24</v>
      </c>
    </row>
    <row r="2" spans="1:5" ht="15" customHeight="1" x14ac:dyDescent="0.25">
      <c r="A2" s="1200" t="s">
        <v>13</v>
      </c>
      <c r="B2" s="1201"/>
      <c r="C2" s="1456" t="s">
        <v>252</v>
      </c>
      <c r="D2" s="1457"/>
      <c r="E2" s="1454" t="s">
        <v>59</v>
      </c>
    </row>
    <row r="3" spans="1:5" ht="15.75" thickBot="1" x14ac:dyDescent="0.3">
      <c r="A3" s="1202"/>
      <c r="B3" s="1203"/>
      <c r="C3" s="1458"/>
      <c r="D3" s="1459"/>
      <c r="E3" s="1455"/>
    </row>
    <row r="4" spans="1:5" ht="15" customHeight="1" x14ac:dyDescent="0.25">
      <c r="A4" s="1465" t="s">
        <v>16</v>
      </c>
      <c r="B4" s="1467" t="s">
        <v>17</v>
      </c>
      <c r="C4" s="1464" t="s">
        <v>253</v>
      </c>
      <c r="D4" s="1460" t="s">
        <v>254</v>
      </c>
      <c r="E4" s="1455"/>
    </row>
    <row r="5" spans="1:5" x14ac:dyDescent="0.25">
      <c r="A5" s="1465"/>
      <c r="B5" s="1467"/>
      <c r="C5" s="1465"/>
      <c r="D5" s="1461"/>
      <c r="E5" s="1455"/>
    </row>
    <row r="6" spans="1:5" ht="15.75" thickBot="1" x14ac:dyDescent="0.3">
      <c r="A6" s="1465"/>
      <c r="B6" s="1467"/>
      <c r="C6" s="1466"/>
      <c r="D6" s="1462"/>
      <c r="E6" s="1455"/>
    </row>
    <row r="7" spans="1:5" ht="15.75" thickBot="1" x14ac:dyDescent="0.3">
      <c r="A7" s="713" t="s">
        <v>550</v>
      </c>
      <c r="B7" s="714" t="s">
        <v>551</v>
      </c>
      <c r="C7" s="336" t="s">
        <v>474</v>
      </c>
      <c r="D7" s="337" t="s">
        <v>475</v>
      </c>
      <c r="E7" s="119" t="s">
        <v>476</v>
      </c>
    </row>
    <row r="8" spans="1:5" x14ac:dyDescent="0.25">
      <c r="A8" s="120">
        <v>36708</v>
      </c>
      <c r="B8" s="121">
        <v>36788</v>
      </c>
      <c r="C8" s="145"/>
      <c r="D8" s="32"/>
      <c r="E8" s="176"/>
    </row>
    <row r="9" spans="1:5" x14ac:dyDescent="0.25">
      <c r="A9" s="142">
        <v>36789</v>
      </c>
      <c r="B9" s="143">
        <v>36891</v>
      </c>
      <c r="C9" s="145"/>
      <c r="D9" s="32"/>
      <c r="E9" s="32"/>
    </row>
    <row r="10" spans="1:5" x14ac:dyDescent="0.25">
      <c r="A10" s="142">
        <v>36892</v>
      </c>
      <c r="B10" s="143">
        <v>36969</v>
      </c>
      <c r="C10" s="145"/>
      <c r="D10" s="32"/>
      <c r="E10" s="32"/>
    </row>
    <row r="11" spans="1:5" ht="15.75" thickBot="1" x14ac:dyDescent="0.3">
      <c r="A11" s="146">
        <v>36970</v>
      </c>
      <c r="B11" s="147">
        <v>37072</v>
      </c>
      <c r="C11" s="149"/>
      <c r="D11" s="177"/>
      <c r="E11" s="177"/>
    </row>
    <row r="12" spans="1:5" x14ac:dyDescent="0.25">
      <c r="A12" s="120">
        <v>37073</v>
      </c>
      <c r="B12" s="121">
        <v>37153</v>
      </c>
      <c r="C12" s="139"/>
      <c r="D12" s="176"/>
      <c r="E12" s="176"/>
    </row>
    <row r="13" spans="1:5" x14ac:dyDescent="0.25">
      <c r="A13" s="142">
        <v>37154</v>
      </c>
      <c r="B13" s="143">
        <v>37256</v>
      </c>
      <c r="C13" s="145"/>
      <c r="D13" s="32"/>
      <c r="E13" s="32"/>
    </row>
    <row r="14" spans="1:5" x14ac:dyDescent="0.25">
      <c r="A14" s="142">
        <v>37257</v>
      </c>
      <c r="B14" s="143">
        <v>37334</v>
      </c>
      <c r="C14" s="145"/>
      <c r="D14" s="32"/>
      <c r="E14" s="32"/>
    </row>
    <row r="15" spans="1:5" ht="15.75" thickBot="1" x14ac:dyDescent="0.3">
      <c r="A15" s="146">
        <v>37335</v>
      </c>
      <c r="B15" s="147">
        <v>37437</v>
      </c>
      <c r="C15" s="149"/>
      <c r="D15" s="177"/>
      <c r="E15" s="177"/>
    </row>
    <row r="16" spans="1:5" x14ac:dyDescent="0.25">
      <c r="A16" s="120">
        <v>37438</v>
      </c>
      <c r="B16" s="121">
        <v>37518</v>
      </c>
      <c r="C16" s="139"/>
      <c r="D16" s="176"/>
      <c r="E16" s="176"/>
    </row>
    <row r="17" spans="1:5" x14ac:dyDescent="0.25">
      <c r="A17" s="142">
        <v>37519</v>
      </c>
      <c r="B17" s="143">
        <v>37621</v>
      </c>
      <c r="C17" s="145"/>
      <c r="D17" s="32"/>
      <c r="E17" s="32"/>
    </row>
    <row r="18" spans="1:5" x14ac:dyDescent="0.25">
      <c r="A18" s="142">
        <v>37622</v>
      </c>
      <c r="B18" s="143">
        <v>37699</v>
      </c>
      <c r="C18" s="145"/>
      <c r="D18" s="32"/>
      <c r="E18" s="32"/>
    </row>
    <row r="19" spans="1:5" ht="15.75" thickBot="1" x14ac:dyDescent="0.3">
      <c r="A19" s="146">
        <v>37700</v>
      </c>
      <c r="B19" s="147">
        <v>37802</v>
      </c>
      <c r="C19" s="149"/>
      <c r="D19" s="177"/>
      <c r="E19" s="177"/>
    </row>
    <row r="20" spans="1:5" x14ac:dyDescent="0.25">
      <c r="A20" s="120">
        <v>37803</v>
      </c>
      <c r="B20" s="121">
        <v>37883</v>
      </c>
      <c r="C20" s="139"/>
      <c r="D20" s="176"/>
      <c r="E20" s="176"/>
    </row>
    <row r="21" spans="1:5" x14ac:dyDescent="0.25">
      <c r="A21" s="142">
        <v>37884</v>
      </c>
      <c r="B21" s="143">
        <v>37986</v>
      </c>
      <c r="C21" s="145"/>
      <c r="D21" s="32"/>
      <c r="E21" s="32"/>
    </row>
    <row r="22" spans="1:5" x14ac:dyDescent="0.25">
      <c r="A22" s="142">
        <v>37987</v>
      </c>
      <c r="B22" s="143">
        <v>38065</v>
      </c>
      <c r="C22" s="145"/>
      <c r="D22" s="32"/>
      <c r="E22" s="32"/>
    </row>
    <row r="23" spans="1:5" ht="15.75" thickBot="1" x14ac:dyDescent="0.3">
      <c r="A23" s="146">
        <v>38066</v>
      </c>
      <c r="B23" s="147">
        <v>38168</v>
      </c>
      <c r="C23" s="149"/>
      <c r="D23" s="177"/>
      <c r="E23" s="177"/>
    </row>
    <row r="24" spans="1:5" x14ac:dyDescent="0.25">
      <c r="A24" s="120">
        <v>38169</v>
      </c>
      <c r="B24" s="121">
        <v>38249</v>
      </c>
      <c r="C24" s="139">
        <v>3000</v>
      </c>
      <c r="D24" s="176">
        <f t="shared" ref="D24:D58" si="0">C24</f>
        <v>3000</v>
      </c>
      <c r="E24" s="176"/>
    </row>
    <row r="25" spans="1:5" x14ac:dyDescent="0.25">
      <c r="A25" s="142">
        <v>38250</v>
      </c>
      <c r="B25" s="143">
        <v>38352</v>
      </c>
      <c r="C25" s="145">
        <v>3042</v>
      </c>
      <c r="D25" s="32">
        <f t="shared" si="0"/>
        <v>3042</v>
      </c>
      <c r="E25" s="32"/>
    </row>
    <row r="26" spans="1:5" x14ac:dyDescent="0.25">
      <c r="A26" s="142">
        <v>38353</v>
      </c>
      <c r="B26" s="143">
        <v>38430</v>
      </c>
      <c r="C26" s="145">
        <v>3042</v>
      </c>
      <c r="D26" s="32">
        <f t="shared" si="0"/>
        <v>3042</v>
      </c>
      <c r="E26" s="32"/>
    </row>
    <row r="27" spans="1:5" ht="15.75" thickBot="1" x14ac:dyDescent="0.3">
      <c r="A27" s="146">
        <v>38431</v>
      </c>
      <c r="B27" s="147">
        <v>38533</v>
      </c>
      <c r="C27" s="149">
        <v>3079</v>
      </c>
      <c r="D27" s="177">
        <f t="shared" si="0"/>
        <v>3079</v>
      </c>
      <c r="E27" s="177"/>
    </row>
    <row r="28" spans="1:5" x14ac:dyDescent="0.25">
      <c r="A28" s="120">
        <v>38534</v>
      </c>
      <c r="B28" s="121">
        <v>38614</v>
      </c>
      <c r="C28" s="139">
        <v>3079</v>
      </c>
      <c r="D28" s="176">
        <f t="shared" si="0"/>
        <v>3079</v>
      </c>
      <c r="E28" s="176"/>
    </row>
    <row r="29" spans="1:5" x14ac:dyDescent="0.25">
      <c r="A29" s="142">
        <v>38615</v>
      </c>
      <c r="B29" s="143">
        <v>38717</v>
      </c>
      <c r="C29" s="145">
        <v>3119</v>
      </c>
      <c r="D29" s="32">
        <f t="shared" si="0"/>
        <v>3119</v>
      </c>
      <c r="E29" s="32"/>
    </row>
    <row r="30" spans="1:5" x14ac:dyDescent="0.25">
      <c r="A30" s="142">
        <v>38718</v>
      </c>
      <c r="B30" s="143">
        <v>38795</v>
      </c>
      <c r="C30" s="145">
        <v>3119</v>
      </c>
      <c r="D30" s="32">
        <f t="shared" si="0"/>
        <v>3119</v>
      </c>
      <c r="E30" s="32"/>
    </row>
    <row r="31" spans="1:5" ht="15.75" thickBot="1" x14ac:dyDescent="0.3">
      <c r="A31" s="146">
        <v>38796</v>
      </c>
      <c r="B31" s="147">
        <v>38898</v>
      </c>
      <c r="C31" s="149">
        <v>3166</v>
      </c>
      <c r="D31" s="177">
        <f t="shared" si="0"/>
        <v>3166</v>
      </c>
      <c r="E31" s="177"/>
    </row>
    <row r="32" spans="1:5" x14ac:dyDescent="0.25">
      <c r="A32" s="120">
        <v>38899</v>
      </c>
      <c r="B32" s="121">
        <v>38979</v>
      </c>
      <c r="C32" s="139">
        <v>4000</v>
      </c>
      <c r="D32" s="176">
        <f t="shared" si="0"/>
        <v>4000</v>
      </c>
      <c r="E32" s="176"/>
    </row>
    <row r="33" spans="1:5" x14ac:dyDescent="0.25">
      <c r="A33" s="142">
        <v>38980</v>
      </c>
      <c r="B33" s="143">
        <v>39082</v>
      </c>
      <c r="C33" s="145">
        <v>4100</v>
      </c>
      <c r="D33" s="32">
        <f t="shared" si="0"/>
        <v>4100</v>
      </c>
      <c r="E33" s="32"/>
    </row>
    <row r="34" spans="1:5" x14ac:dyDescent="0.25">
      <c r="A34" s="142">
        <v>39083</v>
      </c>
      <c r="B34" s="143">
        <v>39160</v>
      </c>
      <c r="C34" s="145">
        <v>4100</v>
      </c>
      <c r="D34" s="32">
        <f t="shared" si="0"/>
        <v>4100</v>
      </c>
      <c r="E34" s="32"/>
    </row>
    <row r="35" spans="1:5" ht="15.75" thickBot="1" x14ac:dyDescent="0.3">
      <c r="A35" s="146">
        <v>39161</v>
      </c>
      <c r="B35" s="147">
        <v>39263</v>
      </c>
      <c r="C35" s="149">
        <v>4133</v>
      </c>
      <c r="D35" s="177">
        <f t="shared" si="0"/>
        <v>4133</v>
      </c>
      <c r="E35" s="177"/>
    </row>
    <row r="36" spans="1:5" x14ac:dyDescent="0.25">
      <c r="A36" s="120">
        <v>39264</v>
      </c>
      <c r="B36" s="121">
        <v>39344</v>
      </c>
      <c r="C36" s="139">
        <v>4133</v>
      </c>
      <c r="D36" s="176">
        <f t="shared" si="0"/>
        <v>4133</v>
      </c>
      <c r="E36" s="176"/>
    </row>
    <row r="37" spans="1:5" x14ac:dyDescent="0.25">
      <c r="A37" s="142">
        <v>39345</v>
      </c>
      <c r="B37" s="143">
        <v>39447</v>
      </c>
      <c r="C37" s="145">
        <v>4187</v>
      </c>
      <c r="D37" s="32">
        <f t="shared" si="0"/>
        <v>4187</v>
      </c>
      <c r="E37" s="32"/>
    </row>
    <row r="38" spans="1:5" x14ac:dyDescent="0.25">
      <c r="A38" s="142">
        <v>39448</v>
      </c>
      <c r="B38" s="143">
        <v>39526</v>
      </c>
      <c r="C38" s="145">
        <v>4187</v>
      </c>
      <c r="D38" s="32">
        <f t="shared" si="0"/>
        <v>4187</v>
      </c>
      <c r="E38" s="32"/>
    </row>
    <row r="39" spans="1:5" ht="15.75" thickBot="1" x14ac:dyDescent="0.3">
      <c r="A39" s="146">
        <v>39527</v>
      </c>
      <c r="B39" s="147">
        <v>39629</v>
      </c>
      <c r="C39" s="149">
        <v>4258</v>
      </c>
      <c r="D39" s="177">
        <f t="shared" si="0"/>
        <v>4258</v>
      </c>
      <c r="E39" s="177"/>
    </row>
    <row r="40" spans="1:5" x14ac:dyDescent="0.25">
      <c r="A40" s="120">
        <v>39630</v>
      </c>
      <c r="B40" s="121">
        <v>39710</v>
      </c>
      <c r="C40" s="139">
        <v>5000</v>
      </c>
      <c r="D40" s="176">
        <f t="shared" si="0"/>
        <v>5000</v>
      </c>
      <c r="E40" s="176"/>
    </row>
    <row r="41" spans="1:5" x14ac:dyDescent="0.25">
      <c r="A41" s="142">
        <v>39711</v>
      </c>
      <c r="B41" s="143">
        <v>39813</v>
      </c>
      <c r="C41" s="145">
        <v>5000</v>
      </c>
      <c r="D41" s="32">
        <f t="shared" si="0"/>
        <v>5000</v>
      </c>
      <c r="E41" s="32"/>
    </row>
    <row r="42" spans="1:5" x14ac:dyDescent="0.25">
      <c r="A42" s="142">
        <v>39814</v>
      </c>
      <c r="B42" s="143">
        <v>39891</v>
      </c>
      <c r="C42" s="145">
        <v>5000</v>
      </c>
      <c r="D42" s="32">
        <f t="shared" si="0"/>
        <v>5000</v>
      </c>
      <c r="E42" s="32">
        <v>75000</v>
      </c>
    </row>
    <row r="43" spans="1:5" ht="15.75" thickBot="1" x14ac:dyDescent="0.3">
      <c r="A43" s="146">
        <v>39892</v>
      </c>
      <c r="B43" s="147">
        <v>39994</v>
      </c>
      <c r="C43" s="149">
        <v>5000</v>
      </c>
      <c r="D43" s="177">
        <f t="shared" si="0"/>
        <v>5000</v>
      </c>
      <c r="E43" s="177">
        <v>75000</v>
      </c>
    </row>
    <row r="44" spans="1:5" x14ac:dyDescent="0.25">
      <c r="A44" s="120">
        <v>39995</v>
      </c>
      <c r="B44" s="121">
        <v>40075</v>
      </c>
      <c r="C44" s="139">
        <v>5185</v>
      </c>
      <c r="D44" s="176">
        <f t="shared" si="0"/>
        <v>5185</v>
      </c>
      <c r="E44" s="176">
        <v>75000</v>
      </c>
    </row>
    <row r="45" spans="1:5" x14ac:dyDescent="0.25">
      <c r="A45" s="142">
        <v>40076</v>
      </c>
      <c r="B45" s="143">
        <v>40178</v>
      </c>
      <c r="C45" s="145">
        <v>5185</v>
      </c>
      <c r="D45" s="32">
        <f t="shared" si="0"/>
        <v>5185</v>
      </c>
      <c r="E45" s="32">
        <v>75000</v>
      </c>
    </row>
    <row r="46" spans="1:5" x14ac:dyDescent="0.25">
      <c r="A46" s="142">
        <v>40179</v>
      </c>
      <c r="B46" s="143">
        <v>40256</v>
      </c>
      <c r="C46" s="145">
        <v>5185</v>
      </c>
      <c r="D46" s="32">
        <f t="shared" si="0"/>
        <v>5185</v>
      </c>
      <c r="E46" s="32">
        <v>75000</v>
      </c>
    </row>
    <row r="47" spans="1:5" ht="15.75" thickBot="1" x14ac:dyDescent="0.3">
      <c r="A47" s="146">
        <v>40257</v>
      </c>
      <c r="B47" s="147">
        <v>40359</v>
      </c>
      <c r="C47" s="149">
        <v>5185</v>
      </c>
      <c r="D47" s="177">
        <f t="shared" si="0"/>
        <v>5185</v>
      </c>
      <c r="E47" s="177">
        <v>75000</v>
      </c>
    </row>
    <row r="48" spans="1:5" x14ac:dyDescent="0.25">
      <c r="A48" s="120">
        <v>40360</v>
      </c>
      <c r="B48" s="121">
        <v>40440</v>
      </c>
      <c r="C48" s="139">
        <v>5294</v>
      </c>
      <c r="D48" s="176">
        <f t="shared" si="0"/>
        <v>5294</v>
      </c>
      <c r="E48" s="176">
        <v>75000</v>
      </c>
    </row>
    <row r="49" spans="1:5" x14ac:dyDescent="0.25">
      <c r="A49" s="142">
        <v>40441</v>
      </c>
      <c r="B49" s="143">
        <v>40543</v>
      </c>
      <c r="C49" s="145">
        <v>5294</v>
      </c>
      <c r="D49" s="32">
        <f t="shared" si="0"/>
        <v>5294</v>
      </c>
      <c r="E49" s="32">
        <v>75000</v>
      </c>
    </row>
    <row r="50" spans="1:5" x14ac:dyDescent="0.25">
      <c r="A50" s="142">
        <v>40544</v>
      </c>
      <c r="B50" s="143">
        <v>40621</v>
      </c>
      <c r="C50" s="145">
        <v>5294</v>
      </c>
      <c r="D50" s="32">
        <f t="shared" si="0"/>
        <v>5294</v>
      </c>
      <c r="E50" s="32">
        <v>75000</v>
      </c>
    </row>
    <row r="51" spans="1:5" ht="15.75" thickBot="1" x14ac:dyDescent="0.3">
      <c r="A51" s="146">
        <v>40622</v>
      </c>
      <c r="B51" s="147">
        <v>40724</v>
      </c>
      <c r="C51" s="149">
        <v>5294</v>
      </c>
      <c r="D51" s="177">
        <f t="shared" si="0"/>
        <v>5294</v>
      </c>
      <c r="E51" s="177">
        <v>75000</v>
      </c>
    </row>
    <row r="52" spans="1:5" x14ac:dyDescent="0.25">
      <c r="A52" s="120">
        <v>40725</v>
      </c>
      <c r="B52" s="121">
        <v>40805</v>
      </c>
      <c r="C52" s="139">
        <v>5437</v>
      </c>
      <c r="D52" s="176">
        <f t="shared" si="0"/>
        <v>5437</v>
      </c>
      <c r="E52" s="176">
        <v>75000</v>
      </c>
    </row>
    <row r="53" spans="1:5" x14ac:dyDescent="0.25">
      <c r="A53" s="142">
        <v>40806</v>
      </c>
      <c r="B53" s="143">
        <v>40908</v>
      </c>
      <c r="C53" s="145">
        <v>5437</v>
      </c>
      <c r="D53" s="32">
        <f t="shared" si="0"/>
        <v>5437</v>
      </c>
      <c r="E53" s="32">
        <v>75000</v>
      </c>
    </row>
    <row r="54" spans="1:5" s="26" customFormat="1" x14ac:dyDescent="0.25">
      <c r="A54" s="142">
        <v>40909</v>
      </c>
      <c r="B54" s="143">
        <v>40987</v>
      </c>
      <c r="C54" s="145">
        <v>5437</v>
      </c>
      <c r="D54" s="32">
        <f t="shared" si="0"/>
        <v>5437</v>
      </c>
      <c r="E54" s="32">
        <v>75000</v>
      </c>
    </row>
    <row r="55" spans="1:5" s="26" customFormat="1" ht="15.75" thickBot="1" x14ac:dyDescent="0.3">
      <c r="A55" s="146">
        <v>40988</v>
      </c>
      <c r="B55" s="147">
        <v>41090</v>
      </c>
      <c r="C55" s="149">
        <v>5437</v>
      </c>
      <c r="D55" s="177">
        <f t="shared" si="0"/>
        <v>5437</v>
      </c>
      <c r="E55" s="177">
        <v>75000</v>
      </c>
    </row>
    <row r="56" spans="1:5" s="26" customFormat="1" x14ac:dyDescent="0.25">
      <c r="A56" s="142">
        <v>41091</v>
      </c>
      <c r="B56" s="143">
        <v>41171</v>
      </c>
      <c r="C56" s="145">
        <v>5437</v>
      </c>
      <c r="D56" s="32">
        <f t="shared" si="0"/>
        <v>5437</v>
      </c>
      <c r="E56" s="32">
        <v>75000</v>
      </c>
    </row>
    <row r="57" spans="1:5" s="26" customFormat="1" x14ac:dyDescent="0.25">
      <c r="A57" s="142">
        <v>41172</v>
      </c>
      <c r="B57" s="143">
        <v>41274</v>
      </c>
      <c r="C57" s="145">
        <v>5000</v>
      </c>
      <c r="D57" s="32">
        <f t="shared" si="0"/>
        <v>5000</v>
      </c>
      <c r="E57" s="32">
        <v>75000</v>
      </c>
    </row>
    <row r="58" spans="1:5" s="26" customFormat="1" x14ac:dyDescent="0.25">
      <c r="A58" s="576">
        <v>41275</v>
      </c>
      <c r="B58" s="577">
        <v>41352</v>
      </c>
      <c r="C58" s="578">
        <v>5000</v>
      </c>
      <c r="D58" s="579">
        <f t="shared" si="0"/>
        <v>5000</v>
      </c>
      <c r="E58" s="579">
        <v>75000</v>
      </c>
    </row>
    <row r="59" spans="1:5" s="26" customFormat="1" ht="15.75" thickBot="1" x14ac:dyDescent="0.3">
      <c r="A59" s="580">
        <v>41353</v>
      </c>
      <c r="B59" s="581">
        <v>41455</v>
      </c>
      <c r="C59" s="582">
        <v>5000</v>
      </c>
      <c r="D59" s="583">
        <f>C59</f>
        <v>5000</v>
      </c>
      <c r="E59" s="583">
        <v>75000</v>
      </c>
    </row>
    <row r="60" spans="1:5" x14ac:dyDescent="0.25">
      <c r="A60" s="587">
        <v>41456</v>
      </c>
      <c r="B60" s="588">
        <v>41536</v>
      </c>
      <c r="C60" s="590">
        <v>5000</v>
      </c>
      <c r="D60" s="619">
        <v>3000</v>
      </c>
      <c r="E60" s="619">
        <v>75000</v>
      </c>
    </row>
    <row r="61" spans="1:5" x14ac:dyDescent="0.25">
      <c r="A61" s="576">
        <v>41537</v>
      </c>
      <c r="B61" s="577">
        <v>41639</v>
      </c>
      <c r="C61" s="578">
        <v>5000</v>
      </c>
      <c r="D61" s="579">
        <v>3000</v>
      </c>
      <c r="E61" s="579">
        <v>75000</v>
      </c>
    </row>
    <row r="62" spans="1:5" x14ac:dyDescent="0.25">
      <c r="A62" s="576">
        <v>41640</v>
      </c>
      <c r="B62" s="577">
        <v>41717</v>
      </c>
      <c r="C62" s="578">
        <v>5000</v>
      </c>
      <c r="D62" s="579">
        <v>3000</v>
      </c>
      <c r="E62" s="579">
        <v>75000</v>
      </c>
    </row>
    <row r="63" spans="1:5" ht="15.75" thickBot="1" x14ac:dyDescent="0.3">
      <c r="A63" s="580">
        <v>41718</v>
      </c>
      <c r="B63" s="581">
        <v>41820</v>
      </c>
      <c r="C63" s="578">
        <v>0</v>
      </c>
      <c r="D63" s="579">
        <v>0</v>
      </c>
      <c r="E63" s="579">
        <v>0</v>
      </c>
    </row>
    <row r="64" spans="1:5" s="26" customFormat="1" x14ac:dyDescent="0.25">
      <c r="A64" s="587">
        <v>41821</v>
      </c>
      <c r="B64" s="588">
        <v>41901</v>
      </c>
      <c r="C64" s="590">
        <v>0</v>
      </c>
      <c r="D64" s="619">
        <v>0</v>
      </c>
      <c r="E64" s="619">
        <v>0</v>
      </c>
    </row>
    <row r="65" spans="1:5" s="26" customFormat="1" x14ac:dyDescent="0.25">
      <c r="A65" s="576">
        <v>41902</v>
      </c>
      <c r="B65" s="577">
        <v>42004</v>
      </c>
      <c r="C65" s="578">
        <v>0</v>
      </c>
      <c r="D65" s="579">
        <v>0</v>
      </c>
      <c r="E65" s="579">
        <v>0</v>
      </c>
    </row>
    <row r="66" spans="1:5" s="26" customFormat="1" x14ac:dyDescent="0.25">
      <c r="A66" s="576">
        <v>42005</v>
      </c>
      <c r="B66" s="577">
        <v>42082</v>
      </c>
      <c r="C66" s="578">
        <v>0</v>
      </c>
      <c r="D66" s="579">
        <v>0</v>
      </c>
      <c r="E66" s="579">
        <v>0</v>
      </c>
    </row>
    <row r="67" spans="1:5" s="26" customFormat="1" ht="15.75" thickBot="1" x14ac:dyDescent="0.3">
      <c r="A67" s="580">
        <v>42083</v>
      </c>
      <c r="B67" s="581">
        <v>42185</v>
      </c>
      <c r="C67" s="582">
        <v>0</v>
      </c>
      <c r="D67" s="583">
        <v>0</v>
      </c>
      <c r="E67" s="583">
        <v>0</v>
      </c>
    </row>
    <row r="68" spans="1:5" x14ac:dyDescent="0.25">
      <c r="A68" s="587">
        <v>42186</v>
      </c>
      <c r="B68" s="588">
        <v>42266</v>
      </c>
      <c r="C68" s="590">
        <v>0</v>
      </c>
      <c r="D68" s="619">
        <v>0</v>
      </c>
      <c r="E68" s="619">
        <v>0</v>
      </c>
    </row>
    <row r="69" spans="1:5" x14ac:dyDescent="0.25">
      <c r="A69" s="576">
        <v>42267</v>
      </c>
      <c r="B69" s="577">
        <v>42369</v>
      </c>
      <c r="C69" s="578">
        <v>0</v>
      </c>
      <c r="D69" s="579">
        <v>0</v>
      </c>
      <c r="E69" s="579">
        <v>0</v>
      </c>
    </row>
    <row r="70" spans="1:5" x14ac:dyDescent="0.25">
      <c r="A70" s="576">
        <v>42370</v>
      </c>
      <c r="B70" s="577">
        <v>42448</v>
      </c>
      <c r="C70" s="578">
        <v>0</v>
      </c>
      <c r="D70" s="579">
        <v>0</v>
      </c>
      <c r="E70" s="579">
        <v>0</v>
      </c>
    </row>
    <row r="71" spans="1:5" ht="15.75" thickBot="1" x14ac:dyDescent="0.3">
      <c r="A71" s="580">
        <v>42449</v>
      </c>
      <c r="B71" s="581">
        <v>42551</v>
      </c>
      <c r="C71" s="582">
        <v>0</v>
      </c>
      <c r="D71" s="583">
        <v>0</v>
      </c>
      <c r="E71" s="583">
        <v>0</v>
      </c>
    </row>
    <row r="72" spans="1:5" s="26" customFormat="1" x14ac:dyDescent="0.25">
      <c r="A72" s="587">
        <v>42552</v>
      </c>
      <c r="B72" s="588">
        <v>42632</v>
      </c>
      <c r="C72" s="590">
        <v>0</v>
      </c>
      <c r="D72" s="619">
        <v>0</v>
      </c>
      <c r="E72" s="619">
        <v>0</v>
      </c>
    </row>
    <row r="73" spans="1:5" x14ac:dyDescent="0.25">
      <c r="A73" s="576">
        <v>42633</v>
      </c>
      <c r="B73" s="577">
        <v>42735</v>
      </c>
      <c r="C73" s="578">
        <f t="shared" ref="C73:E75" si="1">C72</f>
        <v>0</v>
      </c>
      <c r="D73" s="579">
        <f t="shared" si="1"/>
        <v>0</v>
      </c>
      <c r="E73" s="579">
        <f t="shared" si="1"/>
        <v>0</v>
      </c>
    </row>
    <row r="74" spans="1:5" x14ac:dyDescent="0.25">
      <c r="A74" s="576">
        <v>42736</v>
      </c>
      <c r="B74" s="577">
        <v>42813</v>
      </c>
      <c r="C74" s="578">
        <f t="shared" si="1"/>
        <v>0</v>
      </c>
      <c r="D74" s="579">
        <f t="shared" si="1"/>
        <v>0</v>
      </c>
      <c r="E74" s="579">
        <f t="shared" si="1"/>
        <v>0</v>
      </c>
    </row>
    <row r="75" spans="1:5" ht="15.75" thickBot="1" x14ac:dyDescent="0.3">
      <c r="A75" s="580">
        <v>42814</v>
      </c>
      <c r="B75" s="581">
        <v>42916</v>
      </c>
      <c r="C75" s="582">
        <f t="shared" si="1"/>
        <v>0</v>
      </c>
      <c r="D75" s="583">
        <f t="shared" si="1"/>
        <v>0</v>
      </c>
      <c r="E75" s="583">
        <f t="shared" si="1"/>
        <v>0</v>
      </c>
    </row>
    <row r="76" spans="1:5" x14ac:dyDescent="0.25">
      <c r="A76" s="587">
        <v>42917</v>
      </c>
      <c r="B76" s="588">
        <v>42997</v>
      </c>
      <c r="C76" s="590">
        <f>IndexAmt(C75,"peCpiFp",$B73,1,12)</f>
        <v>0</v>
      </c>
      <c r="D76" s="619">
        <f>IndexAmt(D75,"peCpiFp",$B73,1,12)</f>
        <v>0</v>
      </c>
      <c r="E76" s="619">
        <f>IndexAmt(E75,"peCpiFp",$B73,1,12)</f>
        <v>0</v>
      </c>
    </row>
    <row r="77" spans="1:5" x14ac:dyDescent="0.25">
      <c r="A77" s="126">
        <v>42998</v>
      </c>
      <c r="B77" s="127">
        <v>43100</v>
      </c>
      <c r="C77" s="159">
        <f t="shared" ref="C77:E79" si="2">C76</f>
        <v>0</v>
      </c>
      <c r="D77" s="38">
        <f t="shared" si="2"/>
        <v>0</v>
      </c>
      <c r="E77" s="38">
        <f t="shared" si="2"/>
        <v>0</v>
      </c>
    </row>
    <row r="78" spans="1:5" x14ac:dyDescent="0.25">
      <c r="A78" s="126">
        <v>43101</v>
      </c>
      <c r="B78" s="127">
        <v>43178</v>
      </c>
      <c r="C78" s="159">
        <f t="shared" si="2"/>
        <v>0</v>
      </c>
      <c r="D78" s="38">
        <f t="shared" si="2"/>
        <v>0</v>
      </c>
      <c r="E78" s="38">
        <f t="shared" si="2"/>
        <v>0</v>
      </c>
    </row>
    <row r="79" spans="1:5" ht="15.75" thickBot="1" x14ac:dyDescent="0.3">
      <c r="A79" s="132">
        <v>43179</v>
      </c>
      <c r="B79" s="133">
        <v>43281</v>
      </c>
      <c r="C79" s="160">
        <f t="shared" si="2"/>
        <v>0</v>
      </c>
      <c r="D79" s="178">
        <f t="shared" si="2"/>
        <v>0</v>
      </c>
      <c r="E79" s="178">
        <f t="shared" si="2"/>
        <v>0</v>
      </c>
    </row>
    <row r="80" spans="1:5" x14ac:dyDescent="0.25">
      <c r="A80" s="153">
        <v>43282</v>
      </c>
      <c r="B80" s="154">
        <v>43362</v>
      </c>
      <c r="C80" s="156">
        <f>IndexAmt(C79,"peCpiFp",$B77,1,12)</f>
        <v>0</v>
      </c>
      <c r="D80" s="179">
        <f>IndexAmt(D79,"peCpiFp",$B77,1,12)</f>
        <v>0</v>
      </c>
      <c r="E80" s="179">
        <f>IndexAmt(E79,"peCpiFp",$B77,1,12)</f>
        <v>0</v>
      </c>
    </row>
    <row r="81" spans="1:5" x14ac:dyDescent="0.25">
      <c r="A81" s="126">
        <v>43363</v>
      </c>
      <c r="B81" s="127">
        <v>43465</v>
      </c>
      <c r="C81" s="159">
        <f t="shared" ref="C81:E83" si="3">C80</f>
        <v>0</v>
      </c>
      <c r="D81" s="38">
        <f t="shared" si="3"/>
        <v>0</v>
      </c>
      <c r="E81" s="38">
        <f t="shared" si="3"/>
        <v>0</v>
      </c>
    </row>
    <row r="82" spans="1:5" x14ac:dyDescent="0.25">
      <c r="A82" s="126">
        <v>43466</v>
      </c>
      <c r="B82" s="127">
        <v>43543</v>
      </c>
      <c r="C82" s="159">
        <f t="shared" si="3"/>
        <v>0</v>
      </c>
      <c r="D82" s="38">
        <f t="shared" si="3"/>
        <v>0</v>
      </c>
      <c r="E82" s="38">
        <f t="shared" si="3"/>
        <v>0</v>
      </c>
    </row>
    <row r="83" spans="1:5" ht="15.75" thickBot="1" x14ac:dyDescent="0.3">
      <c r="A83" s="132">
        <v>43544</v>
      </c>
      <c r="B83" s="133">
        <v>43646</v>
      </c>
      <c r="C83" s="160">
        <f t="shared" si="3"/>
        <v>0</v>
      </c>
      <c r="D83" s="178">
        <f t="shared" si="3"/>
        <v>0</v>
      </c>
      <c r="E83" s="178">
        <f t="shared" si="3"/>
        <v>0</v>
      </c>
    </row>
    <row r="84" spans="1:5" x14ac:dyDescent="0.25">
      <c r="A84" s="153">
        <v>43647</v>
      </c>
      <c r="B84" s="154">
        <v>43727</v>
      </c>
      <c r="C84" s="156">
        <f>IndexAmt(C83,"peCpiFp",$B81,1,12)</f>
        <v>0</v>
      </c>
      <c r="D84" s="179">
        <f>IndexAmt(D83,"peCpiFp",$B81,1,12)</f>
        <v>0</v>
      </c>
      <c r="E84" s="179">
        <f>IndexAmt(E83,"peCpiFp",$B81,1,12)</f>
        <v>0</v>
      </c>
    </row>
    <row r="85" spans="1:5" x14ac:dyDescent="0.25">
      <c r="A85" s="126">
        <v>43728</v>
      </c>
      <c r="B85" s="127">
        <v>43830</v>
      </c>
      <c r="C85" s="159">
        <f t="shared" ref="C85:E87" si="4">C84</f>
        <v>0</v>
      </c>
      <c r="D85" s="38">
        <f t="shared" si="4"/>
        <v>0</v>
      </c>
      <c r="E85" s="38">
        <f t="shared" si="4"/>
        <v>0</v>
      </c>
    </row>
    <row r="86" spans="1:5" x14ac:dyDescent="0.25">
      <c r="A86" s="126">
        <v>43831</v>
      </c>
      <c r="B86" s="127">
        <v>43909</v>
      </c>
      <c r="C86" s="159">
        <f t="shared" si="4"/>
        <v>0</v>
      </c>
      <c r="D86" s="38">
        <f t="shared" si="4"/>
        <v>0</v>
      </c>
      <c r="E86" s="38">
        <f t="shared" si="4"/>
        <v>0</v>
      </c>
    </row>
    <row r="87" spans="1:5" ht="15.75" thickBot="1" x14ac:dyDescent="0.3">
      <c r="A87" s="132">
        <v>43910</v>
      </c>
      <c r="B87" s="133">
        <v>44012</v>
      </c>
      <c r="C87" s="160">
        <f t="shared" si="4"/>
        <v>0</v>
      </c>
      <c r="D87" s="178">
        <f t="shared" si="4"/>
        <v>0</v>
      </c>
      <c r="E87" s="178">
        <f t="shared" si="4"/>
        <v>0</v>
      </c>
    </row>
    <row r="88" spans="1:5" x14ac:dyDescent="0.25">
      <c r="A88" s="153">
        <v>44013</v>
      </c>
      <c r="B88" s="154">
        <v>44093</v>
      </c>
      <c r="C88" s="156">
        <f>IndexAmt(C87,"peCpiFp",$B85,1,12)</f>
        <v>0</v>
      </c>
      <c r="D88" s="179">
        <f>IndexAmt(D87,"peCpiFp",$B85,1,12)</f>
        <v>0</v>
      </c>
      <c r="E88" s="179">
        <f>IndexAmt(E87,"peCpiFp",$B85,1,12)</f>
        <v>0</v>
      </c>
    </row>
    <row r="89" spans="1:5" x14ac:dyDescent="0.25">
      <c r="A89" s="126">
        <v>44094</v>
      </c>
      <c r="B89" s="127">
        <v>44196</v>
      </c>
      <c r="C89" s="159">
        <f t="shared" ref="C89:E91" si="5">C88</f>
        <v>0</v>
      </c>
      <c r="D89" s="38">
        <f t="shared" si="5"/>
        <v>0</v>
      </c>
      <c r="E89" s="38">
        <f t="shared" si="5"/>
        <v>0</v>
      </c>
    </row>
    <row r="90" spans="1:5" x14ac:dyDescent="0.25">
      <c r="A90" s="126">
        <v>44197</v>
      </c>
      <c r="B90" s="127">
        <v>44274</v>
      </c>
      <c r="C90" s="159">
        <f t="shared" si="5"/>
        <v>0</v>
      </c>
      <c r="D90" s="38">
        <f t="shared" si="5"/>
        <v>0</v>
      </c>
      <c r="E90" s="38">
        <f t="shared" si="5"/>
        <v>0</v>
      </c>
    </row>
    <row r="91" spans="1:5" ht="15.75" thickBot="1" x14ac:dyDescent="0.3">
      <c r="A91" s="132">
        <v>44275</v>
      </c>
      <c r="B91" s="133">
        <v>44377</v>
      </c>
      <c r="C91" s="160">
        <f t="shared" si="5"/>
        <v>0</v>
      </c>
      <c r="D91" s="178">
        <f t="shared" si="5"/>
        <v>0</v>
      </c>
      <c r="E91" s="178">
        <f t="shared" si="5"/>
        <v>0</v>
      </c>
    </row>
  </sheetData>
  <customSheetViews>
    <customSheetView guid="{E49C2F27-B0B9-497E-BEC0-5B59561292FE}">
      <pane xSplit="2" ySplit="7" topLeftCell="C56" activePane="bottomRight" state="frozen"/>
      <selection pane="bottomRight" activeCell="A69" sqref="A69:E69"/>
      <pageMargins left="0.7" right="0.7" top="0.75" bottom="0.75" header="0.3" footer="0.3"/>
      <pageSetup paperSize="9" orientation="portrait" r:id="rId1"/>
    </customSheetView>
    <customSheetView guid="{A5953138-1481-4137-BEAD-32FA4FDF03E6}">
      <pane xSplit="2" ySplit="7" topLeftCell="C56" activePane="bottomRight" state="frozen"/>
      <selection pane="bottomRight" activeCell="A69" sqref="A69:E69"/>
      <pageMargins left="0.7" right="0.7" top="0.75" bottom="0.75" header="0.3" footer="0.3"/>
      <pageSetup paperSize="9" orientation="portrait" r:id="rId2"/>
    </customSheetView>
    <customSheetView guid="{2A1F94CA-1A34-4418-88FD-EABF7586C2B2}">
      <pane xSplit="2" ySplit="7" topLeftCell="C56" activePane="bottomRight" state="frozen"/>
      <selection pane="bottomRight" activeCell="A69" sqref="A69:E69"/>
      <pageMargins left="0.7" right="0.7" top="0.75" bottom="0.75" header="0.3" footer="0.3"/>
      <pageSetup paperSize="9" orientation="portrait" r:id="rId3"/>
    </customSheetView>
  </customSheetViews>
  <mergeCells count="8">
    <mergeCell ref="A2:B3"/>
    <mergeCell ref="A4:A6"/>
    <mergeCell ref="B4:B6"/>
    <mergeCell ref="E2:E6"/>
    <mergeCell ref="C2:D3"/>
    <mergeCell ref="D4:D6"/>
    <mergeCell ref="C1:D1"/>
    <mergeCell ref="C4:C6"/>
  </mergeCells>
  <pageMargins left="0.7" right="0.7" top="0.75" bottom="0.75" header="0.3" footer="0.3"/>
  <pageSetup paperSize="9" orientation="portrait" r:id="rId4"/>
  <legacyDrawing r:id="rId5"/>
</worksheet>
</file>

<file path=xl/worksheets/sheet4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E00-000000000000}">
  <sheetPr codeName="Sheet38">
    <tabColor theme="9"/>
  </sheetPr>
  <dimension ref="A1:E28"/>
  <sheetViews>
    <sheetView workbookViewId="0">
      <pane xSplit="2" ySplit="7" topLeftCell="C8" activePane="bottomRight" state="frozen"/>
      <selection pane="topRight" activeCell="C1" sqref="C1"/>
      <selection pane="bottomLeft" activeCell="A8" sqref="A8"/>
      <selection pane="bottomRight" activeCell="A29" sqref="A29:XFD58"/>
    </sheetView>
  </sheetViews>
  <sheetFormatPr defaultRowHeight="15" x14ac:dyDescent="0.25"/>
  <cols>
    <col min="1" max="1" width="10.85546875" style="25" customWidth="1"/>
    <col min="2" max="2" width="11.85546875" style="25" customWidth="1"/>
    <col min="3" max="4" width="18.7109375" style="25" customWidth="1"/>
    <col min="5" max="5" width="26.140625" style="25" customWidth="1"/>
    <col min="6" max="16384" width="9.140625" style="25"/>
  </cols>
  <sheetData>
    <row r="1" spans="1:5" ht="15.75" thickBot="1" x14ac:dyDescent="0.3">
      <c r="A1" s="115"/>
      <c r="B1" s="36"/>
      <c r="C1" s="1151" t="s">
        <v>23</v>
      </c>
      <c r="D1" s="1149"/>
      <c r="E1" s="173" t="s">
        <v>24</v>
      </c>
    </row>
    <row r="2" spans="1:5" ht="15" customHeight="1" x14ac:dyDescent="0.25">
      <c r="A2" s="1200" t="s">
        <v>13</v>
      </c>
      <c r="B2" s="1201"/>
      <c r="C2" s="1474" t="s">
        <v>252</v>
      </c>
      <c r="D2" s="1474"/>
      <c r="E2" s="1468" t="s">
        <v>59</v>
      </c>
    </row>
    <row r="3" spans="1:5" ht="15.75" thickBot="1" x14ac:dyDescent="0.3">
      <c r="A3" s="1202"/>
      <c r="B3" s="1203"/>
      <c r="C3" s="1475"/>
      <c r="D3" s="1475"/>
      <c r="E3" s="1469"/>
    </row>
    <row r="4" spans="1:5" ht="15" customHeight="1" x14ac:dyDescent="0.25">
      <c r="A4" s="1465" t="s">
        <v>16</v>
      </c>
      <c r="B4" s="1470" t="s">
        <v>17</v>
      </c>
      <c r="C4" s="1471" t="s">
        <v>253</v>
      </c>
      <c r="D4" s="1472" t="s">
        <v>254</v>
      </c>
      <c r="E4" s="1469"/>
    </row>
    <row r="5" spans="1:5" x14ac:dyDescent="0.25">
      <c r="A5" s="1465"/>
      <c r="B5" s="1470"/>
      <c r="C5" s="1467"/>
      <c r="D5" s="1473"/>
      <c r="E5" s="1469"/>
    </row>
    <row r="6" spans="1:5" ht="15.75" thickBot="1" x14ac:dyDescent="0.3">
      <c r="A6" s="1465"/>
      <c r="B6" s="1470"/>
      <c r="C6" s="1467"/>
      <c r="D6" s="1473"/>
      <c r="E6" s="1469"/>
    </row>
    <row r="7" spans="1:5" ht="15.75" thickBot="1" x14ac:dyDescent="0.3">
      <c r="A7" s="713" t="s">
        <v>550</v>
      </c>
      <c r="B7" s="714" t="s">
        <v>551</v>
      </c>
      <c r="C7" s="118" t="s">
        <v>474</v>
      </c>
      <c r="D7" s="117" t="s">
        <v>475</v>
      </c>
      <c r="E7" s="138" t="s">
        <v>476</v>
      </c>
    </row>
    <row r="8" spans="1:5" x14ac:dyDescent="0.25">
      <c r="A8" s="174">
        <v>36708</v>
      </c>
      <c r="B8" s="143">
        <v>37072</v>
      </c>
      <c r="C8" s="123">
        <f t="shared" ref="C8:E11" si="0">AnnualAverage($A8,C$7,BabyBonusParms,BabyBonusDates,BabyBonusNames)</f>
        <v>0</v>
      </c>
      <c r="D8" s="123">
        <f t="shared" si="0"/>
        <v>0</v>
      </c>
      <c r="E8" s="144">
        <f t="shared" si="0"/>
        <v>0</v>
      </c>
    </row>
    <row r="9" spans="1:5" x14ac:dyDescent="0.25">
      <c r="A9" s="174">
        <v>37073</v>
      </c>
      <c r="B9" s="143">
        <v>37437</v>
      </c>
      <c r="C9" s="123">
        <f t="shared" si="0"/>
        <v>0</v>
      </c>
      <c r="D9" s="123">
        <f t="shared" si="0"/>
        <v>0</v>
      </c>
      <c r="E9" s="144">
        <f t="shared" si="0"/>
        <v>0</v>
      </c>
    </row>
    <row r="10" spans="1:5" x14ac:dyDescent="0.25">
      <c r="A10" s="174">
        <v>37438</v>
      </c>
      <c r="B10" s="143">
        <v>37802</v>
      </c>
      <c r="C10" s="123">
        <f t="shared" si="0"/>
        <v>0</v>
      </c>
      <c r="D10" s="123">
        <f t="shared" si="0"/>
        <v>0</v>
      </c>
      <c r="E10" s="144">
        <f t="shared" si="0"/>
        <v>0</v>
      </c>
    </row>
    <row r="11" spans="1:5" x14ac:dyDescent="0.25">
      <c r="A11" s="174">
        <v>37803</v>
      </c>
      <c r="B11" s="143">
        <v>38168</v>
      </c>
      <c r="C11" s="123">
        <f t="shared" si="0"/>
        <v>0</v>
      </c>
      <c r="D11" s="123">
        <f t="shared" si="0"/>
        <v>0</v>
      </c>
      <c r="E11" s="144">
        <f t="shared" si="0"/>
        <v>0</v>
      </c>
    </row>
    <row r="12" spans="1:5" x14ac:dyDescent="0.25">
      <c r="A12" s="174">
        <v>38169</v>
      </c>
      <c r="B12" s="143">
        <v>38533</v>
      </c>
      <c r="C12" s="123">
        <v>3043.6296296296296</v>
      </c>
      <c r="D12" s="123">
        <v>3043.6296296296296</v>
      </c>
      <c r="E12" s="144">
        <v>0</v>
      </c>
    </row>
    <row r="13" spans="1:5" x14ac:dyDescent="0.25">
      <c r="A13" s="174">
        <v>38534</v>
      </c>
      <c r="B13" s="143">
        <v>38898</v>
      </c>
      <c r="C13" s="123">
        <v>3125.7692307692309</v>
      </c>
      <c r="D13" s="123">
        <v>3125.7692307692309</v>
      </c>
      <c r="E13" s="144">
        <v>0</v>
      </c>
    </row>
    <row r="14" spans="1:5" x14ac:dyDescent="0.25">
      <c r="A14" s="174">
        <v>38899</v>
      </c>
      <c r="B14" s="143">
        <v>39263</v>
      </c>
      <c r="C14" s="123">
        <v>4090.9230769230771</v>
      </c>
      <c r="D14" s="123">
        <v>4090.9230769230771</v>
      </c>
      <c r="E14" s="144">
        <v>0</v>
      </c>
    </row>
    <row r="15" spans="1:5" x14ac:dyDescent="0.25">
      <c r="A15" s="174">
        <v>39264</v>
      </c>
      <c r="B15" s="143">
        <v>39629</v>
      </c>
      <c r="C15" s="123">
        <v>4198.4615384615381</v>
      </c>
      <c r="D15" s="123">
        <v>4198.4615384615381</v>
      </c>
      <c r="E15" s="144">
        <v>0</v>
      </c>
    </row>
    <row r="16" spans="1:5" x14ac:dyDescent="0.25">
      <c r="A16" s="174">
        <v>39630</v>
      </c>
      <c r="B16" s="143">
        <v>39994</v>
      </c>
      <c r="C16" s="123">
        <v>5000</v>
      </c>
      <c r="D16" s="123">
        <v>5000</v>
      </c>
      <c r="E16" s="144">
        <v>37500</v>
      </c>
    </row>
    <row r="17" spans="1:5" x14ac:dyDescent="0.25">
      <c r="A17" s="174">
        <v>39995</v>
      </c>
      <c r="B17" s="143">
        <v>40359</v>
      </c>
      <c r="C17" s="123">
        <v>5185</v>
      </c>
      <c r="D17" s="123">
        <v>5185</v>
      </c>
      <c r="E17" s="144">
        <v>75000</v>
      </c>
    </row>
    <row r="18" spans="1:5" x14ac:dyDescent="0.25">
      <c r="A18" s="174">
        <v>40360</v>
      </c>
      <c r="B18" s="143">
        <v>40724</v>
      </c>
      <c r="C18" s="123">
        <v>5294</v>
      </c>
      <c r="D18" s="123">
        <v>5294</v>
      </c>
      <c r="E18" s="144">
        <v>75000</v>
      </c>
    </row>
    <row r="19" spans="1:5" x14ac:dyDescent="0.25">
      <c r="A19" s="174">
        <v>40725</v>
      </c>
      <c r="B19" s="143">
        <v>41090</v>
      </c>
      <c r="C19" s="123">
        <v>5437</v>
      </c>
      <c r="D19" s="123">
        <v>5437</v>
      </c>
      <c r="E19" s="144">
        <v>75000</v>
      </c>
    </row>
    <row r="20" spans="1:5" s="26" customFormat="1" x14ac:dyDescent="0.25">
      <c r="A20" s="584">
        <v>41091</v>
      </c>
      <c r="B20" s="577">
        <v>41455</v>
      </c>
      <c r="C20" s="585">
        <v>5100.8461538461543</v>
      </c>
      <c r="D20" s="585">
        <v>5100.8461538461543</v>
      </c>
      <c r="E20" s="586">
        <v>75000</v>
      </c>
    </row>
    <row r="21" spans="1:5" s="26" customFormat="1" x14ac:dyDescent="0.25">
      <c r="A21" s="584">
        <v>41456</v>
      </c>
      <c r="B21" s="577">
        <v>41820</v>
      </c>
      <c r="C21" s="585">
        <v>5000</v>
      </c>
      <c r="D21" s="585">
        <v>3000</v>
      </c>
      <c r="E21" s="586">
        <v>75000</v>
      </c>
    </row>
    <row r="22" spans="1:5" x14ac:dyDescent="0.25">
      <c r="A22" s="584">
        <v>41821</v>
      </c>
      <c r="B22" s="577">
        <v>42185</v>
      </c>
      <c r="C22" s="585">
        <v>0</v>
      </c>
      <c r="D22" s="585">
        <v>0</v>
      </c>
      <c r="E22" s="586">
        <v>0</v>
      </c>
    </row>
    <row r="23" spans="1:5" x14ac:dyDescent="0.25">
      <c r="A23" s="584">
        <v>42186</v>
      </c>
      <c r="B23" s="577">
        <v>42551</v>
      </c>
      <c r="C23" s="585">
        <v>0</v>
      </c>
      <c r="D23" s="585">
        <v>0</v>
      </c>
      <c r="E23" s="586">
        <v>0</v>
      </c>
    </row>
    <row r="24" spans="1:5" s="26" customFormat="1" x14ac:dyDescent="0.25">
      <c r="A24" s="584">
        <v>42552</v>
      </c>
      <c r="B24" s="577">
        <v>42916</v>
      </c>
      <c r="C24" s="585">
        <f t="shared" ref="C24:E27" si="1">AnnualAverage($A24,C$7,BabyBonusParms,BabyBonusDates,BabyBonusNames)</f>
        <v>0</v>
      </c>
      <c r="D24" s="585">
        <f t="shared" si="1"/>
        <v>0</v>
      </c>
      <c r="E24" s="586">
        <f t="shared" si="1"/>
        <v>0</v>
      </c>
    </row>
    <row r="25" spans="1:5" x14ac:dyDescent="0.25">
      <c r="A25" s="175">
        <v>42917</v>
      </c>
      <c r="B25" s="127">
        <v>43281</v>
      </c>
      <c r="C25" s="129">
        <f t="shared" si="1"/>
        <v>0</v>
      </c>
      <c r="D25" s="129">
        <f t="shared" si="1"/>
        <v>0</v>
      </c>
      <c r="E25" s="128">
        <f t="shared" si="1"/>
        <v>0</v>
      </c>
    </row>
    <row r="26" spans="1:5" x14ac:dyDescent="0.25">
      <c r="A26" s="175">
        <v>43282</v>
      </c>
      <c r="B26" s="127">
        <v>43646</v>
      </c>
      <c r="C26" s="129">
        <f t="shared" si="1"/>
        <v>0</v>
      </c>
      <c r="D26" s="129">
        <f t="shared" si="1"/>
        <v>0</v>
      </c>
      <c r="E26" s="128">
        <f t="shared" si="1"/>
        <v>0</v>
      </c>
    </row>
    <row r="27" spans="1:5" x14ac:dyDescent="0.25">
      <c r="A27" s="175">
        <v>43647</v>
      </c>
      <c r="B27" s="127">
        <v>44012</v>
      </c>
      <c r="C27" s="129">
        <f t="shared" si="1"/>
        <v>0</v>
      </c>
      <c r="D27" s="129">
        <f t="shared" si="1"/>
        <v>0</v>
      </c>
      <c r="E27" s="128">
        <f t="shared" si="1"/>
        <v>0</v>
      </c>
    </row>
    <row r="28" spans="1:5" x14ac:dyDescent="0.25">
      <c r="A28" s="175">
        <v>44013</v>
      </c>
      <c r="B28" s="127">
        <v>44377</v>
      </c>
      <c r="C28" s="129">
        <f>AnnualAverage($A28,C$7,BabyBonusParms,BabyBonusDates,BabyBonusNames)</f>
        <v>0</v>
      </c>
      <c r="D28" s="129">
        <f>AnnualAverage($A28,D$7,BabyBonusParms,BabyBonusDates,BabyBonusNames)</f>
        <v>0</v>
      </c>
      <c r="E28" s="128">
        <f>AnnualAverage($A28,E$7,BabyBonusParms,BabyBonusDates,BabyBonusNames)</f>
        <v>0</v>
      </c>
    </row>
  </sheetData>
  <customSheetViews>
    <customSheetView guid="{E49C2F27-B0B9-497E-BEC0-5B59561292FE}">
      <pane xSplit="2" ySplit="7" topLeftCell="C8" activePane="bottomRight" state="frozen"/>
      <selection pane="bottomRight" activeCell="J28" sqref="J28"/>
      <pageMargins left="0.7" right="0.7" top="0.75" bottom="0.75" header="0.3" footer="0.3"/>
    </customSheetView>
    <customSheetView guid="{A5953138-1481-4137-BEAD-32FA4FDF03E6}">
      <pane xSplit="2" ySplit="7" topLeftCell="C8" activePane="bottomRight" state="frozen"/>
      <selection pane="bottomRight" activeCell="J28" sqref="J28"/>
      <pageMargins left="0.7" right="0.7" top="0.75" bottom="0.75" header="0.3" footer="0.3"/>
    </customSheetView>
    <customSheetView guid="{2A1F94CA-1A34-4418-88FD-EABF7586C2B2}">
      <pane xSplit="2" ySplit="7" topLeftCell="C8" activePane="bottomRight" state="frozen"/>
      <selection pane="bottomRight" activeCell="J28" sqref="J28"/>
      <pageMargins left="0.7" right="0.7" top="0.75" bottom="0.75" header="0.3" footer="0.3"/>
    </customSheetView>
  </customSheetViews>
  <mergeCells count="8">
    <mergeCell ref="E2:E6"/>
    <mergeCell ref="A2:B3"/>
    <mergeCell ref="C1:D1"/>
    <mergeCell ref="A4:A6"/>
    <mergeCell ref="B4:B6"/>
    <mergeCell ref="C4:C6"/>
    <mergeCell ref="D4:D6"/>
    <mergeCell ref="C2:D3"/>
  </mergeCells>
  <pageMargins left="0.7" right="0.7" top="0.75" bottom="0.75" header="0.3" footer="0.3"/>
  <legacyDrawing r:id="rId1"/>
</worksheet>
</file>

<file path=xl/worksheets/sheet4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F00-000000000000}">
  <sheetPr codeName="Sheet43">
    <tabColor theme="9"/>
  </sheetPr>
  <dimension ref="A1:E91"/>
  <sheetViews>
    <sheetView workbookViewId="0">
      <pane xSplit="2" ySplit="7" topLeftCell="C45" activePane="bottomRight" state="frozen"/>
      <selection pane="topRight" activeCell="C1" sqref="C1"/>
      <selection pane="bottomLeft" activeCell="A8" sqref="A8"/>
      <selection pane="bottomRight" activeCell="A92" sqref="A92:XFD211"/>
    </sheetView>
  </sheetViews>
  <sheetFormatPr defaultRowHeight="15" x14ac:dyDescent="0.25"/>
  <cols>
    <col min="1" max="2" width="10.7109375" style="28" bestFit="1" customWidth="1"/>
    <col min="3" max="3" width="19.7109375" style="825" customWidth="1"/>
    <col min="4" max="4" width="18.42578125" style="2" customWidth="1"/>
    <col min="5" max="5" width="18.85546875" style="28" customWidth="1"/>
    <col min="6" max="16384" width="9.140625" style="28"/>
  </cols>
  <sheetData>
    <row r="1" spans="1:5" ht="15.75" thickBot="1" x14ac:dyDescent="0.3">
      <c r="A1" s="115"/>
      <c r="B1" s="36"/>
      <c r="C1" s="840" t="s">
        <v>24</v>
      </c>
      <c r="D1" s="1151" t="s">
        <v>23</v>
      </c>
      <c r="E1" s="1463"/>
    </row>
    <row r="2" spans="1:5" ht="15" customHeight="1" x14ac:dyDescent="0.25">
      <c r="A2" s="1200" t="s">
        <v>13</v>
      </c>
      <c r="B2" s="1201"/>
      <c r="C2" s="1478" t="s">
        <v>478</v>
      </c>
      <c r="D2" s="1456" t="s">
        <v>273</v>
      </c>
      <c r="E2" s="1457"/>
    </row>
    <row r="3" spans="1:5" ht="15.75" thickBot="1" x14ac:dyDescent="0.3">
      <c r="A3" s="1202"/>
      <c r="B3" s="1203"/>
      <c r="C3" s="1479"/>
      <c r="D3" s="1476"/>
      <c r="E3" s="1477"/>
    </row>
    <row r="4" spans="1:5" ht="15" customHeight="1" x14ac:dyDescent="0.25">
      <c r="A4" s="1465" t="s">
        <v>16</v>
      </c>
      <c r="B4" s="1467" t="s">
        <v>17</v>
      </c>
      <c r="C4" s="1479"/>
      <c r="D4" s="1472" t="s">
        <v>274</v>
      </c>
      <c r="E4" s="1460" t="s">
        <v>275</v>
      </c>
    </row>
    <row r="5" spans="1:5" x14ac:dyDescent="0.25">
      <c r="A5" s="1465"/>
      <c r="B5" s="1467"/>
      <c r="C5" s="1479"/>
      <c r="D5" s="1473"/>
      <c r="E5" s="1461"/>
    </row>
    <row r="6" spans="1:5" ht="15.75" thickBot="1" x14ac:dyDescent="0.3">
      <c r="A6" s="1465"/>
      <c r="B6" s="1467"/>
      <c r="C6" s="1480"/>
      <c r="D6" s="1473"/>
      <c r="E6" s="1461"/>
    </row>
    <row r="7" spans="1:5" ht="15.75" thickBot="1" x14ac:dyDescent="0.3">
      <c r="A7" s="713" t="s">
        <v>550</v>
      </c>
      <c r="B7" s="714" t="s">
        <v>551</v>
      </c>
      <c r="C7" s="784" t="s">
        <v>663</v>
      </c>
      <c r="D7" s="784" t="s">
        <v>464</v>
      </c>
      <c r="E7" s="785" t="s">
        <v>465</v>
      </c>
    </row>
    <row r="8" spans="1:5" s="697" customFormat="1" x14ac:dyDescent="0.25">
      <c r="A8" s="161">
        <v>36708</v>
      </c>
      <c r="B8" s="162">
        <v>36788</v>
      </c>
      <c r="C8" s="817"/>
      <c r="D8" s="790"/>
      <c r="E8" s="791"/>
    </row>
    <row r="9" spans="1:5" s="697" customFormat="1" x14ac:dyDescent="0.25">
      <c r="A9" s="163">
        <v>36789</v>
      </c>
      <c r="B9" s="164">
        <v>36891</v>
      </c>
      <c r="C9" s="818"/>
      <c r="D9" s="786"/>
      <c r="E9" s="787"/>
    </row>
    <row r="10" spans="1:5" s="697" customFormat="1" x14ac:dyDescent="0.25">
      <c r="A10" s="163">
        <v>36892</v>
      </c>
      <c r="B10" s="164">
        <v>36969</v>
      </c>
      <c r="C10" s="818"/>
      <c r="D10" s="786"/>
      <c r="E10" s="787"/>
    </row>
    <row r="11" spans="1:5" s="697" customFormat="1" ht="15.75" thickBot="1" x14ac:dyDescent="0.3">
      <c r="A11" s="180">
        <v>36970</v>
      </c>
      <c r="B11" s="181">
        <v>37072</v>
      </c>
      <c r="C11" s="819"/>
      <c r="D11" s="788"/>
      <c r="E11" s="789"/>
    </row>
    <row r="12" spans="1:5" s="697" customFormat="1" x14ac:dyDescent="0.25">
      <c r="A12" s="161">
        <v>37073</v>
      </c>
      <c r="B12" s="162">
        <v>37153</v>
      </c>
      <c r="C12" s="817"/>
      <c r="D12" s="790"/>
      <c r="E12" s="791"/>
    </row>
    <row r="13" spans="1:5" s="697" customFormat="1" x14ac:dyDescent="0.25">
      <c r="A13" s="163">
        <v>37154</v>
      </c>
      <c r="B13" s="164">
        <v>37256</v>
      </c>
      <c r="C13" s="818"/>
      <c r="D13" s="786"/>
      <c r="E13" s="787"/>
    </row>
    <row r="14" spans="1:5" s="697" customFormat="1" x14ac:dyDescent="0.25">
      <c r="A14" s="163">
        <v>37257</v>
      </c>
      <c r="B14" s="164">
        <v>37334</v>
      </c>
      <c r="C14" s="818"/>
      <c r="D14" s="786"/>
      <c r="E14" s="787"/>
    </row>
    <row r="15" spans="1:5" s="697" customFormat="1" ht="15.75" thickBot="1" x14ac:dyDescent="0.3">
      <c r="A15" s="180">
        <v>37335</v>
      </c>
      <c r="B15" s="181">
        <v>37437</v>
      </c>
      <c r="C15" s="819"/>
      <c r="D15" s="788"/>
      <c r="E15" s="789"/>
    </row>
    <row r="16" spans="1:5" s="697" customFormat="1" x14ac:dyDescent="0.25">
      <c r="A16" s="161">
        <v>37438</v>
      </c>
      <c r="B16" s="162">
        <v>37518</v>
      </c>
      <c r="C16" s="817"/>
      <c r="D16" s="790"/>
      <c r="E16" s="791"/>
    </row>
    <row r="17" spans="1:5" s="697" customFormat="1" x14ac:dyDescent="0.25">
      <c r="A17" s="163">
        <v>37519</v>
      </c>
      <c r="B17" s="164">
        <v>37621</v>
      </c>
      <c r="C17" s="818"/>
      <c r="D17" s="786"/>
      <c r="E17" s="787"/>
    </row>
    <row r="18" spans="1:5" s="697" customFormat="1" x14ac:dyDescent="0.25">
      <c r="A18" s="163">
        <v>37622</v>
      </c>
      <c r="B18" s="164">
        <v>37699</v>
      </c>
      <c r="C18" s="818"/>
      <c r="D18" s="786"/>
      <c r="E18" s="787"/>
    </row>
    <row r="19" spans="1:5" s="697" customFormat="1" ht="15.75" thickBot="1" x14ac:dyDescent="0.3">
      <c r="A19" s="180">
        <v>37700</v>
      </c>
      <c r="B19" s="181">
        <v>37802</v>
      </c>
      <c r="C19" s="819"/>
      <c r="D19" s="788"/>
      <c r="E19" s="789"/>
    </row>
    <row r="20" spans="1:5" s="697" customFormat="1" x14ac:dyDescent="0.25">
      <c r="A20" s="161">
        <v>37803</v>
      </c>
      <c r="B20" s="162">
        <v>37883</v>
      </c>
      <c r="C20" s="817"/>
      <c r="D20" s="790"/>
      <c r="E20" s="791"/>
    </row>
    <row r="21" spans="1:5" s="697" customFormat="1" x14ac:dyDescent="0.25">
      <c r="A21" s="163">
        <v>37884</v>
      </c>
      <c r="B21" s="164">
        <v>37986</v>
      </c>
      <c r="C21" s="818"/>
      <c r="D21" s="786"/>
      <c r="E21" s="787"/>
    </row>
    <row r="22" spans="1:5" s="697" customFormat="1" x14ac:dyDescent="0.25">
      <c r="A22" s="163">
        <v>37987</v>
      </c>
      <c r="B22" s="164">
        <v>38065</v>
      </c>
      <c r="C22" s="818"/>
      <c r="D22" s="786"/>
      <c r="E22" s="787"/>
    </row>
    <row r="23" spans="1:5" s="697" customFormat="1" ht="15.75" thickBot="1" x14ac:dyDescent="0.3">
      <c r="A23" s="180">
        <v>38066</v>
      </c>
      <c r="B23" s="181">
        <v>38168</v>
      </c>
      <c r="C23" s="819"/>
      <c r="D23" s="788"/>
      <c r="E23" s="789"/>
    </row>
    <row r="24" spans="1:5" s="697" customFormat="1" x14ac:dyDescent="0.25">
      <c r="A24" s="161">
        <v>38169</v>
      </c>
      <c r="B24" s="162">
        <v>38249</v>
      </c>
      <c r="C24" s="817"/>
      <c r="D24" s="790"/>
      <c r="E24" s="791"/>
    </row>
    <row r="25" spans="1:5" s="697" customFormat="1" x14ac:dyDescent="0.25">
      <c r="A25" s="163">
        <v>38250</v>
      </c>
      <c r="B25" s="164">
        <v>38352</v>
      </c>
      <c r="C25" s="818"/>
      <c r="D25" s="786"/>
      <c r="E25" s="787"/>
    </row>
    <row r="26" spans="1:5" s="697" customFormat="1" x14ac:dyDescent="0.25">
      <c r="A26" s="163">
        <v>38353</v>
      </c>
      <c r="B26" s="164">
        <v>38430</v>
      </c>
      <c r="C26" s="818"/>
      <c r="D26" s="786"/>
      <c r="E26" s="787"/>
    </row>
    <row r="27" spans="1:5" s="697" customFormat="1" ht="15.75" thickBot="1" x14ac:dyDescent="0.3">
      <c r="A27" s="180">
        <v>38431</v>
      </c>
      <c r="B27" s="181">
        <v>38533</v>
      </c>
      <c r="C27" s="819"/>
      <c r="D27" s="788"/>
      <c r="E27" s="789"/>
    </row>
    <row r="28" spans="1:5" s="697" customFormat="1" x14ac:dyDescent="0.25">
      <c r="A28" s="161">
        <v>38534</v>
      </c>
      <c r="B28" s="162">
        <v>38614</v>
      </c>
      <c r="C28" s="817"/>
      <c r="D28" s="790"/>
      <c r="E28" s="791"/>
    </row>
    <row r="29" spans="1:5" s="697" customFormat="1" x14ac:dyDescent="0.25">
      <c r="A29" s="163">
        <v>38615</v>
      </c>
      <c r="B29" s="164">
        <v>38717</v>
      </c>
      <c r="C29" s="818"/>
      <c r="D29" s="786"/>
      <c r="E29" s="787"/>
    </row>
    <row r="30" spans="1:5" s="697" customFormat="1" x14ac:dyDescent="0.25">
      <c r="A30" s="163">
        <v>38718</v>
      </c>
      <c r="B30" s="164">
        <v>38795</v>
      </c>
      <c r="C30" s="818"/>
      <c r="D30" s="786"/>
      <c r="E30" s="787"/>
    </row>
    <row r="31" spans="1:5" s="697" customFormat="1" ht="15.75" thickBot="1" x14ac:dyDescent="0.3">
      <c r="A31" s="180">
        <v>38796</v>
      </c>
      <c r="B31" s="181">
        <v>38898</v>
      </c>
      <c r="C31" s="819"/>
      <c r="D31" s="788"/>
      <c r="E31" s="789"/>
    </row>
    <row r="32" spans="1:5" s="697" customFormat="1" x14ac:dyDescent="0.25">
      <c r="A32" s="161">
        <v>38899</v>
      </c>
      <c r="B32" s="162">
        <v>38979</v>
      </c>
      <c r="C32" s="817"/>
      <c r="D32" s="790"/>
      <c r="E32" s="791"/>
    </row>
    <row r="33" spans="1:5" s="697" customFormat="1" x14ac:dyDescent="0.25">
      <c r="A33" s="163">
        <v>38980</v>
      </c>
      <c r="B33" s="164">
        <v>39082</v>
      </c>
      <c r="C33" s="818"/>
      <c r="D33" s="786"/>
      <c r="E33" s="787"/>
    </row>
    <row r="34" spans="1:5" s="697" customFormat="1" x14ac:dyDescent="0.25">
      <c r="A34" s="163">
        <v>39083</v>
      </c>
      <c r="B34" s="164">
        <v>39160</v>
      </c>
      <c r="C34" s="818"/>
      <c r="D34" s="786"/>
      <c r="E34" s="787"/>
    </row>
    <row r="35" spans="1:5" s="697" customFormat="1" ht="15.75" thickBot="1" x14ac:dyDescent="0.3">
      <c r="A35" s="180">
        <v>39161</v>
      </c>
      <c r="B35" s="181">
        <v>39263</v>
      </c>
      <c r="C35" s="819"/>
      <c r="D35" s="788"/>
      <c r="E35" s="789"/>
    </row>
    <row r="36" spans="1:5" s="697" customFormat="1" x14ac:dyDescent="0.25">
      <c r="A36" s="161">
        <v>39264</v>
      </c>
      <c r="B36" s="162">
        <v>39344</v>
      </c>
      <c r="C36" s="817"/>
      <c r="D36" s="790"/>
      <c r="E36" s="791"/>
    </row>
    <row r="37" spans="1:5" s="697" customFormat="1" x14ac:dyDescent="0.25">
      <c r="A37" s="163">
        <v>39345</v>
      </c>
      <c r="B37" s="164">
        <v>39447</v>
      </c>
      <c r="C37" s="818"/>
      <c r="D37" s="786"/>
      <c r="E37" s="787"/>
    </row>
    <row r="38" spans="1:5" s="697" customFormat="1" x14ac:dyDescent="0.25">
      <c r="A38" s="163">
        <v>39448</v>
      </c>
      <c r="B38" s="164">
        <v>39526</v>
      </c>
      <c r="C38" s="818"/>
      <c r="D38" s="786"/>
      <c r="E38" s="787"/>
    </row>
    <row r="39" spans="1:5" s="697" customFormat="1" ht="15.75" thickBot="1" x14ac:dyDescent="0.3">
      <c r="A39" s="180">
        <v>39527</v>
      </c>
      <c r="B39" s="181">
        <v>39629</v>
      </c>
      <c r="C39" s="819"/>
      <c r="D39" s="788"/>
      <c r="E39" s="789"/>
    </row>
    <row r="40" spans="1:5" s="697" customFormat="1" x14ac:dyDescent="0.25">
      <c r="A40" s="161">
        <v>39630</v>
      </c>
      <c r="B40" s="162">
        <v>39710</v>
      </c>
      <c r="C40" s="817"/>
      <c r="D40" s="790"/>
      <c r="E40" s="791"/>
    </row>
    <row r="41" spans="1:5" s="697" customFormat="1" x14ac:dyDescent="0.25">
      <c r="A41" s="163">
        <v>39711</v>
      </c>
      <c r="B41" s="164">
        <v>39813</v>
      </c>
      <c r="C41" s="818"/>
      <c r="D41" s="786"/>
      <c r="E41" s="787"/>
    </row>
    <row r="42" spans="1:5" s="697" customFormat="1" x14ac:dyDescent="0.25">
      <c r="A42" s="163">
        <v>39814</v>
      </c>
      <c r="B42" s="164">
        <v>39891</v>
      </c>
      <c r="C42" s="818"/>
      <c r="D42" s="786"/>
      <c r="E42" s="787"/>
    </row>
    <row r="43" spans="1:5" s="697" customFormat="1" ht="15.75" thickBot="1" x14ac:dyDescent="0.3">
      <c r="A43" s="180">
        <v>39892</v>
      </c>
      <c r="B43" s="181">
        <v>39994</v>
      </c>
      <c r="C43" s="819"/>
      <c r="D43" s="788"/>
      <c r="E43" s="789"/>
    </row>
    <row r="44" spans="1:5" s="697" customFormat="1" x14ac:dyDescent="0.25">
      <c r="A44" s="161">
        <v>39995</v>
      </c>
      <c r="B44" s="162">
        <v>40075</v>
      </c>
      <c r="C44" s="817"/>
      <c r="D44" s="790"/>
      <c r="E44" s="791"/>
    </row>
    <row r="45" spans="1:5" s="697" customFormat="1" x14ac:dyDescent="0.25">
      <c r="A45" s="163">
        <v>40076</v>
      </c>
      <c r="B45" s="164">
        <v>40178</v>
      </c>
      <c r="C45" s="818"/>
      <c r="D45" s="786"/>
      <c r="E45" s="787"/>
    </row>
    <row r="46" spans="1:5" s="697" customFormat="1" x14ac:dyDescent="0.25">
      <c r="A46" s="163">
        <v>40179</v>
      </c>
      <c r="B46" s="164">
        <v>40256</v>
      </c>
      <c r="C46" s="818"/>
      <c r="D46" s="786"/>
      <c r="E46" s="787"/>
    </row>
    <row r="47" spans="1:5" s="697" customFormat="1" ht="15.75" thickBot="1" x14ac:dyDescent="0.3">
      <c r="A47" s="180">
        <v>40257</v>
      </c>
      <c r="B47" s="181">
        <v>40359</v>
      </c>
      <c r="C47" s="819"/>
      <c r="D47" s="788"/>
      <c r="E47" s="789"/>
    </row>
    <row r="48" spans="1:5" x14ac:dyDescent="0.25">
      <c r="A48" s="161">
        <v>40360</v>
      </c>
      <c r="B48" s="162">
        <v>40440</v>
      </c>
      <c r="C48" s="817"/>
      <c r="D48" s="790"/>
      <c r="E48" s="791"/>
    </row>
    <row r="49" spans="1:5" x14ac:dyDescent="0.25">
      <c r="A49" s="163">
        <v>40441</v>
      </c>
      <c r="B49" s="164">
        <v>40543</v>
      </c>
      <c r="C49" s="818"/>
      <c r="D49" s="786"/>
      <c r="E49" s="787"/>
    </row>
    <row r="50" spans="1:5" x14ac:dyDescent="0.25">
      <c r="A50" s="163">
        <v>40544</v>
      </c>
      <c r="B50" s="164">
        <v>40621</v>
      </c>
      <c r="C50" s="818"/>
      <c r="D50" s="786"/>
      <c r="E50" s="787"/>
    </row>
    <row r="51" spans="1:5" ht="15.75" thickBot="1" x14ac:dyDescent="0.3">
      <c r="A51" s="163">
        <v>40622</v>
      </c>
      <c r="B51" s="164">
        <v>40724</v>
      </c>
      <c r="C51" s="818"/>
      <c r="D51" s="788"/>
      <c r="E51" s="789"/>
    </row>
    <row r="52" spans="1:5" x14ac:dyDescent="0.25">
      <c r="A52" s="161">
        <v>40725</v>
      </c>
      <c r="B52" s="162">
        <v>40805</v>
      </c>
      <c r="C52" s="817"/>
      <c r="D52" s="790"/>
      <c r="E52" s="791"/>
    </row>
    <row r="53" spans="1:5" x14ac:dyDescent="0.25">
      <c r="A53" s="163">
        <v>40806</v>
      </c>
      <c r="B53" s="164">
        <v>40908</v>
      </c>
      <c r="C53" s="818"/>
      <c r="D53" s="786"/>
      <c r="E53" s="787"/>
    </row>
    <row r="54" spans="1:5" x14ac:dyDescent="0.25">
      <c r="A54" s="163">
        <v>40909</v>
      </c>
      <c r="B54" s="164">
        <v>40987</v>
      </c>
      <c r="C54" s="818"/>
      <c r="D54" s="786"/>
      <c r="E54" s="787"/>
    </row>
    <row r="55" spans="1:5" ht="15.75" thickBot="1" x14ac:dyDescent="0.3">
      <c r="A55" s="180">
        <v>40988</v>
      </c>
      <c r="B55" s="181">
        <v>41090</v>
      </c>
      <c r="C55" s="819"/>
      <c r="D55" s="788"/>
      <c r="E55" s="789"/>
    </row>
    <row r="56" spans="1:5" x14ac:dyDescent="0.25">
      <c r="A56" s="163">
        <v>41091</v>
      </c>
      <c r="B56" s="164">
        <v>41171</v>
      </c>
      <c r="C56" s="818"/>
      <c r="D56" s="786">
        <v>410</v>
      </c>
      <c r="E56" s="787">
        <v>820</v>
      </c>
    </row>
    <row r="57" spans="1:5" x14ac:dyDescent="0.25">
      <c r="A57" s="163">
        <v>41172</v>
      </c>
      <c r="B57" s="164">
        <v>41274</v>
      </c>
      <c r="C57" s="818"/>
      <c r="D57" s="786">
        <v>410</v>
      </c>
      <c r="E57" s="787">
        <v>820</v>
      </c>
    </row>
    <row r="58" spans="1:5" s="5" customFormat="1" x14ac:dyDescent="0.25">
      <c r="A58" s="496">
        <v>41275</v>
      </c>
      <c r="B58" s="497">
        <v>41352</v>
      </c>
      <c r="C58" s="820"/>
      <c r="D58" s="811">
        <v>410</v>
      </c>
      <c r="E58" s="792">
        <v>820</v>
      </c>
    </row>
    <row r="59" spans="1:5" s="5" customFormat="1" ht="15.75" thickBot="1" x14ac:dyDescent="0.3">
      <c r="A59" s="538">
        <v>41353</v>
      </c>
      <c r="B59" s="539">
        <v>41455</v>
      </c>
      <c r="C59" s="821"/>
      <c r="D59" s="812">
        <v>410</v>
      </c>
      <c r="E59" s="793">
        <v>820</v>
      </c>
    </row>
    <row r="60" spans="1:5" x14ac:dyDescent="0.25">
      <c r="A60" s="531">
        <v>41456</v>
      </c>
      <c r="B60" s="532">
        <v>41536</v>
      </c>
      <c r="C60" s="822"/>
      <c r="D60" s="786">
        <v>410</v>
      </c>
      <c r="E60" s="787">
        <v>820</v>
      </c>
    </row>
    <row r="61" spans="1:5" x14ac:dyDescent="0.25">
      <c r="A61" s="496">
        <v>41537</v>
      </c>
      <c r="B61" s="497">
        <v>41639</v>
      </c>
      <c r="C61" s="820"/>
      <c r="D61" s="786">
        <v>410</v>
      </c>
      <c r="E61" s="787">
        <v>820</v>
      </c>
    </row>
    <row r="62" spans="1:5" x14ac:dyDescent="0.25">
      <c r="A62" s="496">
        <v>41640</v>
      </c>
      <c r="B62" s="497">
        <v>41717</v>
      </c>
      <c r="C62" s="820"/>
      <c r="D62" s="811">
        <v>410</v>
      </c>
      <c r="E62" s="792">
        <v>820</v>
      </c>
    </row>
    <row r="63" spans="1:5" ht="15.75" thickBot="1" x14ac:dyDescent="0.3">
      <c r="A63" s="538">
        <v>41718</v>
      </c>
      <c r="B63" s="539">
        <v>41820</v>
      </c>
      <c r="C63" s="821"/>
      <c r="D63" s="812">
        <v>410</v>
      </c>
      <c r="E63" s="793">
        <v>820</v>
      </c>
    </row>
    <row r="64" spans="1:5" s="5" customFormat="1" x14ac:dyDescent="0.25">
      <c r="A64" s="531">
        <v>41821</v>
      </c>
      <c r="B64" s="532">
        <v>41901</v>
      </c>
      <c r="C64" s="822"/>
      <c r="D64" s="813">
        <v>422</v>
      </c>
      <c r="E64" s="794">
        <v>842</v>
      </c>
    </row>
    <row r="65" spans="1:5" s="5" customFormat="1" x14ac:dyDescent="0.25">
      <c r="A65" s="496">
        <v>41902</v>
      </c>
      <c r="B65" s="497">
        <v>42004</v>
      </c>
      <c r="C65" s="820"/>
      <c r="D65" s="811">
        <v>422</v>
      </c>
      <c r="E65" s="792">
        <v>842</v>
      </c>
    </row>
    <row r="66" spans="1:5" x14ac:dyDescent="0.25">
      <c r="A66" s="496">
        <v>42005</v>
      </c>
      <c r="B66" s="497">
        <v>42082</v>
      </c>
      <c r="C66" s="820">
        <v>100000</v>
      </c>
      <c r="D66" s="811">
        <v>422</v>
      </c>
      <c r="E66" s="792">
        <v>842</v>
      </c>
    </row>
    <row r="67" spans="1:5" s="5" customFormat="1" ht="15.75" thickBot="1" x14ac:dyDescent="0.3">
      <c r="A67" s="538">
        <v>42083</v>
      </c>
      <c r="B67" s="539">
        <v>42185</v>
      </c>
      <c r="C67" s="821">
        <v>100000</v>
      </c>
      <c r="D67" s="812">
        <v>422</v>
      </c>
      <c r="E67" s="793">
        <v>842</v>
      </c>
    </row>
    <row r="68" spans="1:5" x14ac:dyDescent="0.25">
      <c r="A68" s="531">
        <v>42186</v>
      </c>
      <c r="B68" s="532">
        <v>42266</v>
      </c>
      <c r="C68" s="822">
        <v>100000</v>
      </c>
      <c r="D68" s="813">
        <v>430</v>
      </c>
      <c r="E68" s="794">
        <v>856</v>
      </c>
    </row>
    <row r="69" spans="1:5" x14ac:dyDescent="0.25">
      <c r="A69" s="496">
        <v>42267</v>
      </c>
      <c r="B69" s="497">
        <v>42369</v>
      </c>
      <c r="C69" s="820">
        <v>100000</v>
      </c>
      <c r="D69" s="811">
        <v>430</v>
      </c>
      <c r="E69" s="792">
        <v>856</v>
      </c>
    </row>
    <row r="70" spans="1:5" x14ac:dyDescent="0.25">
      <c r="A70" s="496">
        <v>42370</v>
      </c>
      <c r="B70" s="497">
        <v>42448</v>
      </c>
      <c r="C70" s="820">
        <v>100000</v>
      </c>
      <c r="D70" s="811">
        <v>430</v>
      </c>
      <c r="E70" s="792">
        <v>856</v>
      </c>
    </row>
    <row r="71" spans="1:5" ht="15.75" thickBot="1" x14ac:dyDescent="0.3">
      <c r="A71" s="538">
        <v>42449</v>
      </c>
      <c r="B71" s="539">
        <v>42551</v>
      </c>
      <c r="C71" s="821">
        <v>100000</v>
      </c>
      <c r="D71" s="812">
        <v>430</v>
      </c>
      <c r="E71" s="793">
        <v>856</v>
      </c>
    </row>
    <row r="72" spans="1:5" s="5" customFormat="1" x14ac:dyDescent="0.25">
      <c r="A72" s="531">
        <v>42552</v>
      </c>
      <c r="B72" s="532">
        <v>42632</v>
      </c>
      <c r="C72" s="822">
        <v>100000</v>
      </c>
      <c r="D72" s="813"/>
      <c r="E72" s="794"/>
    </row>
    <row r="73" spans="1:5" x14ac:dyDescent="0.25">
      <c r="A73" s="496">
        <v>42633</v>
      </c>
      <c r="B73" s="497">
        <v>42735</v>
      </c>
      <c r="C73" s="820">
        <v>100000</v>
      </c>
      <c r="D73" s="811"/>
      <c r="E73" s="792"/>
    </row>
    <row r="74" spans="1:5" s="5" customFormat="1" x14ac:dyDescent="0.25">
      <c r="A74" s="496">
        <v>42736</v>
      </c>
      <c r="B74" s="497">
        <v>42813</v>
      </c>
      <c r="C74" s="820">
        <v>100000</v>
      </c>
      <c r="D74" s="811"/>
      <c r="E74" s="792"/>
    </row>
    <row r="75" spans="1:5" s="5" customFormat="1" ht="15.75" thickBot="1" x14ac:dyDescent="0.3">
      <c r="A75" s="538">
        <v>42814</v>
      </c>
      <c r="B75" s="539">
        <v>42916</v>
      </c>
      <c r="C75" s="821">
        <v>100000</v>
      </c>
      <c r="D75" s="812"/>
      <c r="E75" s="793"/>
    </row>
    <row r="76" spans="1:5" x14ac:dyDescent="0.25">
      <c r="A76" s="531">
        <v>42917</v>
      </c>
      <c r="B76" s="532">
        <v>42997</v>
      </c>
      <c r="C76" s="822">
        <v>100000</v>
      </c>
      <c r="D76" s="813"/>
      <c r="E76" s="794"/>
    </row>
    <row r="77" spans="1:5" x14ac:dyDescent="0.25">
      <c r="A77" s="165">
        <v>42998</v>
      </c>
      <c r="B77" s="166">
        <v>43100</v>
      </c>
      <c r="C77" s="810">
        <v>100000</v>
      </c>
      <c r="D77" s="815"/>
      <c r="E77" s="796"/>
    </row>
    <row r="78" spans="1:5" x14ac:dyDescent="0.25">
      <c r="A78" s="165">
        <v>43101</v>
      </c>
      <c r="B78" s="166">
        <v>43178</v>
      </c>
      <c r="C78" s="810">
        <v>100000</v>
      </c>
      <c r="D78" s="815"/>
      <c r="E78" s="796"/>
    </row>
    <row r="79" spans="1:5" ht="15.75" thickBot="1" x14ac:dyDescent="0.3">
      <c r="A79" s="167">
        <v>43179</v>
      </c>
      <c r="B79" s="168">
        <v>43281</v>
      </c>
      <c r="C79" s="824">
        <v>100000</v>
      </c>
      <c r="D79" s="816"/>
      <c r="E79" s="797"/>
    </row>
    <row r="80" spans="1:5" x14ac:dyDescent="0.25">
      <c r="A80" s="169">
        <v>43282</v>
      </c>
      <c r="B80" s="170">
        <v>43362</v>
      </c>
      <c r="C80" s="823">
        <v>100000</v>
      </c>
      <c r="D80" s="814"/>
      <c r="E80" s="795"/>
    </row>
    <row r="81" spans="1:5" x14ac:dyDescent="0.25">
      <c r="A81" s="165">
        <v>43363</v>
      </c>
      <c r="B81" s="166">
        <v>43465</v>
      </c>
      <c r="C81" s="810">
        <v>100000</v>
      </c>
      <c r="D81" s="815"/>
      <c r="E81" s="796"/>
    </row>
    <row r="82" spans="1:5" x14ac:dyDescent="0.25">
      <c r="A82" s="165">
        <v>43466</v>
      </c>
      <c r="B82" s="166">
        <v>43543</v>
      </c>
      <c r="C82" s="810">
        <v>100000</v>
      </c>
      <c r="D82" s="815"/>
      <c r="E82" s="796"/>
    </row>
    <row r="83" spans="1:5" ht="15.75" thickBot="1" x14ac:dyDescent="0.3">
      <c r="A83" s="167">
        <v>43544</v>
      </c>
      <c r="B83" s="168">
        <v>43646</v>
      </c>
      <c r="C83" s="824">
        <v>100000</v>
      </c>
      <c r="D83" s="816"/>
      <c r="E83" s="797"/>
    </row>
    <row r="84" spans="1:5" x14ac:dyDescent="0.25">
      <c r="A84" s="169">
        <v>43647</v>
      </c>
      <c r="B84" s="170">
        <v>43727</v>
      </c>
      <c r="C84" s="823">
        <v>100000</v>
      </c>
      <c r="D84" s="814"/>
      <c r="E84" s="795"/>
    </row>
    <row r="85" spans="1:5" x14ac:dyDescent="0.25">
      <c r="A85" s="165">
        <v>43728</v>
      </c>
      <c r="B85" s="166">
        <v>43830</v>
      </c>
      <c r="C85" s="810">
        <v>100000</v>
      </c>
      <c r="D85" s="815"/>
      <c r="E85" s="796"/>
    </row>
    <row r="86" spans="1:5" x14ac:dyDescent="0.25">
      <c r="A86" s="165">
        <v>43831</v>
      </c>
      <c r="B86" s="166">
        <v>43909</v>
      </c>
      <c r="C86" s="810">
        <v>100000</v>
      </c>
      <c r="D86" s="815"/>
      <c r="E86" s="796"/>
    </row>
    <row r="87" spans="1:5" ht="15.75" thickBot="1" x14ac:dyDescent="0.3">
      <c r="A87" s="167">
        <v>43910</v>
      </c>
      <c r="B87" s="168">
        <v>44012</v>
      </c>
      <c r="C87" s="824">
        <v>100000</v>
      </c>
      <c r="D87" s="816"/>
      <c r="E87" s="797"/>
    </row>
    <row r="88" spans="1:5" x14ac:dyDescent="0.25">
      <c r="A88" s="169">
        <v>44013</v>
      </c>
      <c r="B88" s="170">
        <v>44093</v>
      </c>
      <c r="C88" s="823">
        <v>100000</v>
      </c>
      <c r="D88" s="814"/>
      <c r="E88" s="795"/>
    </row>
    <row r="89" spans="1:5" x14ac:dyDescent="0.25">
      <c r="A89" s="165">
        <v>44094</v>
      </c>
      <c r="B89" s="166">
        <v>44196</v>
      </c>
      <c r="C89" s="810">
        <v>100000</v>
      </c>
      <c r="D89" s="815"/>
      <c r="E89" s="796"/>
    </row>
    <row r="90" spans="1:5" x14ac:dyDescent="0.25">
      <c r="A90" s="165">
        <v>44197</v>
      </c>
      <c r="B90" s="166">
        <v>44274</v>
      </c>
      <c r="C90" s="810">
        <v>100000</v>
      </c>
      <c r="D90" s="815"/>
      <c r="E90" s="796"/>
    </row>
    <row r="91" spans="1:5" ht="15.75" thickBot="1" x14ac:dyDescent="0.3">
      <c r="A91" s="167">
        <v>44275</v>
      </c>
      <c r="B91" s="168">
        <v>44377</v>
      </c>
      <c r="C91" s="824">
        <v>100000</v>
      </c>
      <c r="D91" s="816"/>
      <c r="E91" s="797"/>
    </row>
  </sheetData>
  <customSheetViews>
    <customSheetView guid="{E49C2F27-B0B9-497E-BEC0-5B59561292FE}">
      <pane xSplit="2" ySplit="7" topLeftCell="C55" activePane="bottomRight" state="frozen"/>
      <selection pane="bottomRight" activeCell="I69" sqref="I69"/>
      <pageMargins left="0.7" right="0.7" top="0.75" bottom="0.75" header="0.3" footer="0.3"/>
      <pageSetup paperSize="9" orientation="portrait" r:id="rId1"/>
    </customSheetView>
    <customSheetView guid="{A5953138-1481-4137-BEAD-32FA4FDF03E6}">
      <pane xSplit="2" ySplit="7" topLeftCell="C55" activePane="bottomRight" state="frozen"/>
      <selection pane="bottomRight" activeCell="I69" sqref="I69"/>
      <pageMargins left="0.7" right="0.7" top="0.75" bottom="0.75" header="0.3" footer="0.3"/>
      <pageSetup paperSize="9" orientation="portrait" r:id="rId2"/>
    </customSheetView>
    <customSheetView guid="{2A1F94CA-1A34-4418-88FD-EABF7586C2B2}">
      <pane xSplit="2" ySplit="7" topLeftCell="C55" activePane="bottomRight" state="frozen"/>
      <selection pane="bottomRight" activeCell="I69" sqref="I69"/>
      <pageMargins left="0.7" right="0.7" top="0.75" bottom="0.75" header="0.3" footer="0.3"/>
      <pageSetup paperSize="9" orientation="portrait" r:id="rId3"/>
    </customSheetView>
  </customSheetViews>
  <mergeCells count="8">
    <mergeCell ref="D1:E1"/>
    <mergeCell ref="A2:B3"/>
    <mergeCell ref="D2:E3"/>
    <mergeCell ref="A4:A6"/>
    <mergeCell ref="B4:B6"/>
    <mergeCell ref="D4:D6"/>
    <mergeCell ref="E4:E6"/>
    <mergeCell ref="C2:C6"/>
  </mergeCells>
  <pageMargins left="0.7" right="0.7" top="0.75" bottom="0.75" header="0.3" footer="0.3"/>
  <pageSetup paperSize="9" orientation="portrait" r:id="rId4"/>
  <legacyDrawing r:id="rId5"/>
</worksheet>
</file>

<file path=xl/worksheets/sheet4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000-000000000000}">
  <sheetPr codeName="Sheet44">
    <tabColor theme="9"/>
  </sheetPr>
  <dimension ref="A1:E28"/>
  <sheetViews>
    <sheetView workbookViewId="0">
      <pane xSplit="2" ySplit="7" topLeftCell="C11" activePane="bottomRight" state="frozen"/>
      <selection pane="topRight" activeCell="C1" sqref="C1"/>
      <selection pane="bottomLeft" activeCell="A8" sqref="A8"/>
      <selection pane="bottomRight" activeCell="S53" sqref="S53"/>
    </sheetView>
  </sheetViews>
  <sheetFormatPr defaultRowHeight="15" x14ac:dyDescent="0.25"/>
  <cols>
    <col min="1" max="1" width="9.7109375" style="28" bestFit="1" customWidth="1"/>
    <col min="2" max="2" width="10.7109375" style="28" bestFit="1" customWidth="1"/>
    <col min="3" max="3" width="19.7109375" style="12" customWidth="1"/>
    <col min="4" max="4" width="19.42578125" style="2" customWidth="1"/>
    <col min="5" max="5" width="19.42578125" style="28" customWidth="1"/>
    <col min="6" max="16384" width="9.140625" style="28"/>
  </cols>
  <sheetData>
    <row r="1" spans="1:5" ht="15.75" thickBot="1" x14ac:dyDescent="0.3">
      <c r="A1" s="115"/>
      <c r="B1" s="36"/>
      <c r="C1" s="840" t="s">
        <v>24</v>
      </c>
      <c r="D1" s="1463" t="s">
        <v>23</v>
      </c>
      <c r="E1" s="1463"/>
    </row>
    <row r="2" spans="1:5" ht="15" customHeight="1" x14ac:dyDescent="0.25">
      <c r="A2" s="1200" t="s">
        <v>13</v>
      </c>
      <c r="B2" s="1481"/>
      <c r="C2" s="1483" t="s">
        <v>478</v>
      </c>
      <c r="D2" s="1456" t="s">
        <v>273</v>
      </c>
      <c r="E2" s="1457"/>
    </row>
    <row r="3" spans="1:5" ht="15.75" thickBot="1" x14ac:dyDescent="0.3">
      <c r="A3" s="1202"/>
      <c r="B3" s="1482"/>
      <c r="C3" s="1484"/>
      <c r="D3" s="1476"/>
      <c r="E3" s="1477"/>
    </row>
    <row r="4" spans="1:5" ht="15" customHeight="1" x14ac:dyDescent="0.25">
      <c r="A4" s="1465" t="s">
        <v>16</v>
      </c>
      <c r="B4" s="1467" t="s">
        <v>17</v>
      </c>
      <c r="C4" s="1484"/>
      <c r="D4" s="1472" t="s">
        <v>274</v>
      </c>
      <c r="E4" s="1460" t="s">
        <v>275</v>
      </c>
    </row>
    <row r="5" spans="1:5" x14ac:dyDescent="0.25">
      <c r="A5" s="1465"/>
      <c r="B5" s="1467"/>
      <c r="C5" s="1484"/>
      <c r="D5" s="1473"/>
      <c r="E5" s="1461"/>
    </row>
    <row r="6" spans="1:5" ht="15.75" thickBot="1" x14ac:dyDescent="0.3">
      <c r="A6" s="1465"/>
      <c r="B6" s="1467"/>
      <c r="C6" s="1485"/>
      <c r="D6" s="1473"/>
      <c r="E6" s="1461"/>
    </row>
    <row r="7" spans="1:5" ht="15.75" thickBot="1" x14ac:dyDescent="0.3">
      <c r="A7" s="713" t="s">
        <v>550</v>
      </c>
      <c r="B7" s="809" t="s">
        <v>551</v>
      </c>
      <c r="C7" s="826" t="s">
        <v>663</v>
      </c>
      <c r="D7" s="798" t="s">
        <v>464</v>
      </c>
      <c r="E7" s="799" t="s">
        <v>465</v>
      </c>
    </row>
    <row r="8" spans="1:5" s="697" customFormat="1" x14ac:dyDescent="0.25">
      <c r="A8" s="161">
        <v>36708</v>
      </c>
      <c r="B8" s="162">
        <v>37072</v>
      </c>
      <c r="C8" s="19"/>
      <c r="D8" s="17"/>
      <c r="E8" s="35"/>
    </row>
    <row r="9" spans="1:5" s="697" customFormat="1" x14ac:dyDescent="0.25">
      <c r="A9" s="163">
        <v>37073</v>
      </c>
      <c r="B9" s="164">
        <v>37437</v>
      </c>
      <c r="C9" s="19"/>
      <c r="D9" s="17"/>
      <c r="E9" s="35"/>
    </row>
    <row r="10" spans="1:5" s="697" customFormat="1" x14ac:dyDescent="0.25">
      <c r="A10" s="163">
        <v>37438</v>
      </c>
      <c r="B10" s="164">
        <v>37802</v>
      </c>
      <c r="C10" s="19"/>
      <c r="D10" s="17"/>
      <c r="E10" s="35"/>
    </row>
    <row r="11" spans="1:5" s="697" customFormat="1" x14ac:dyDescent="0.25">
      <c r="A11" s="163">
        <v>37803</v>
      </c>
      <c r="B11" s="164">
        <v>38168</v>
      </c>
      <c r="C11" s="19"/>
      <c r="D11" s="17"/>
      <c r="E11" s="35"/>
    </row>
    <row r="12" spans="1:5" s="697" customFormat="1" x14ac:dyDescent="0.25">
      <c r="A12" s="163">
        <v>38169</v>
      </c>
      <c r="B12" s="164">
        <v>38533</v>
      </c>
      <c r="C12" s="19"/>
      <c r="D12" s="17"/>
      <c r="E12" s="35"/>
    </row>
    <row r="13" spans="1:5" s="697" customFormat="1" x14ac:dyDescent="0.25">
      <c r="A13" s="163">
        <v>38534</v>
      </c>
      <c r="B13" s="164">
        <v>38898</v>
      </c>
      <c r="C13" s="19"/>
      <c r="D13" s="17"/>
      <c r="E13" s="35"/>
    </row>
    <row r="14" spans="1:5" s="697" customFormat="1" x14ac:dyDescent="0.25">
      <c r="A14" s="163">
        <v>38899</v>
      </c>
      <c r="B14" s="164">
        <v>39263</v>
      </c>
      <c r="C14" s="19"/>
      <c r="D14" s="17"/>
      <c r="E14" s="35"/>
    </row>
    <row r="15" spans="1:5" s="697" customFormat="1" x14ac:dyDescent="0.25">
      <c r="A15" s="163">
        <v>39264</v>
      </c>
      <c r="B15" s="164">
        <v>39629</v>
      </c>
      <c r="C15" s="19"/>
      <c r="D15" s="17"/>
      <c r="E15" s="35"/>
    </row>
    <row r="16" spans="1:5" s="697" customFormat="1" x14ac:dyDescent="0.25">
      <c r="A16" s="163">
        <v>39630</v>
      </c>
      <c r="B16" s="164">
        <v>39994</v>
      </c>
      <c r="C16" s="19"/>
      <c r="D16" s="17"/>
      <c r="E16" s="35"/>
    </row>
    <row r="17" spans="1:5" s="697" customFormat="1" x14ac:dyDescent="0.25">
      <c r="A17" s="163">
        <v>39995</v>
      </c>
      <c r="B17" s="164">
        <v>40359</v>
      </c>
      <c r="C17" s="19"/>
      <c r="D17" s="17"/>
      <c r="E17" s="35"/>
    </row>
    <row r="18" spans="1:5" x14ac:dyDescent="0.25">
      <c r="A18" s="163">
        <v>40360</v>
      </c>
      <c r="B18" s="164">
        <v>40724</v>
      </c>
      <c r="C18" s="19"/>
      <c r="D18" s="17">
        <v>0</v>
      </c>
      <c r="E18" s="35">
        <v>0</v>
      </c>
    </row>
    <row r="19" spans="1:5" x14ac:dyDescent="0.25">
      <c r="A19" s="163">
        <v>40725</v>
      </c>
      <c r="B19" s="164">
        <v>41090</v>
      </c>
      <c r="C19" s="19"/>
      <c r="D19" s="17">
        <v>0</v>
      </c>
      <c r="E19" s="35">
        <v>0</v>
      </c>
    </row>
    <row r="20" spans="1:5" x14ac:dyDescent="0.25">
      <c r="A20" s="163">
        <v>41091</v>
      </c>
      <c r="B20" s="164">
        <v>41455</v>
      </c>
      <c r="C20" s="19"/>
      <c r="D20" s="17">
        <v>410</v>
      </c>
      <c r="E20" s="35">
        <v>820</v>
      </c>
    </row>
    <row r="21" spans="1:5" x14ac:dyDescent="0.25">
      <c r="A21" s="496">
        <v>41456</v>
      </c>
      <c r="B21" s="497">
        <v>41820</v>
      </c>
      <c r="C21" s="242"/>
      <c r="D21" s="375">
        <v>410</v>
      </c>
      <c r="E21" s="374">
        <v>820</v>
      </c>
    </row>
    <row r="22" spans="1:5" s="5" customFormat="1" x14ac:dyDescent="0.25">
      <c r="A22" s="496">
        <v>41821</v>
      </c>
      <c r="B22" s="497">
        <v>42185</v>
      </c>
      <c r="C22" s="242">
        <v>100000</v>
      </c>
      <c r="D22" s="375">
        <v>422</v>
      </c>
      <c r="E22" s="374">
        <v>842</v>
      </c>
    </row>
    <row r="23" spans="1:5" x14ac:dyDescent="0.25">
      <c r="A23" s="496">
        <v>42186</v>
      </c>
      <c r="B23" s="497">
        <v>42551</v>
      </c>
      <c r="C23" s="242">
        <v>100000</v>
      </c>
      <c r="D23" s="375">
        <v>430</v>
      </c>
      <c r="E23" s="374">
        <v>856</v>
      </c>
    </row>
    <row r="24" spans="1:5" s="5" customFormat="1" x14ac:dyDescent="0.25">
      <c r="A24" s="496">
        <v>42552</v>
      </c>
      <c r="B24" s="497">
        <v>42916</v>
      </c>
      <c r="C24" s="242">
        <f>AVERAGE(SchoolKidsBonus!C66:C69)</f>
        <v>100000</v>
      </c>
      <c r="D24" s="375">
        <f t="shared" ref="D24:E28" si="0">AnnualAverage($A24,D$7,SchoolKidsBonusParms,SchoolKidsBonusDates,SchoolKidsBonusNames)</f>
        <v>0</v>
      </c>
      <c r="E24" s="374">
        <f t="shared" si="0"/>
        <v>0</v>
      </c>
    </row>
    <row r="25" spans="1:5" x14ac:dyDescent="0.25">
      <c r="A25" s="165">
        <v>42917</v>
      </c>
      <c r="B25" s="166">
        <v>43281</v>
      </c>
      <c r="C25" s="34">
        <f>AVERAGE(SchoolKidsBonus!C67:C70)</f>
        <v>100000</v>
      </c>
      <c r="D25" s="33">
        <f t="shared" si="0"/>
        <v>0</v>
      </c>
      <c r="E25" s="75">
        <f t="shared" si="0"/>
        <v>0</v>
      </c>
    </row>
    <row r="26" spans="1:5" x14ac:dyDescent="0.25">
      <c r="A26" s="165">
        <v>43282</v>
      </c>
      <c r="B26" s="166">
        <v>43646</v>
      </c>
      <c r="C26" s="34">
        <f>AVERAGE(SchoolKidsBonus!C68:C71)</f>
        <v>100000</v>
      </c>
      <c r="D26" s="33">
        <f t="shared" si="0"/>
        <v>0</v>
      </c>
      <c r="E26" s="75">
        <f t="shared" si="0"/>
        <v>0</v>
      </c>
    </row>
    <row r="27" spans="1:5" x14ac:dyDescent="0.25">
      <c r="A27" s="165">
        <v>43647</v>
      </c>
      <c r="B27" s="166">
        <v>44012</v>
      </c>
      <c r="C27" s="34">
        <f>AVERAGE(SchoolKidsBonus!C69:C72)</f>
        <v>100000</v>
      </c>
      <c r="D27" s="33">
        <f t="shared" si="0"/>
        <v>0</v>
      </c>
      <c r="E27" s="75">
        <f t="shared" si="0"/>
        <v>0</v>
      </c>
    </row>
    <row r="28" spans="1:5" x14ac:dyDescent="0.25">
      <c r="A28" s="165">
        <v>44013</v>
      </c>
      <c r="B28" s="166">
        <v>44377</v>
      </c>
      <c r="C28" s="34">
        <f>AVERAGE(SchoolKidsBonus!C70:C73)</f>
        <v>100000</v>
      </c>
      <c r="D28" s="33">
        <f t="shared" si="0"/>
        <v>0</v>
      </c>
      <c r="E28" s="75">
        <f t="shared" si="0"/>
        <v>0</v>
      </c>
    </row>
  </sheetData>
  <customSheetViews>
    <customSheetView guid="{E49C2F27-B0B9-497E-BEC0-5B59561292FE}">
      <pane xSplit="2" ySplit="7" topLeftCell="C8" activePane="bottomRight" state="frozen"/>
      <selection pane="bottomRight" activeCell="G24" sqref="G24"/>
      <pageMargins left="0.7" right="0.7" top="0.75" bottom="0.75" header="0.3" footer="0.3"/>
    </customSheetView>
    <customSheetView guid="{A5953138-1481-4137-BEAD-32FA4FDF03E6}">
      <pane xSplit="2" ySplit="7" topLeftCell="C8" activePane="bottomRight" state="frozen"/>
      <selection pane="bottomRight" activeCell="G24" sqref="G24"/>
      <pageMargins left="0.7" right="0.7" top="0.75" bottom="0.75" header="0.3" footer="0.3"/>
    </customSheetView>
    <customSheetView guid="{2A1F94CA-1A34-4418-88FD-EABF7586C2B2}">
      <pane xSplit="2" ySplit="7" topLeftCell="C8" activePane="bottomRight" state="frozen"/>
      <selection pane="bottomRight" activeCell="G24" sqref="G24"/>
      <pageMargins left="0.7" right="0.7" top="0.75" bottom="0.75" header="0.3" footer="0.3"/>
    </customSheetView>
  </customSheetViews>
  <mergeCells count="8">
    <mergeCell ref="D1:E1"/>
    <mergeCell ref="A2:B3"/>
    <mergeCell ref="D2:E3"/>
    <mergeCell ref="A4:A6"/>
    <mergeCell ref="B4:B6"/>
    <mergeCell ref="D4:D6"/>
    <mergeCell ref="E4:E6"/>
    <mergeCell ref="C2:C6"/>
  </mergeCells>
  <pageMargins left="0.7" right="0.7" top="0.75" bottom="0.75" header="0.3" footer="0.3"/>
  <legacyDrawing r:id="rId1"/>
</worksheet>
</file>

<file path=xl/worksheets/sheet5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100-000000000000}">
  <sheetPr codeName="Sheet39">
    <tabColor theme="9"/>
  </sheetPr>
  <dimension ref="A1:M92"/>
  <sheetViews>
    <sheetView workbookViewId="0">
      <pane xSplit="2" ySplit="7" topLeftCell="C49" activePane="bottomRight" state="frozen"/>
      <selection pane="topRight" activeCell="C1" sqref="C1"/>
      <selection pane="bottomLeft" activeCell="A8" sqref="A8"/>
      <selection pane="bottomRight" activeCell="A92" sqref="A92:XFD213"/>
    </sheetView>
  </sheetViews>
  <sheetFormatPr defaultRowHeight="15" x14ac:dyDescent="0.25"/>
  <cols>
    <col min="1" max="2" width="14.85546875" style="25" customWidth="1"/>
    <col min="3" max="3" width="20.7109375" style="25" customWidth="1"/>
    <col min="4" max="5" width="22.28515625" style="25" bestFit="1" customWidth="1"/>
    <col min="6" max="7" width="24.85546875" style="25" bestFit="1" customWidth="1"/>
    <col min="8" max="8" width="24.85546875" style="684" customWidth="1"/>
    <col min="9" max="9" width="20.7109375" style="24" customWidth="1"/>
    <col min="10" max="10" width="20.7109375" style="25" customWidth="1"/>
    <col min="11" max="16384" width="9.140625" style="25"/>
  </cols>
  <sheetData>
    <row r="1" spans="1:10" ht="15.75" thickBot="1" x14ac:dyDescent="0.3">
      <c r="A1" s="115"/>
      <c r="B1" s="36"/>
      <c r="C1" s="116" t="s">
        <v>67</v>
      </c>
      <c r="D1" s="1149" t="s">
        <v>24</v>
      </c>
      <c r="E1" s="1150"/>
      <c r="F1" s="1150"/>
      <c r="G1" s="1150"/>
      <c r="H1" s="1150"/>
      <c r="I1" s="1150"/>
      <c r="J1" s="1151"/>
    </row>
    <row r="2" spans="1:10" ht="15.75" customHeight="1" thickBot="1" x14ac:dyDescent="0.3">
      <c r="A2" s="1200" t="s">
        <v>13</v>
      </c>
      <c r="B2" s="1201"/>
      <c r="C2" s="1486" t="s">
        <v>60</v>
      </c>
      <c r="D2" s="1491" t="s">
        <v>61</v>
      </c>
      <c r="E2" s="1492"/>
      <c r="F2" s="1492"/>
      <c r="G2" s="1492"/>
      <c r="H2" s="692"/>
      <c r="I2" s="1497" t="s">
        <v>62</v>
      </c>
      <c r="J2" s="1498"/>
    </row>
    <row r="3" spans="1:10" ht="15" customHeight="1" x14ac:dyDescent="0.25">
      <c r="A3" s="1202"/>
      <c r="B3" s="1203"/>
      <c r="C3" s="1487"/>
      <c r="D3" s="1465" t="s">
        <v>63</v>
      </c>
      <c r="E3" s="1467" t="s">
        <v>64</v>
      </c>
      <c r="F3" s="1467" t="s">
        <v>65</v>
      </c>
      <c r="G3" s="1467" t="s">
        <v>66</v>
      </c>
      <c r="H3" s="1494" t="s">
        <v>481</v>
      </c>
      <c r="I3" s="1465" t="s">
        <v>239</v>
      </c>
      <c r="J3" s="1489" t="s">
        <v>66</v>
      </c>
    </row>
    <row r="4" spans="1:10" x14ac:dyDescent="0.25">
      <c r="A4" s="1465" t="s">
        <v>16</v>
      </c>
      <c r="B4" s="1470" t="s">
        <v>17</v>
      </c>
      <c r="C4" s="1487"/>
      <c r="D4" s="1465"/>
      <c r="E4" s="1467"/>
      <c r="F4" s="1467"/>
      <c r="G4" s="1467"/>
      <c r="H4" s="1495"/>
      <c r="I4" s="1465"/>
      <c r="J4" s="1470"/>
    </row>
    <row r="5" spans="1:10" x14ac:dyDescent="0.25">
      <c r="A5" s="1465"/>
      <c r="B5" s="1470"/>
      <c r="C5" s="1487"/>
      <c r="D5" s="1465"/>
      <c r="E5" s="1467"/>
      <c r="F5" s="1467"/>
      <c r="G5" s="1467"/>
      <c r="H5" s="1495"/>
      <c r="I5" s="1465"/>
      <c r="J5" s="1470"/>
    </row>
    <row r="6" spans="1:10" ht="15.75" thickBot="1" x14ac:dyDescent="0.3">
      <c r="A6" s="1465"/>
      <c r="B6" s="1470"/>
      <c r="C6" s="1488"/>
      <c r="D6" s="1466"/>
      <c r="E6" s="1493"/>
      <c r="F6" s="1493"/>
      <c r="G6" s="1493"/>
      <c r="H6" s="1496"/>
      <c r="I6" s="1466"/>
      <c r="J6" s="1490"/>
    </row>
    <row r="7" spans="1:10" ht="15.75" thickBot="1" x14ac:dyDescent="0.3">
      <c r="A7" s="713" t="s">
        <v>550</v>
      </c>
      <c r="B7" s="714" t="s">
        <v>551</v>
      </c>
      <c r="C7" s="305" t="s">
        <v>467</v>
      </c>
      <c r="D7" s="303" t="s">
        <v>468</v>
      </c>
      <c r="E7" s="306" t="s">
        <v>469</v>
      </c>
      <c r="F7" s="306" t="s">
        <v>470</v>
      </c>
      <c r="G7" s="306" t="s">
        <v>471</v>
      </c>
      <c r="H7" s="312" t="s">
        <v>466</v>
      </c>
      <c r="I7" s="303" t="s">
        <v>472</v>
      </c>
      <c r="J7" s="314" t="s">
        <v>473</v>
      </c>
    </row>
    <row r="8" spans="1:10" s="39" customFormat="1" x14ac:dyDescent="0.25">
      <c r="A8" s="120">
        <v>36708</v>
      </c>
      <c r="B8" s="121">
        <v>36788</v>
      </c>
      <c r="C8" s="122"/>
      <c r="D8" s="139"/>
      <c r="E8" s="140"/>
      <c r="F8" s="141"/>
      <c r="G8" s="140"/>
      <c r="H8" s="141"/>
      <c r="I8" s="139"/>
      <c r="J8" s="701"/>
    </row>
    <row r="9" spans="1:10" s="39" customFormat="1" x14ac:dyDescent="0.25">
      <c r="A9" s="142">
        <v>36789</v>
      </c>
      <c r="B9" s="143">
        <v>36891</v>
      </c>
      <c r="C9" s="144"/>
      <c r="D9" s="145"/>
      <c r="E9" s="124"/>
      <c r="F9" s="123"/>
      <c r="G9" s="124"/>
      <c r="H9" s="123"/>
      <c r="I9" s="145"/>
      <c r="J9" s="125"/>
    </row>
    <row r="10" spans="1:10" s="39" customFormat="1" x14ac:dyDescent="0.25">
      <c r="A10" s="142">
        <v>36892</v>
      </c>
      <c r="B10" s="143">
        <v>36969</v>
      </c>
      <c r="C10" s="144"/>
      <c r="D10" s="145"/>
      <c r="E10" s="124"/>
      <c r="F10" s="123"/>
      <c r="G10" s="124"/>
      <c r="H10" s="123"/>
      <c r="I10" s="145"/>
      <c r="J10" s="125"/>
    </row>
    <row r="11" spans="1:10" s="39" customFormat="1" ht="15.75" thickBot="1" x14ac:dyDescent="0.3">
      <c r="A11" s="146">
        <v>36970</v>
      </c>
      <c r="B11" s="147">
        <v>37072</v>
      </c>
      <c r="C11" s="148"/>
      <c r="D11" s="149"/>
      <c r="E11" s="150"/>
      <c r="F11" s="151"/>
      <c r="G11" s="150"/>
      <c r="H11" s="151"/>
      <c r="I11" s="149"/>
      <c r="J11" s="152"/>
    </row>
    <row r="12" spans="1:10" s="39" customFormat="1" x14ac:dyDescent="0.25">
      <c r="A12" s="120">
        <v>37073</v>
      </c>
      <c r="B12" s="121">
        <v>37153</v>
      </c>
      <c r="C12" s="122"/>
      <c r="D12" s="139"/>
      <c r="E12" s="140"/>
      <c r="F12" s="141"/>
      <c r="G12" s="140"/>
      <c r="H12" s="141"/>
      <c r="I12" s="139"/>
      <c r="J12" s="701"/>
    </row>
    <row r="13" spans="1:10" s="39" customFormat="1" x14ac:dyDescent="0.25">
      <c r="A13" s="142">
        <v>37154</v>
      </c>
      <c r="B13" s="143">
        <v>37256</v>
      </c>
      <c r="C13" s="144"/>
      <c r="D13" s="145"/>
      <c r="E13" s="124"/>
      <c r="F13" s="123"/>
      <c r="G13" s="124"/>
      <c r="H13" s="123"/>
      <c r="I13" s="145"/>
      <c r="J13" s="125"/>
    </row>
    <row r="14" spans="1:10" s="39" customFormat="1" x14ac:dyDescent="0.25">
      <c r="A14" s="142">
        <v>37257</v>
      </c>
      <c r="B14" s="143">
        <v>37334</v>
      </c>
      <c r="C14" s="144"/>
      <c r="D14" s="145"/>
      <c r="E14" s="124"/>
      <c r="F14" s="123"/>
      <c r="G14" s="124"/>
      <c r="H14" s="123"/>
      <c r="I14" s="145"/>
      <c r="J14" s="125"/>
    </row>
    <row r="15" spans="1:10" s="39" customFormat="1" ht="15.75" thickBot="1" x14ac:dyDescent="0.3">
      <c r="A15" s="146">
        <v>37335</v>
      </c>
      <c r="B15" s="147">
        <v>37437</v>
      </c>
      <c r="C15" s="148"/>
      <c r="D15" s="149"/>
      <c r="E15" s="150"/>
      <c r="F15" s="151"/>
      <c r="G15" s="150"/>
      <c r="H15" s="151"/>
      <c r="I15" s="149"/>
      <c r="J15" s="152"/>
    </row>
    <row r="16" spans="1:10" s="39" customFormat="1" x14ac:dyDescent="0.25">
      <c r="A16" s="120">
        <v>37438</v>
      </c>
      <c r="B16" s="121">
        <v>37518</v>
      </c>
      <c r="C16" s="122"/>
      <c r="D16" s="139"/>
      <c r="E16" s="140"/>
      <c r="F16" s="141"/>
      <c r="G16" s="140"/>
      <c r="H16" s="141"/>
      <c r="I16" s="139"/>
      <c r="J16" s="701"/>
    </row>
    <row r="17" spans="1:10" s="39" customFormat="1" x14ac:dyDescent="0.25">
      <c r="A17" s="142">
        <v>37519</v>
      </c>
      <c r="B17" s="143">
        <v>37621</v>
      </c>
      <c r="C17" s="144"/>
      <c r="D17" s="145"/>
      <c r="E17" s="124"/>
      <c r="F17" s="123"/>
      <c r="G17" s="124"/>
      <c r="H17" s="123"/>
      <c r="I17" s="145"/>
      <c r="J17" s="125"/>
    </row>
    <row r="18" spans="1:10" s="39" customFormat="1" x14ac:dyDescent="0.25">
      <c r="A18" s="142">
        <v>37622</v>
      </c>
      <c r="B18" s="143">
        <v>37699</v>
      </c>
      <c r="C18" s="144"/>
      <c r="D18" s="145"/>
      <c r="E18" s="124"/>
      <c r="F18" s="123"/>
      <c r="G18" s="124"/>
      <c r="H18" s="123"/>
      <c r="I18" s="145"/>
      <c r="J18" s="125"/>
    </row>
    <row r="19" spans="1:10" s="39" customFormat="1" ht="15.75" thickBot="1" x14ac:dyDescent="0.3">
      <c r="A19" s="146">
        <v>37700</v>
      </c>
      <c r="B19" s="147">
        <v>37802</v>
      </c>
      <c r="C19" s="148"/>
      <c r="D19" s="149"/>
      <c r="E19" s="150"/>
      <c r="F19" s="151"/>
      <c r="G19" s="150"/>
      <c r="H19" s="151"/>
      <c r="I19" s="149"/>
      <c r="J19" s="152"/>
    </row>
    <row r="20" spans="1:10" s="39" customFormat="1" x14ac:dyDescent="0.25">
      <c r="A20" s="120">
        <v>37803</v>
      </c>
      <c r="B20" s="121">
        <v>37883</v>
      </c>
      <c r="C20" s="122"/>
      <c r="D20" s="139"/>
      <c r="E20" s="140"/>
      <c r="F20" s="141"/>
      <c r="G20" s="140"/>
      <c r="H20" s="141"/>
      <c r="I20" s="139"/>
      <c r="J20" s="701"/>
    </row>
    <row r="21" spans="1:10" s="39" customFormat="1" x14ac:dyDescent="0.25">
      <c r="A21" s="142">
        <v>37884</v>
      </c>
      <c r="B21" s="143">
        <v>37986</v>
      </c>
      <c r="C21" s="144"/>
      <c r="D21" s="145"/>
      <c r="E21" s="124"/>
      <c r="F21" s="123"/>
      <c r="G21" s="124"/>
      <c r="H21" s="123"/>
      <c r="I21" s="145"/>
      <c r="J21" s="125"/>
    </row>
    <row r="22" spans="1:10" s="39" customFormat="1" x14ac:dyDescent="0.25">
      <c r="A22" s="142">
        <v>37987</v>
      </c>
      <c r="B22" s="143">
        <v>38065</v>
      </c>
      <c r="C22" s="144"/>
      <c r="D22" s="145"/>
      <c r="E22" s="124"/>
      <c r="F22" s="123"/>
      <c r="G22" s="124"/>
      <c r="H22" s="123"/>
      <c r="I22" s="145"/>
      <c r="J22" s="125"/>
    </row>
    <row r="23" spans="1:10" s="39" customFormat="1" ht="15.75" thickBot="1" x14ac:dyDescent="0.3">
      <c r="A23" s="146">
        <v>38066</v>
      </c>
      <c r="B23" s="147">
        <v>38168</v>
      </c>
      <c r="C23" s="148"/>
      <c r="D23" s="149"/>
      <c r="E23" s="150"/>
      <c r="F23" s="151"/>
      <c r="G23" s="150"/>
      <c r="H23" s="151"/>
      <c r="I23" s="149"/>
      <c r="J23" s="152"/>
    </row>
    <row r="24" spans="1:10" s="39" customFormat="1" x14ac:dyDescent="0.25">
      <c r="A24" s="120">
        <v>38169</v>
      </c>
      <c r="B24" s="121">
        <v>38249</v>
      </c>
      <c r="C24" s="122"/>
      <c r="D24" s="139"/>
      <c r="E24" s="140"/>
      <c r="F24" s="141"/>
      <c r="G24" s="140"/>
      <c r="H24" s="141"/>
      <c r="I24" s="139"/>
      <c r="J24" s="701"/>
    </row>
    <row r="25" spans="1:10" s="39" customFormat="1" x14ac:dyDescent="0.25">
      <c r="A25" s="142">
        <v>38250</v>
      </c>
      <c r="B25" s="143">
        <v>38352</v>
      </c>
      <c r="C25" s="144"/>
      <c r="D25" s="145"/>
      <c r="E25" s="124"/>
      <c r="F25" s="123"/>
      <c r="G25" s="124"/>
      <c r="H25" s="123"/>
      <c r="I25" s="145"/>
      <c r="J25" s="125"/>
    </row>
    <row r="26" spans="1:10" s="39" customFormat="1" x14ac:dyDescent="0.25">
      <c r="A26" s="142">
        <v>38353</v>
      </c>
      <c r="B26" s="143">
        <v>38430</v>
      </c>
      <c r="C26" s="144"/>
      <c r="D26" s="145"/>
      <c r="E26" s="124"/>
      <c r="F26" s="123"/>
      <c r="G26" s="124"/>
      <c r="H26" s="123"/>
      <c r="I26" s="145"/>
      <c r="J26" s="125"/>
    </row>
    <row r="27" spans="1:10" s="39" customFormat="1" ht="15.75" thickBot="1" x14ac:dyDescent="0.3">
      <c r="A27" s="146">
        <v>38431</v>
      </c>
      <c r="B27" s="147">
        <v>38533</v>
      </c>
      <c r="C27" s="148"/>
      <c r="D27" s="149"/>
      <c r="E27" s="150"/>
      <c r="F27" s="151"/>
      <c r="G27" s="150"/>
      <c r="H27" s="151"/>
      <c r="I27" s="149"/>
      <c r="J27" s="152"/>
    </row>
    <row r="28" spans="1:10" s="39" customFormat="1" x14ac:dyDescent="0.25">
      <c r="A28" s="120">
        <v>38534</v>
      </c>
      <c r="B28" s="121">
        <v>38614</v>
      </c>
      <c r="C28" s="122"/>
      <c r="D28" s="139"/>
      <c r="E28" s="140"/>
      <c r="F28" s="141"/>
      <c r="G28" s="140"/>
      <c r="H28" s="141"/>
      <c r="I28" s="139"/>
      <c r="J28" s="701"/>
    </row>
    <row r="29" spans="1:10" s="39" customFormat="1" x14ac:dyDescent="0.25">
      <c r="A29" s="142">
        <v>38615</v>
      </c>
      <c r="B29" s="143">
        <v>38717</v>
      </c>
      <c r="C29" s="144"/>
      <c r="D29" s="145"/>
      <c r="E29" s="124"/>
      <c r="F29" s="123"/>
      <c r="G29" s="124"/>
      <c r="H29" s="123"/>
      <c r="I29" s="145"/>
      <c r="J29" s="125"/>
    </row>
    <row r="30" spans="1:10" s="39" customFormat="1" x14ac:dyDescent="0.25">
      <c r="A30" s="142">
        <v>38718</v>
      </c>
      <c r="B30" s="143">
        <v>38795</v>
      </c>
      <c r="C30" s="144"/>
      <c r="D30" s="145"/>
      <c r="E30" s="124"/>
      <c r="F30" s="123"/>
      <c r="G30" s="124"/>
      <c r="H30" s="123"/>
      <c r="I30" s="145"/>
      <c r="J30" s="125"/>
    </row>
    <row r="31" spans="1:10" s="39" customFormat="1" ht="15.75" thickBot="1" x14ac:dyDescent="0.3">
      <c r="A31" s="146">
        <v>38796</v>
      </c>
      <c r="B31" s="147">
        <v>38898</v>
      </c>
      <c r="C31" s="148"/>
      <c r="D31" s="149"/>
      <c r="E31" s="150"/>
      <c r="F31" s="151"/>
      <c r="G31" s="150"/>
      <c r="H31" s="151"/>
      <c r="I31" s="149"/>
      <c r="J31" s="152"/>
    </row>
    <row r="32" spans="1:10" s="39" customFormat="1" x14ac:dyDescent="0.25">
      <c r="A32" s="120">
        <v>38899</v>
      </c>
      <c r="B32" s="121">
        <v>38979</v>
      </c>
      <c r="C32" s="122"/>
      <c r="D32" s="139"/>
      <c r="E32" s="140"/>
      <c r="F32" s="141"/>
      <c r="G32" s="140"/>
      <c r="H32" s="141"/>
      <c r="I32" s="139"/>
      <c r="J32" s="701"/>
    </row>
    <row r="33" spans="1:10" s="39" customFormat="1" x14ac:dyDescent="0.25">
      <c r="A33" s="142">
        <v>38980</v>
      </c>
      <c r="B33" s="143">
        <v>39082</v>
      </c>
      <c r="C33" s="144"/>
      <c r="D33" s="145"/>
      <c r="E33" s="124"/>
      <c r="F33" s="123"/>
      <c r="G33" s="124"/>
      <c r="H33" s="123"/>
      <c r="I33" s="145"/>
      <c r="J33" s="125"/>
    </row>
    <row r="34" spans="1:10" s="39" customFormat="1" x14ac:dyDescent="0.25">
      <c r="A34" s="142">
        <v>39083</v>
      </c>
      <c r="B34" s="143">
        <v>39160</v>
      </c>
      <c r="C34" s="144"/>
      <c r="D34" s="145"/>
      <c r="E34" s="124"/>
      <c r="F34" s="123"/>
      <c r="G34" s="124"/>
      <c r="H34" s="123"/>
      <c r="I34" s="145"/>
      <c r="J34" s="125"/>
    </row>
    <row r="35" spans="1:10" s="39" customFormat="1" ht="15.75" thickBot="1" x14ac:dyDescent="0.3">
      <c r="A35" s="146">
        <v>39161</v>
      </c>
      <c r="B35" s="147">
        <v>39263</v>
      </c>
      <c r="C35" s="148"/>
      <c r="D35" s="149"/>
      <c r="E35" s="150"/>
      <c r="F35" s="151"/>
      <c r="G35" s="150"/>
      <c r="H35" s="151"/>
      <c r="I35" s="149"/>
      <c r="J35" s="152"/>
    </row>
    <row r="36" spans="1:10" s="39" customFormat="1" x14ac:dyDescent="0.25">
      <c r="A36" s="120">
        <v>39264</v>
      </c>
      <c r="B36" s="121">
        <v>39344</v>
      </c>
      <c r="C36" s="122"/>
      <c r="D36" s="139"/>
      <c r="E36" s="140"/>
      <c r="F36" s="141"/>
      <c r="G36" s="140"/>
      <c r="H36" s="141"/>
      <c r="I36" s="139"/>
      <c r="J36" s="701"/>
    </row>
    <row r="37" spans="1:10" s="39" customFormat="1" x14ac:dyDescent="0.25">
      <c r="A37" s="142">
        <v>39345</v>
      </c>
      <c r="B37" s="143">
        <v>39447</v>
      </c>
      <c r="C37" s="144"/>
      <c r="D37" s="145"/>
      <c r="E37" s="124"/>
      <c r="F37" s="123"/>
      <c r="G37" s="124"/>
      <c r="H37" s="123"/>
      <c r="I37" s="145"/>
      <c r="J37" s="125"/>
    </row>
    <row r="38" spans="1:10" s="39" customFormat="1" x14ac:dyDescent="0.25">
      <c r="A38" s="142">
        <v>39448</v>
      </c>
      <c r="B38" s="143">
        <v>39526</v>
      </c>
      <c r="C38" s="144"/>
      <c r="D38" s="145"/>
      <c r="E38" s="124"/>
      <c r="F38" s="123"/>
      <c r="G38" s="124"/>
      <c r="H38" s="123"/>
      <c r="I38" s="145"/>
      <c r="J38" s="125"/>
    </row>
    <row r="39" spans="1:10" s="39" customFormat="1" ht="15.75" thickBot="1" x14ac:dyDescent="0.3">
      <c r="A39" s="146">
        <v>39527</v>
      </c>
      <c r="B39" s="147">
        <v>39629</v>
      </c>
      <c r="C39" s="148"/>
      <c r="D39" s="149"/>
      <c r="E39" s="150"/>
      <c r="F39" s="151"/>
      <c r="G39" s="150"/>
      <c r="H39" s="151"/>
      <c r="I39" s="149"/>
      <c r="J39" s="152"/>
    </row>
    <row r="40" spans="1:10" s="39" customFormat="1" x14ac:dyDescent="0.25">
      <c r="A40" s="120">
        <v>39630</v>
      </c>
      <c r="B40" s="121">
        <v>39710</v>
      </c>
      <c r="C40" s="122"/>
      <c r="D40" s="139"/>
      <c r="E40" s="140"/>
      <c r="F40" s="141"/>
      <c r="G40" s="140"/>
      <c r="H40" s="141"/>
      <c r="I40" s="139"/>
      <c r="J40" s="701"/>
    </row>
    <row r="41" spans="1:10" s="39" customFormat="1" x14ac:dyDescent="0.25">
      <c r="A41" s="142">
        <v>39711</v>
      </c>
      <c r="B41" s="143">
        <v>39813</v>
      </c>
      <c r="C41" s="144"/>
      <c r="D41" s="145"/>
      <c r="E41" s="124"/>
      <c r="F41" s="123"/>
      <c r="G41" s="124"/>
      <c r="H41" s="123"/>
      <c r="I41" s="145"/>
      <c r="J41" s="125"/>
    </row>
    <row r="42" spans="1:10" s="39" customFormat="1" x14ac:dyDescent="0.25">
      <c r="A42" s="142">
        <v>39814</v>
      </c>
      <c r="B42" s="143">
        <v>39891</v>
      </c>
      <c r="C42" s="144"/>
      <c r="D42" s="145"/>
      <c r="E42" s="124"/>
      <c r="F42" s="123"/>
      <c r="G42" s="124"/>
      <c r="H42" s="123"/>
      <c r="I42" s="145"/>
      <c r="J42" s="125"/>
    </row>
    <row r="43" spans="1:10" s="39" customFormat="1" ht="15.75" thickBot="1" x14ac:dyDescent="0.3">
      <c r="A43" s="146">
        <v>39892</v>
      </c>
      <c r="B43" s="147">
        <v>39994</v>
      </c>
      <c r="C43" s="148"/>
      <c r="D43" s="149"/>
      <c r="E43" s="150"/>
      <c r="F43" s="151"/>
      <c r="G43" s="150"/>
      <c r="H43" s="151"/>
      <c r="I43" s="149"/>
      <c r="J43" s="152"/>
    </row>
    <row r="44" spans="1:10" s="39" customFormat="1" x14ac:dyDescent="0.25">
      <c r="A44" s="120">
        <v>39995</v>
      </c>
      <c r="B44" s="121">
        <v>40075</v>
      </c>
      <c r="C44" s="122"/>
      <c r="D44" s="139"/>
      <c r="E44" s="140"/>
      <c r="F44" s="141"/>
      <c r="G44" s="140"/>
      <c r="H44" s="141"/>
      <c r="I44" s="139"/>
      <c r="J44" s="701"/>
    </row>
    <row r="45" spans="1:10" s="39" customFormat="1" x14ac:dyDescent="0.25">
      <c r="A45" s="142">
        <v>40076</v>
      </c>
      <c r="B45" s="143">
        <v>40178</v>
      </c>
      <c r="C45" s="144"/>
      <c r="D45" s="145"/>
      <c r="E45" s="124"/>
      <c r="F45" s="123"/>
      <c r="G45" s="124"/>
      <c r="H45" s="123"/>
      <c r="I45" s="145"/>
      <c r="J45" s="125"/>
    </row>
    <row r="46" spans="1:10" s="39" customFormat="1" x14ac:dyDescent="0.25">
      <c r="A46" s="142">
        <v>40179</v>
      </c>
      <c r="B46" s="143">
        <v>40256</v>
      </c>
      <c r="C46" s="144"/>
      <c r="D46" s="145"/>
      <c r="E46" s="124"/>
      <c r="F46" s="123"/>
      <c r="G46" s="124"/>
      <c r="H46" s="123"/>
      <c r="I46" s="145"/>
      <c r="J46" s="125"/>
    </row>
    <row r="47" spans="1:10" s="39" customFormat="1" ht="15.75" thickBot="1" x14ac:dyDescent="0.3">
      <c r="A47" s="146">
        <v>40257</v>
      </c>
      <c r="B47" s="147">
        <v>40359</v>
      </c>
      <c r="C47" s="148"/>
      <c r="D47" s="149"/>
      <c r="E47" s="150"/>
      <c r="F47" s="151"/>
      <c r="G47" s="150"/>
      <c r="H47" s="151"/>
      <c r="I47" s="149"/>
      <c r="J47" s="152"/>
    </row>
    <row r="48" spans="1:10" s="39" customFormat="1" x14ac:dyDescent="0.25">
      <c r="A48" s="120">
        <v>40360</v>
      </c>
      <c r="B48" s="121">
        <v>40440</v>
      </c>
      <c r="C48" s="122"/>
      <c r="D48" s="139"/>
      <c r="E48" s="140"/>
      <c r="F48" s="141"/>
      <c r="G48" s="140"/>
      <c r="H48" s="141"/>
      <c r="I48" s="139"/>
      <c r="J48" s="701"/>
    </row>
    <row r="49" spans="1:10" s="39" customFormat="1" x14ac:dyDescent="0.25">
      <c r="A49" s="142">
        <v>40441</v>
      </c>
      <c r="B49" s="143">
        <v>40543</v>
      </c>
      <c r="C49" s="144"/>
      <c r="D49" s="145"/>
      <c r="E49" s="124"/>
      <c r="F49" s="123"/>
      <c r="G49" s="124"/>
      <c r="H49" s="123"/>
      <c r="I49" s="145"/>
      <c r="J49" s="125"/>
    </row>
    <row r="50" spans="1:10" s="39" customFormat="1" x14ac:dyDescent="0.25">
      <c r="A50" s="142">
        <v>40544</v>
      </c>
      <c r="B50" s="143">
        <v>40621</v>
      </c>
      <c r="C50" s="144"/>
      <c r="D50" s="145"/>
      <c r="E50" s="124"/>
      <c r="F50" s="123"/>
      <c r="G50" s="124"/>
      <c r="H50" s="123"/>
      <c r="I50" s="145"/>
      <c r="J50" s="125"/>
    </row>
    <row r="51" spans="1:10" s="39" customFormat="1" ht="15.75" thickBot="1" x14ac:dyDescent="0.3">
      <c r="A51" s="146">
        <v>40622</v>
      </c>
      <c r="B51" s="147">
        <v>40724</v>
      </c>
      <c r="C51" s="148"/>
      <c r="D51" s="149"/>
      <c r="E51" s="150"/>
      <c r="F51" s="151"/>
      <c r="G51" s="150"/>
      <c r="H51" s="151"/>
      <c r="I51" s="149"/>
      <c r="J51" s="152"/>
    </row>
    <row r="52" spans="1:10" x14ac:dyDescent="0.25">
      <c r="A52" s="120">
        <v>40725</v>
      </c>
      <c r="B52" s="121">
        <v>40805</v>
      </c>
      <c r="C52" s="122"/>
      <c r="D52" s="139"/>
      <c r="E52" s="140"/>
      <c r="F52" s="141"/>
      <c r="G52" s="140"/>
      <c r="H52" s="141"/>
      <c r="I52" s="139"/>
      <c r="J52" s="701"/>
    </row>
    <row r="53" spans="1:10" x14ac:dyDescent="0.25">
      <c r="A53" s="142">
        <v>40806</v>
      </c>
      <c r="B53" s="143">
        <v>40908</v>
      </c>
      <c r="C53" s="144"/>
      <c r="D53" s="145"/>
      <c r="E53" s="124"/>
      <c r="F53" s="123"/>
      <c r="G53" s="124"/>
      <c r="H53" s="123"/>
      <c r="I53" s="145"/>
      <c r="J53" s="125"/>
    </row>
    <row r="54" spans="1:10" x14ac:dyDescent="0.25">
      <c r="A54" s="142">
        <v>40909</v>
      </c>
      <c r="B54" s="143">
        <v>40987</v>
      </c>
      <c r="C54" s="144"/>
      <c r="D54" s="145"/>
      <c r="E54" s="124"/>
      <c r="F54" s="123"/>
      <c r="G54" s="124"/>
      <c r="H54" s="123"/>
      <c r="I54" s="145"/>
      <c r="J54" s="125"/>
    </row>
    <row r="55" spans="1:10" ht="15.75" thickBot="1" x14ac:dyDescent="0.3">
      <c r="A55" s="146">
        <v>40988</v>
      </c>
      <c r="B55" s="147">
        <v>41090</v>
      </c>
      <c r="C55" s="148"/>
      <c r="D55" s="149"/>
      <c r="E55" s="150"/>
      <c r="F55" s="151"/>
      <c r="G55" s="150"/>
      <c r="H55" s="151"/>
      <c r="I55" s="149"/>
      <c r="J55" s="152"/>
    </row>
    <row r="56" spans="1:10" s="26" customFormat="1" x14ac:dyDescent="0.25">
      <c r="A56" s="587">
        <v>41091</v>
      </c>
      <c r="B56" s="588">
        <v>41171</v>
      </c>
      <c r="C56" s="589">
        <v>300</v>
      </c>
      <c r="D56" s="590">
        <v>68000</v>
      </c>
      <c r="E56" s="591">
        <v>2.5000000000000001E-2</v>
      </c>
      <c r="F56" s="592">
        <v>120000</v>
      </c>
      <c r="G56" s="591">
        <v>0.01</v>
      </c>
      <c r="H56" s="592">
        <v>150000</v>
      </c>
      <c r="I56" s="590">
        <v>16000</v>
      </c>
      <c r="J56" s="702">
        <v>0.15</v>
      </c>
    </row>
    <row r="57" spans="1:10" s="26" customFormat="1" x14ac:dyDescent="0.25">
      <c r="A57" s="576">
        <v>41172</v>
      </c>
      <c r="B57" s="577">
        <v>41274</v>
      </c>
      <c r="C57" s="586">
        <f>C56</f>
        <v>300</v>
      </c>
      <c r="D57" s="578">
        <f t="shared" ref="D57:J59" si="0">D56</f>
        <v>68000</v>
      </c>
      <c r="E57" s="593">
        <f t="shared" si="0"/>
        <v>2.5000000000000001E-2</v>
      </c>
      <c r="F57" s="585">
        <f t="shared" si="0"/>
        <v>120000</v>
      </c>
      <c r="G57" s="593">
        <f t="shared" si="0"/>
        <v>0.01</v>
      </c>
      <c r="H57" s="585">
        <v>150000</v>
      </c>
      <c r="I57" s="578">
        <f t="shared" si="0"/>
        <v>16000</v>
      </c>
      <c r="J57" s="700">
        <f t="shared" si="0"/>
        <v>0.15</v>
      </c>
    </row>
    <row r="58" spans="1:10" s="26" customFormat="1" x14ac:dyDescent="0.25">
      <c r="A58" s="576">
        <v>41275</v>
      </c>
      <c r="B58" s="577">
        <v>41352</v>
      </c>
      <c r="C58" s="586">
        <f>C57</f>
        <v>300</v>
      </c>
      <c r="D58" s="578">
        <f t="shared" si="0"/>
        <v>68000</v>
      </c>
      <c r="E58" s="593">
        <f t="shared" si="0"/>
        <v>2.5000000000000001E-2</v>
      </c>
      <c r="F58" s="585">
        <f t="shared" si="0"/>
        <v>120000</v>
      </c>
      <c r="G58" s="593">
        <f t="shared" si="0"/>
        <v>0.01</v>
      </c>
      <c r="H58" s="585">
        <v>150000</v>
      </c>
      <c r="I58" s="578">
        <f t="shared" si="0"/>
        <v>16000</v>
      </c>
      <c r="J58" s="700">
        <f t="shared" si="0"/>
        <v>0.15</v>
      </c>
    </row>
    <row r="59" spans="1:10" s="26" customFormat="1" ht="15.75" thickBot="1" x14ac:dyDescent="0.3">
      <c r="A59" s="580">
        <v>41353</v>
      </c>
      <c r="B59" s="581">
        <v>41455</v>
      </c>
      <c r="C59" s="594">
        <f>C58</f>
        <v>300</v>
      </c>
      <c r="D59" s="582">
        <f t="shared" si="0"/>
        <v>68000</v>
      </c>
      <c r="E59" s="595">
        <f t="shared" si="0"/>
        <v>2.5000000000000001E-2</v>
      </c>
      <c r="F59" s="596">
        <f t="shared" si="0"/>
        <v>120000</v>
      </c>
      <c r="G59" s="595">
        <f t="shared" si="0"/>
        <v>0.01</v>
      </c>
      <c r="H59" s="596">
        <v>150000</v>
      </c>
      <c r="I59" s="582">
        <f t="shared" si="0"/>
        <v>16000</v>
      </c>
      <c r="J59" s="703">
        <f t="shared" si="0"/>
        <v>0.15</v>
      </c>
    </row>
    <row r="60" spans="1:10" s="26" customFormat="1" x14ac:dyDescent="0.25">
      <c r="A60" s="587">
        <v>41456</v>
      </c>
      <c r="B60" s="588">
        <v>41536</v>
      </c>
      <c r="C60" s="589">
        <v>300</v>
      </c>
      <c r="D60" s="590">
        <v>68000</v>
      </c>
      <c r="E60" s="591">
        <v>2.5000000000000001E-2</v>
      </c>
      <c r="F60" s="592">
        <v>120000</v>
      </c>
      <c r="G60" s="591">
        <v>0.01</v>
      </c>
      <c r="H60" s="592">
        <v>150000</v>
      </c>
      <c r="I60" s="590">
        <v>16000</v>
      </c>
      <c r="J60" s="702">
        <v>0.15</v>
      </c>
    </row>
    <row r="61" spans="1:10" s="26" customFormat="1" x14ac:dyDescent="0.25">
      <c r="A61" s="576">
        <v>41537</v>
      </c>
      <c r="B61" s="577">
        <v>41639</v>
      </c>
      <c r="C61" s="586">
        <v>300</v>
      </c>
      <c r="D61" s="578">
        <v>68000</v>
      </c>
      <c r="E61" s="593">
        <v>2.5000000000000001E-2</v>
      </c>
      <c r="F61" s="585">
        <v>120000</v>
      </c>
      <c r="G61" s="593">
        <v>0.01</v>
      </c>
      <c r="H61" s="585">
        <v>150000</v>
      </c>
      <c r="I61" s="578">
        <v>16000</v>
      </c>
      <c r="J61" s="700">
        <v>0.15</v>
      </c>
    </row>
    <row r="62" spans="1:10" s="26" customFormat="1" x14ac:dyDescent="0.25">
      <c r="A62" s="576">
        <v>41640</v>
      </c>
      <c r="B62" s="577">
        <v>41717</v>
      </c>
      <c r="C62" s="586">
        <v>300</v>
      </c>
      <c r="D62" s="578">
        <v>68000</v>
      </c>
      <c r="E62" s="593">
        <v>2.5000000000000001E-2</v>
      </c>
      <c r="F62" s="585">
        <v>120000</v>
      </c>
      <c r="G62" s="593">
        <v>0.01</v>
      </c>
      <c r="H62" s="585">
        <v>150000</v>
      </c>
      <c r="I62" s="578">
        <v>16000</v>
      </c>
      <c r="J62" s="700">
        <v>0.15</v>
      </c>
    </row>
    <row r="63" spans="1:10" s="26" customFormat="1" ht="15.75" thickBot="1" x14ac:dyDescent="0.3">
      <c r="A63" s="580">
        <v>41718</v>
      </c>
      <c r="B63" s="581">
        <v>41820</v>
      </c>
      <c r="C63" s="594">
        <v>300</v>
      </c>
      <c r="D63" s="582">
        <v>68000</v>
      </c>
      <c r="E63" s="595">
        <v>2.5000000000000001E-2</v>
      </c>
      <c r="F63" s="596">
        <v>120000</v>
      </c>
      <c r="G63" s="595">
        <v>0.01</v>
      </c>
      <c r="H63" s="596">
        <v>150000</v>
      </c>
      <c r="I63" s="582">
        <v>16000</v>
      </c>
      <c r="J63" s="703">
        <v>0.15</v>
      </c>
    </row>
    <row r="64" spans="1:10" s="26" customFormat="1" x14ac:dyDescent="0.25">
      <c r="A64" s="587">
        <v>41821</v>
      </c>
      <c r="B64" s="588">
        <v>41901</v>
      </c>
      <c r="C64" s="589">
        <v>300</v>
      </c>
      <c r="D64" s="590">
        <v>68000</v>
      </c>
      <c r="E64" s="591">
        <v>2.5000000000000001E-2</v>
      </c>
      <c r="F64" s="592">
        <v>120000</v>
      </c>
      <c r="G64" s="591">
        <v>0.01</v>
      </c>
      <c r="H64" s="592">
        <v>150000</v>
      </c>
      <c r="I64" s="590">
        <v>16000</v>
      </c>
      <c r="J64" s="702">
        <v>0.15</v>
      </c>
    </row>
    <row r="65" spans="1:13" s="26" customFormat="1" x14ac:dyDescent="0.25">
      <c r="A65" s="576">
        <v>41902</v>
      </c>
      <c r="B65" s="577">
        <v>42004</v>
      </c>
      <c r="C65" s="586">
        <v>300</v>
      </c>
      <c r="D65" s="578">
        <v>68000</v>
      </c>
      <c r="E65" s="593">
        <v>2.5000000000000001E-2</v>
      </c>
      <c r="F65" s="585">
        <v>120000</v>
      </c>
      <c r="G65" s="593">
        <v>0.01</v>
      </c>
      <c r="H65" s="585">
        <v>150000</v>
      </c>
      <c r="I65" s="578">
        <v>16000</v>
      </c>
      <c r="J65" s="700">
        <v>0.15</v>
      </c>
    </row>
    <row r="66" spans="1:13" s="26" customFormat="1" x14ac:dyDescent="0.25">
      <c r="A66" s="576">
        <v>42005</v>
      </c>
      <c r="B66" s="577">
        <v>42082</v>
      </c>
      <c r="C66" s="586">
        <v>300</v>
      </c>
      <c r="D66" s="578">
        <v>68000</v>
      </c>
      <c r="E66" s="593">
        <v>2.5000000000000001E-2</v>
      </c>
      <c r="F66" s="585">
        <v>120000</v>
      </c>
      <c r="G66" s="593">
        <v>0.01</v>
      </c>
      <c r="H66" s="585">
        <v>150000</v>
      </c>
      <c r="I66" s="578">
        <v>16000</v>
      </c>
      <c r="J66" s="700">
        <v>0.15</v>
      </c>
    </row>
    <row r="67" spans="1:13" s="26" customFormat="1" ht="15.75" thickBot="1" x14ac:dyDescent="0.3">
      <c r="A67" s="580">
        <v>42083</v>
      </c>
      <c r="B67" s="581">
        <v>42185</v>
      </c>
      <c r="C67" s="594">
        <v>300</v>
      </c>
      <c r="D67" s="582">
        <v>68000</v>
      </c>
      <c r="E67" s="595">
        <v>2.5000000000000001E-2</v>
      </c>
      <c r="F67" s="596">
        <v>120000</v>
      </c>
      <c r="G67" s="595">
        <v>0.01</v>
      </c>
      <c r="H67" s="596">
        <v>150000</v>
      </c>
      <c r="I67" s="582">
        <v>16000</v>
      </c>
      <c r="J67" s="703">
        <v>0.15</v>
      </c>
    </row>
    <row r="68" spans="1:13" x14ac:dyDescent="0.25">
      <c r="A68" s="587">
        <v>42186</v>
      </c>
      <c r="B68" s="588">
        <v>42266</v>
      </c>
      <c r="C68" s="589">
        <v>300</v>
      </c>
      <c r="D68" s="590">
        <v>68000</v>
      </c>
      <c r="E68" s="591">
        <v>2.5000000000000001E-2</v>
      </c>
      <c r="F68" s="592">
        <v>120000</v>
      </c>
      <c r="G68" s="591">
        <v>0.01</v>
      </c>
      <c r="H68" s="592">
        <v>150000</v>
      </c>
      <c r="I68" s="590">
        <v>16000</v>
      </c>
      <c r="J68" s="702">
        <v>0.15</v>
      </c>
    </row>
    <row r="69" spans="1:13" x14ac:dyDescent="0.25">
      <c r="A69" s="576">
        <v>42267</v>
      </c>
      <c r="B69" s="577">
        <v>42369</v>
      </c>
      <c r="C69" s="586">
        <v>300</v>
      </c>
      <c r="D69" s="578">
        <v>68000</v>
      </c>
      <c r="E69" s="593">
        <v>2.5000000000000001E-2</v>
      </c>
      <c r="F69" s="585">
        <v>120000</v>
      </c>
      <c r="G69" s="593">
        <v>0.01</v>
      </c>
      <c r="H69" s="585">
        <v>150000</v>
      </c>
      <c r="I69" s="578">
        <v>16000</v>
      </c>
      <c r="J69" s="700">
        <v>0.15</v>
      </c>
    </row>
    <row r="70" spans="1:13" x14ac:dyDescent="0.25">
      <c r="A70" s="576">
        <v>42370</v>
      </c>
      <c r="B70" s="577">
        <v>42448</v>
      </c>
      <c r="C70" s="586">
        <v>300</v>
      </c>
      <c r="D70" s="578">
        <v>68000</v>
      </c>
      <c r="E70" s="593">
        <v>2.5000000000000001E-2</v>
      </c>
      <c r="F70" s="585">
        <v>120000</v>
      </c>
      <c r="G70" s="593">
        <v>0.01</v>
      </c>
      <c r="H70" s="585">
        <v>150000</v>
      </c>
      <c r="I70" s="578">
        <v>16000</v>
      </c>
      <c r="J70" s="700">
        <v>0.15</v>
      </c>
      <c r="L70" s="684"/>
    </row>
    <row r="71" spans="1:13" ht="15.75" thickBot="1" x14ac:dyDescent="0.3">
      <c r="A71" s="580">
        <v>42449</v>
      </c>
      <c r="B71" s="581">
        <v>42551</v>
      </c>
      <c r="C71" s="594">
        <v>300</v>
      </c>
      <c r="D71" s="582">
        <v>68000</v>
      </c>
      <c r="E71" s="595">
        <v>2.5000000000000001E-2</v>
      </c>
      <c r="F71" s="596">
        <v>120000</v>
      </c>
      <c r="G71" s="595">
        <v>0.01</v>
      </c>
      <c r="H71" s="596">
        <v>150000</v>
      </c>
      <c r="I71" s="582">
        <v>16000</v>
      </c>
      <c r="J71" s="703">
        <v>0.15</v>
      </c>
    </row>
    <row r="72" spans="1:13" x14ac:dyDescent="0.25">
      <c r="A72" s="587">
        <v>42552</v>
      </c>
      <c r="B72" s="588">
        <v>42632</v>
      </c>
      <c r="C72" s="589">
        <v>300</v>
      </c>
      <c r="D72" s="590">
        <v>68000</v>
      </c>
      <c r="E72" s="591">
        <v>2.5000000000000001E-2</v>
      </c>
      <c r="F72" s="592">
        <v>120000</v>
      </c>
      <c r="G72" s="591">
        <v>0.01</v>
      </c>
      <c r="H72" s="592">
        <v>150000</v>
      </c>
      <c r="I72" s="590">
        <v>16000</v>
      </c>
      <c r="J72" s="702">
        <v>0.15</v>
      </c>
      <c r="M72" s="684"/>
    </row>
    <row r="73" spans="1:13" x14ac:dyDescent="0.25">
      <c r="A73" s="576">
        <v>42633</v>
      </c>
      <c r="B73" s="577">
        <v>42735</v>
      </c>
      <c r="C73" s="586">
        <f t="shared" ref="C73:C91" si="1">C72</f>
        <v>300</v>
      </c>
      <c r="D73" s="578">
        <f t="shared" ref="D73:D91" si="2">D72</f>
        <v>68000</v>
      </c>
      <c r="E73" s="593">
        <f t="shared" ref="E73:E91" si="3">E72</f>
        <v>2.5000000000000001E-2</v>
      </c>
      <c r="F73" s="585">
        <f t="shared" ref="F73:F91" si="4">F72</f>
        <v>120000</v>
      </c>
      <c r="G73" s="593">
        <f t="shared" ref="G73:G91" si="5">G72</f>
        <v>0.01</v>
      </c>
      <c r="H73" s="585">
        <v>150000</v>
      </c>
      <c r="I73" s="578">
        <f t="shared" ref="I73:I91" si="6">I72</f>
        <v>16000</v>
      </c>
      <c r="J73" s="700">
        <f t="shared" ref="J73:J91" si="7">J72</f>
        <v>0.15</v>
      </c>
    </row>
    <row r="74" spans="1:13" x14ac:dyDescent="0.25">
      <c r="A74" s="576">
        <v>42736</v>
      </c>
      <c r="B74" s="577">
        <v>42813</v>
      </c>
      <c r="C74" s="586">
        <f t="shared" si="1"/>
        <v>300</v>
      </c>
      <c r="D74" s="578">
        <f t="shared" si="2"/>
        <v>68000</v>
      </c>
      <c r="E74" s="593">
        <f t="shared" si="3"/>
        <v>2.5000000000000001E-2</v>
      </c>
      <c r="F74" s="585">
        <f t="shared" si="4"/>
        <v>120000</v>
      </c>
      <c r="G74" s="593">
        <f t="shared" si="5"/>
        <v>0.01</v>
      </c>
      <c r="H74" s="585">
        <v>150000</v>
      </c>
      <c r="I74" s="578">
        <f>I73</f>
        <v>16000</v>
      </c>
      <c r="J74" s="700">
        <f t="shared" si="7"/>
        <v>0.15</v>
      </c>
    </row>
    <row r="75" spans="1:13" ht="15.75" thickBot="1" x14ac:dyDescent="0.3">
      <c r="A75" s="580">
        <v>42814</v>
      </c>
      <c r="B75" s="581">
        <v>42916</v>
      </c>
      <c r="C75" s="594">
        <f t="shared" si="1"/>
        <v>300</v>
      </c>
      <c r="D75" s="582">
        <f t="shared" si="2"/>
        <v>68000</v>
      </c>
      <c r="E75" s="595">
        <f t="shared" si="3"/>
        <v>2.5000000000000001E-2</v>
      </c>
      <c r="F75" s="596">
        <f t="shared" si="4"/>
        <v>120000</v>
      </c>
      <c r="G75" s="595">
        <f t="shared" si="5"/>
        <v>0.01</v>
      </c>
      <c r="H75" s="596">
        <v>150000</v>
      </c>
      <c r="I75" s="582">
        <f t="shared" si="6"/>
        <v>16000</v>
      </c>
      <c r="J75" s="703">
        <f t="shared" si="7"/>
        <v>0.15</v>
      </c>
    </row>
    <row r="76" spans="1:13" x14ac:dyDescent="0.25">
      <c r="A76" s="587">
        <v>42917</v>
      </c>
      <c r="B76" s="588">
        <v>42997</v>
      </c>
      <c r="C76" s="589">
        <f t="shared" si="1"/>
        <v>300</v>
      </c>
      <c r="D76" s="590">
        <f t="shared" si="2"/>
        <v>68000</v>
      </c>
      <c r="E76" s="591">
        <f t="shared" si="3"/>
        <v>2.5000000000000001E-2</v>
      </c>
      <c r="F76" s="592">
        <f t="shared" si="4"/>
        <v>120000</v>
      </c>
      <c r="G76" s="591">
        <f t="shared" si="5"/>
        <v>0.01</v>
      </c>
      <c r="H76" s="592">
        <v>150000</v>
      </c>
      <c r="I76" s="590">
        <f t="shared" si="6"/>
        <v>16000</v>
      </c>
      <c r="J76" s="702">
        <f t="shared" si="7"/>
        <v>0.15</v>
      </c>
    </row>
    <row r="77" spans="1:13" x14ac:dyDescent="0.25">
      <c r="A77" s="126">
        <v>42998</v>
      </c>
      <c r="B77" s="127">
        <v>43100</v>
      </c>
      <c r="C77" s="128">
        <f t="shared" si="1"/>
        <v>300</v>
      </c>
      <c r="D77" s="159">
        <f t="shared" si="2"/>
        <v>68000</v>
      </c>
      <c r="E77" s="130">
        <f t="shared" si="3"/>
        <v>2.5000000000000001E-2</v>
      </c>
      <c r="F77" s="129">
        <f t="shared" si="4"/>
        <v>120000</v>
      </c>
      <c r="G77" s="130">
        <f t="shared" si="5"/>
        <v>0.01</v>
      </c>
      <c r="H77" s="129">
        <v>150000</v>
      </c>
      <c r="I77" s="159">
        <f t="shared" si="6"/>
        <v>16000</v>
      </c>
      <c r="J77" s="131">
        <f t="shared" si="7"/>
        <v>0.15</v>
      </c>
    </row>
    <row r="78" spans="1:13" x14ac:dyDescent="0.25">
      <c r="A78" s="126">
        <v>43101</v>
      </c>
      <c r="B78" s="127">
        <v>43178</v>
      </c>
      <c r="C78" s="128">
        <f t="shared" si="1"/>
        <v>300</v>
      </c>
      <c r="D78" s="159">
        <f t="shared" si="2"/>
        <v>68000</v>
      </c>
      <c r="E78" s="130">
        <f t="shared" si="3"/>
        <v>2.5000000000000001E-2</v>
      </c>
      <c r="F78" s="129">
        <f t="shared" si="4"/>
        <v>120000</v>
      </c>
      <c r="G78" s="130">
        <f t="shared" si="5"/>
        <v>0.01</v>
      </c>
      <c r="H78" s="129">
        <v>150000</v>
      </c>
      <c r="I78" s="159">
        <f t="shared" si="6"/>
        <v>16000</v>
      </c>
      <c r="J78" s="131">
        <f t="shared" si="7"/>
        <v>0.15</v>
      </c>
    </row>
    <row r="79" spans="1:13" ht="15.75" thickBot="1" x14ac:dyDescent="0.3">
      <c r="A79" s="132">
        <v>43179</v>
      </c>
      <c r="B79" s="133">
        <v>43281</v>
      </c>
      <c r="C79" s="134">
        <f t="shared" si="1"/>
        <v>300</v>
      </c>
      <c r="D79" s="160">
        <f t="shared" si="2"/>
        <v>68000</v>
      </c>
      <c r="E79" s="136">
        <f t="shared" si="3"/>
        <v>2.5000000000000001E-2</v>
      </c>
      <c r="F79" s="135">
        <f t="shared" si="4"/>
        <v>120000</v>
      </c>
      <c r="G79" s="136">
        <f t="shared" si="5"/>
        <v>0.01</v>
      </c>
      <c r="H79" s="135">
        <v>150000</v>
      </c>
      <c r="I79" s="160">
        <f t="shared" si="6"/>
        <v>16000</v>
      </c>
      <c r="J79" s="137">
        <f t="shared" si="7"/>
        <v>0.15</v>
      </c>
    </row>
    <row r="80" spans="1:13" x14ac:dyDescent="0.25">
      <c r="A80" s="153">
        <v>43282</v>
      </c>
      <c r="B80" s="154">
        <v>43362</v>
      </c>
      <c r="C80" s="155">
        <f t="shared" si="1"/>
        <v>300</v>
      </c>
      <c r="D80" s="156">
        <f t="shared" si="2"/>
        <v>68000</v>
      </c>
      <c r="E80" s="157">
        <f t="shared" si="3"/>
        <v>2.5000000000000001E-2</v>
      </c>
      <c r="F80" s="158">
        <f t="shared" si="4"/>
        <v>120000</v>
      </c>
      <c r="G80" s="157">
        <f t="shared" si="5"/>
        <v>0.01</v>
      </c>
      <c r="H80" s="158">
        <v>150000</v>
      </c>
      <c r="I80" s="156">
        <f t="shared" si="6"/>
        <v>16000</v>
      </c>
      <c r="J80" s="704">
        <f t="shared" si="7"/>
        <v>0.15</v>
      </c>
    </row>
    <row r="81" spans="1:10" x14ac:dyDescent="0.25">
      <c r="A81" s="126">
        <v>43363</v>
      </c>
      <c r="B81" s="127">
        <v>43465</v>
      </c>
      <c r="C81" s="128">
        <f t="shared" si="1"/>
        <v>300</v>
      </c>
      <c r="D81" s="159">
        <f t="shared" si="2"/>
        <v>68000</v>
      </c>
      <c r="E81" s="130">
        <f t="shared" si="3"/>
        <v>2.5000000000000001E-2</v>
      </c>
      <c r="F81" s="129">
        <f t="shared" si="4"/>
        <v>120000</v>
      </c>
      <c r="G81" s="130">
        <f t="shared" si="5"/>
        <v>0.01</v>
      </c>
      <c r="H81" s="129">
        <v>150000</v>
      </c>
      <c r="I81" s="159">
        <f t="shared" si="6"/>
        <v>16000</v>
      </c>
      <c r="J81" s="131">
        <f t="shared" si="7"/>
        <v>0.15</v>
      </c>
    </row>
    <row r="82" spans="1:10" x14ac:dyDescent="0.25">
      <c r="A82" s="126">
        <v>43466</v>
      </c>
      <c r="B82" s="127">
        <v>43543</v>
      </c>
      <c r="C82" s="128">
        <f t="shared" si="1"/>
        <v>300</v>
      </c>
      <c r="D82" s="159">
        <f t="shared" si="2"/>
        <v>68000</v>
      </c>
      <c r="E82" s="130">
        <f t="shared" si="3"/>
        <v>2.5000000000000001E-2</v>
      </c>
      <c r="F82" s="129">
        <f t="shared" si="4"/>
        <v>120000</v>
      </c>
      <c r="G82" s="130">
        <f t="shared" si="5"/>
        <v>0.01</v>
      </c>
      <c r="H82" s="129">
        <v>150000</v>
      </c>
      <c r="I82" s="159">
        <f t="shared" si="6"/>
        <v>16000</v>
      </c>
      <c r="J82" s="131">
        <f t="shared" si="7"/>
        <v>0.15</v>
      </c>
    </row>
    <row r="83" spans="1:10" ht="15.75" thickBot="1" x14ac:dyDescent="0.3">
      <c r="A83" s="132">
        <v>43544</v>
      </c>
      <c r="B83" s="133">
        <v>43646</v>
      </c>
      <c r="C83" s="134">
        <f t="shared" si="1"/>
        <v>300</v>
      </c>
      <c r="D83" s="160">
        <f t="shared" si="2"/>
        <v>68000</v>
      </c>
      <c r="E83" s="136">
        <f t="shared" si="3"/>
        <v>2.5000000000000001E-2</v>
      </c>
      <c r="F83" s="135">
        <f t="shared" si="4"/>
        <v>120000</v>
      </c>
      <c r="G83" s="136">
        <f t="shared" si="5"/>
        <v>0.01</v>
      </c>
      <c r="H83" s="135">
        <v>150000</v>
      </c>
      <c r="I83" s="160">
        <f t="shared" si="6"/>
        <v>16000</v>
      </c>
      <c r="J83" s="137">
        <f t="shared" si="7"/>
        <v>0.15</v>
      </c>
    </row>
    <row r="84" spans="1:10" x14ac:dyDescent="0.25">
      <c r="A84" s="153">
        <v>43647</v>
      </c>
      <c r="B84" s="154">
        <v>43727</v>
      </c>
      <c r="C84" s="155">
        <f t="shared" si="1"/>
        <v>300</v>
      </c>
      <c r="D84" s="156">
        <f t="shared" si="2"/>
        <v>68000</v>
      </c>
      <c r="E84" s="157">
        <f t="shared" si="3"/>
        <v>2.5000000000000001E-2</v>
      </c>
      <c r="F84" s="158">
        <f t="shared" si="4"/>
        <v>120000</v>
      </c>
      <c r="G84" s="157">
        <f t="shared" si="5"/>
        <v>0.01</v>
      </c>
      <c r="H84" s="158">
        <v>150000</v>
      </c>
      <c r="I84" s="156">
        <f t="shared" si="6"/>
        <v>16000</v>
      </c>
      <c r="J84" s="704">
        <f t="shared" si="7"/>
        <v>0.15</v>
      </c>
    </row>
    <row r="85" spans="1:10" x14ac:dyDescent="0.25">
      <c r="A85" s="126">
        <v>43728</v>
      </c>
      <c r="B85" s="127">
        <v>43830</v>
      </c>
      <c r="C85" s="128">
        <f t="shared" si="1"/>
        <v>300</v>
      </c>
      <c r="D85" s="159">
        <f t="shared" si="2"/>
        <v>68000</v>
      </c>
      <c r="E85" s="130">
        <f t="shared" si="3"/>
        <v>2.5000000000000001E-2</v>
      </c>
      <c r="F85" s="129">
        <f t="shared" si="4"/>
        <v>120000</v>
      </c>
      <c r="G85" s="130">
        <f t="shared" si="5"/>
        <v>0.01</v>
      </c>
      <c r="H85" s="129">
        <v>150000</v>
      </c>
      <c r="I85" s="159">
        <f t="shared" si="6"/>
        <v>16000</v>
      </c>
      <c r="J85" s="131">
        <f t="shared" si="7"/>
        <v>0.15</v>
      </c>
    </row>
    <row r="86" spans="1:10" x14ac:dyDescent="0.25">
      <c r="A86" s="126">
        <v>43831</v>
      </c>
      <c r="B86" s="127">
        <v>43909</v>
      </c>
      <c r="C86" s="128">
        <f t="shared" si="1"/>
        <v>300</v>
      </c>
      <c r="D86" s="159">
        <f t="shared" si="2"/>
        <v>68000</v>
      </c>
      <c r="E86" s="130">
        <f t="shared" si="3"/>
        <v>2.5000000000000001E-2</v>
      </c>
      <c r="F86" s="129">
        <f t="shared" si="4"/>
        <v>120000</v>
      </c>
      <c r="G86" s="130">
        <f t="shared" si="5"/>
        <v>0.01</v>
      </c>
      <c r="H86" s="129">
        <v>150000</v>
      </c>
      <c r="I86" s="159">
        <f t="shared" si="6"/>
        <v>16000</v>
      </c>
      <c r="J86" s="131">
        <f t="shared" si="7"/>
        <v>0.15</v>
      </c>
    </row>
    <row r="87" spans="1:10" ht="15.75" thickBot="1" x14ac:dyDescent="0.3">
      <c r="A87" s="132">
        <v>43910</v>
      </c>
      <c r="B87" s="133">
        <v>44012</v>
      </c>
      <c r="C87" s="134">
        <f t="shared" si="1"/>
        <v>300</v>
      </c>
      <c r="D87" s="160">
        <f t="shared" si="2"/>
        <v>68000</v>
      </c>
      <c r="E87" s="136">
        <f t="shared" si="3"/>
        <v>2.5000000000000001E-2</v>
      </c>
      <c r="F87" s="135">
        <f t="shared" si="4"/>
        <v>120000</v>
      </c>
      <c r="G87" s="136">
        <f t="shared" si="5"/>
        <v>0.01</v>
      </c>
      <c r="H87" s="135">
        <v>150000</v>
      </c>
      <c r="I87" s="160">
        <f t="shared" si="6"/>
        <v>16000</v>
      </c>
      <c r="J87" s="137">
        <f t="shared" si="7"/>
        <v>0.15</v>
      </c>
    </row>
    <row r="88" spans="1:10" x14ac:dyDescent="0.25">
      <c r="A88" s="153">
        <v>44013</v>
      </c>
      <c r="B88" s="154">
        <v>44093</v>
      </c>
      <c r="C88" s="155">
        <f t="shared" si="1"/>
        <v>300</v>
      </c>
      <c r="D88" s="156">
        <f t="shared" si="2"/>
        <v>68000</v>
      </c>
      <c r="E88" s="157">
        <f t="shared" si="3"/>
        <v>2.5000000000000001E-2</v>
      </c>
      <c r="F88" s="158">
        <f t="shared" si="4"/>
        <v>120000</v>
      </c>
      <c r="G88" s="157">
        <f t="shared" si="5"/>
        <v>0.01</v>
      </c>
      <c r="H88" s="158">
        <v>150000</v>
      </c>
      <c r="I88" s="156">
        <f t="shared" si="6"/>
        <v>16000</v>
      </c>
      <c r="J88" s="704">
        <f t="shared" si="7"/>
        <v>0.15</v>
      </c>
    </row>
    <row r="89" spans="1:10" x14ac:dyDescent="0.25">
      <c r="A89" s="126">
        <v>44094</v>
      </c>
      <c r="B89" s="127">
        <v>44196</v>
      </c>
      <c r="C89" s="128">
        <f t="shared" si="1"/>
        <v>300</v>
      </c>
      <c r="D89" s="159">
        <f t="shared" si="2"/>
        <v>68000</v>
      </c>
      <c r="E89" s="130">
        <f t="shared" si="3"/>
        <v>2.5000000000000001E-2</v>
      </c>
      <c r="F89" s="129">
        <f t="shared" si="4"/>
        <v>120000</v>
      </c>
      <c r="G89" s="130">
        <f t="shared" si="5"/>
        <v>0.01</v>
      </c>
      <c r="H89" s="129">
        <v>150000</v>
      </c>
      <c r="I89" s="159">
        <f t="shared" si="6"/>
        <v>16000</v>
      </c>
      <c r="J89" s="131">
        <f t="shared" si="7"/>
        <v>0.15</v>
      </c>
    </row>
    <row r="90" spans="1:10" x14ac:dyDescent="0.25">
      <c r="A90" s="126">
        <v>44197</v>
      </c>
      <c r="B90" s="127">
        <v>44274</v>
      </c>
      <c r="C90" s="128">
        <f t="shared" si="1"/>
        <v>300</v>
      </c>
      <c r="D90" s="159">
        <f t="shared" si="2"/>
        <v>68000</v>
      </c>
      <c r="E90" s="130">
        <f t="shared" si="3"/>
        <v>2.5000000000000001E-2</v>
      </c>
      <c r="F90" s="129">
        <f t="shared" si="4"/>
        <v>120000</v>
      </c>
      <c r="G90" s="130">
        <f t="shared" si="5"/>
        <v>0.01</v>
      </c>
      <c r="H90" s="129">
        <v>150000</v>
      </c>
      <c r="I90" s="159">
        <f t="shared" si="6"/>
        <v>16000</v>
      </c>
      <c r="J90" s="131">
        <f t="shared" si="7"/>
        <v>0.15</v>
      </c>
    </row>
    <row r="91" spans="1:10" ht="15.75" thickBot="1" x14ac:dyDescent="0.3">
      <c r="A91" s="132">
        <v>44275</v>
      </c>
      <c r="B91" s="133">
        <v>44377</v>
      </c>
      <c r="C91" s="134">
        <f t="shared" si="1"/>
        <v>300</v>
      </c>
      <c r="D91" s="160">
        <f t="shared" si="2"/>
        <v>68000</v>
      </c>
      <c r="E91" s="136">
        <f t="shared" si="3"/>
        <v>2.5000000000000001E-2</v>
      </c>
      <c r="F91" s="135">
        <f t="shared" si="4"/>
        <v>120000</v>
      </c>
      <c r="G91" s="136">
        <f t="shared" si="5"/>
        <v>0.01</v>
      </c>
      <c r="H91" s="135">
        <v>150000</v>
      </c>
      <c r="I91" s="160">
        <f t="shared" si="6"/>
        <v>16000</v>
      </c>
      <c r="J91" s="137">
        <f t="shared" si="7"/>
        <v>0.15</v>
      </c>
    </row>
    <row r="92" spans="1:10" x14ac:dyDescent="0.25">
      <c r="C92"/>
      <c r="D92"/>
      <c r="E92"/>
      <c r="F92"/>
      <c r="G92"/>
      <c r="H92"/>
      <c r="I92"/>
      <c r="J92"/>
    </row>
  </sheetData>
  <customSheetViews>
    <customSheetView guid="{E49C2F27-B0B9-497E-BEC0-5B59561292FE}">
      <pane xSplit="2" ySplit="7" topLeftCell="C62" activePane="bottomRight" state="frozen"/>
      <selection pane="bottomRight" activeCell="A69" sqref="A69:J69"/>
      <pageMargins left="0.7" right="0.7" top="0.75" bottom="0.75" header="0.3" footer="0.3"/>
      <pageSetup paperSize="9" orientation="portrait" r:id="rId1"/>
    </customSheetView>
    <customSheetView guid="{A5953138-1481-4137-BEAD-32FA4FDF03E6}">
      <pane xSplit="2" ySplit="7" topLeftCell="C62" activePane="bottomRight" state="frozen"/>
      <selection pane="bottomRight" activeCell="A69" sqref="A69:J69"/>
      <pageMargins left="0.7" right="0.7" top="0.75" bottom="0.75" header="0.3" footer="0.3"/>
      <pageSetup paperSize="9" orientation="portrait" r:id="rId2"/>
    </customSheetView>
    <customSheetView guid="{2A1F94CA-1A34-4418-88FD-EABF7586C2B2}">
      <pane xSplit="2" ySplit="7" topLeftCell="C62" activePane="bottomRight" state="frozen"/>
      <selection pane="bottomRight" activeCell="A69" sqref="A69:J69"/>
      <pageMargins left="0.7" right="0.7" top="0.75" bottom="0.75" header="0.3" footer="0.3"/>
      <pageSetup paperSize="9" orientation="portrait" r:id="rId3"/>
    </customSheetView>
  </customSheetViews>
  <mergeCells count="14">
    <mergeCell ref="A2:B3"/>
    <mergeCell ref="A4:A6"/>
    <mergeCell ref="B4:B6"/>
    <mergeCell ref="C2:C6"/>
    <mergeCell ref="D1:J1"/>
    <mergeCell ref="J3:J6"/>
    <mergeCell ref="D2:G2"/>
    <mergeCell ref="D3:D6"/>
    <mergeCell ref="E3:E6"/>
    <mergeCell ref="F3:F6"/>
    <mergeCell ref="G3:G6"/>
    <mergeCell ref="I3:I6"/>
    <mergeCell ref="H3:H6"/>
    <mergeCell ref="I2:J2"/>
  </mergeCells>
  <pageMargins left="0.7" right="0.7" top="0.75" bottom="0.75" header="0.3" footer="0.3"/>
  <pageSetup paperSize="9" orientation="portrait" r:id="rId4"/>
  <legacyDrawing r:id="rId5"/>
</worksheet>
</file>

<file path=xl/worksheets/sheet5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200-000000000000}">
  <sheetPr codeName="Sheet40">
    <tabColor theme="9"/>
  </sheetPr>
  <dimension ref="A1:J28"/>
  <sheetViews>
    <sheetView workbookViewId="0">
      <pane xSplit="2" ySplit="7" topLeftCell="C8" activePane="bottomRight" state="frozen"/>
      <selection pane="topRight" activeCell="C1" sqref="C1"/>
      <selection pane="bottomLeft" activeCell="A8" sqref="A8"/>
      <selection pane="bottomRight" activeCell="A29" sqref="A29:XFD58"/>
    </sheetView>
  </sheetViews>
  <sheetFormatPr defaultRowHeight="15" x14ac:dyDescent="0.25"/>
  <cols>
    <col min="1" max="1" width="11.5703125" style="25" customWidth="1"/>
    <col min="2" max="2" width="12" style="25" customWidth="1"/>
    <col min="3" max="7" width="20.7109375" style="25" customWidth="1"/>
    <col min="8" max="8" width="20.7109375" style="684" customWidth="1"/>
    <col min="9" max="10" width="20.7109375" style="25" customWidth="1"/>
    <col min="11" max="16384" width="9.140625" style="25"/>
  </cols>
  <sheetData>
    <row r="1" spans="1:10" ht="15.75" thickBot="1" x14ac:dyDescent="0.3">
      <c r="A1" s="115"/>
      <c r="B1" s="36"/>
      <c r="C1" s="116" t="s">
        <v>67</v>
      </c>
      <c r="D1" s="1149" t="s">
        <v>24</v>
      </c>
      <c r="E1" s="1150"/>
      <c r="F1" s="1150"/>
      <c r="G1" s="1150"/>
      <c r="H1" s="1150"/>
      <c r="I1" s="1150"/>
      <c r="J1" s="1151"/>
    </row>
    <row r="2" spans="1:10" ht="15.75" thickBot="1" x14ac:dyDescent="0.3">
      <c r="A2" s="1200" t="s">
        <v>13</v>
      </c>
      <c r="B2" s="1201"/>
      <c r="C2" s="1486" t="s">
        <v>60</v>
      </c>
      <c r="D2" s="1491" t="s">
        <v>61</v>
      </c>
      <c r="E2" s="1492"/>
      <c r="F2" s="1492"/>
      <c r="G2" s="1492"/>
      <c r="H2" s="692"/>
      <c r="I2" s="1497" t="s">
        <v>62</v>
      </c>
      <c r="J2" s="1498"/>
    </row>
    <row r="3" spans="1:10" ht="15" customHeight="1" x14ac:dyDescent="0.25">
      <c r="A3" s="1202"/>
      <c r="B3" s="1203"/>
      <c r="C3" s="1487"/>
      <c r="D3" s="1465" t="s">
        <v>63</v>
      </c>
      <c r="E3" s="1467" t="s">
        <v>64</v>
      </c>
      <c r="F3" s="1467" t="s">
        <v>65</v>
      </c>
      <c r="G3" s="1467" t="s">
        <v>66</v>
      </c>
      <c r="H3" s="1494" t="s">
        <v>481</v>
      </c>
      <c r="I3" s="1464" t="s">
        <v>239</v>
      </c>
      <c r="J3" s="1489" t="s">
        <v>66</v>
      </c>
    </row>
    <row r="4" spans="1:10" x14ac:dyDescent="0.25">
      <c r="A4" s="1465" t="s">
        <v>16</v>
      </c>
      <c r="B4" s="1470" t="s">
        <v>17</v>
      </c>
      <c r="C4" s="1487"/>
      <c r="D4" s="1465"/>
      <c r="E4" s="1467"/>
      <c r="F4" s="1467"/>
      <c r="G4" s="1467"/>
      <c r="H4" s="1495"/>
      <c r="I4" s="1465"/>
      <c r="J4" s="1470"/>
    </row>
    <row r="5" spans="1:10" x14ac:dyDescent="0.25">
      <c r="A5" s="1465"/>
      <c r="B5" s="1470"/>
      <c r="C5" s="1487"/>
      <c r="D5" s="1465"/>
      <c r="E5" s="1467"/>
      <c r="F5" s="1467"/>
      <c r="G5" s="1467"/>
      <c r="H5" s="1495"/>
      <c r="I5" s="1465"/>
      <c r="J5" s="1470"/>
    </row>
    <row r="6" spans="1:10" ht="15.75" thickBot="1" x14ac:dyDescent="0.3">
      <c r="A6" s="1465"/>
      <c r="B6" s="1470"/>
      <c r="C6" s="1488"/>
      <c r="D6" s="1466"/>
      <c r="E6" s="1493"/>
      <c r="F6" s="1493"/>
      <c r="G6" s="1493"/>
      <c r="H6" s="1496"/>
      <c r="I6" s="1466"/>
      <c r="J6" s="1490"/>
    </row>
    <row r="7" spans="1:10" ht="15.75" thickBot="1" x14ac:dyDescent="0.3">
      <c r="A7" s="713" t="s">
        <v>550</v>
      </c>
      <c r="B7" s="714" t="s">
        <v>551</v>
      </c>
      <c r="C7" s="326" t="s">
        <v>467</v>
      </c>
      <c r="D7" s="303" t="s">
        <v>468</v>
      </c>
      <c r="E7" s="306" t="s">
        <v>469</v>
      </c>
      <c r="F7" s="306" t="s">
        <v>470</v>
      </c>
      <c r="G7" s="306" t="s">
        <v>471</v>
      </c>
      <c r="H7" s="312" t="s">
        <v>466</v>
      </c>
      <c r="I7" s="313" t="s">
        <v>472</v>
      </c>
      <c r="J7" s="314" t="s">
        <v>473</v>
      </c>
    </row>
    <row r="8" spans="1:10" x14ac:dyDescent="0.25">
      <c r="A8" s="161">
        <v>36708</v>
      </c>
      <c r="B8" s="162">
        <v>37072</v>
      </c>
      <c r="C8" s="586"/>
      <c r="D8" s="145"/>
      <c r="E8" s="124"/>
      <c r="F8" s="123"/>
      <c r="G8" s="124"/>
      <c r="H8" s="123"/>
      <c r="I8" s="145"/>
      <c r="J8" s="125"/>
    </row>
    <row r="9" spans="1:10" x14ac:dyDescent="0.25">
      <c r="A9" s="163">
        <v>37073</v>
      </c>
      <c r="B9" s="164">
        <v>37437</v>
      </c>
      <c r="C9" s="586"/>
      <c r="D9" s="145"/>
      <c r="E9" s="124"/>
      <c r="F9" s="123"/>
      <c r="G9" s="124"/>
      <c r="H9" s="123"/>
      <c r="I9" s="145"/>
      <c r="J9" s="125"/>
    </row>
    <row r="10" spans="1:10" x14ac:dyDescent="0.25">
      <c r="A10" s="163">
        <v>37438</v>
      </c>
      <c r="B10" s="164">
        <v>37802</v>
      </c>
      <c r="C10" s="586"/>
      <c r="D10" s="145"/>
      <c r="E10" s="124"/>
      <c r="F10" s="123"/>
      <c r="G10" s="124"/>
      <c r="H10" s="123"/>
      <c r="I10" s="145"/>
      <c r="J10" s="125"/>
    </row>
    <row r="11" spans="1:10" x14ac:dyDescent="0.25">
      <c r="A11" s="163">
        <v>37803</v>
      </c>
      <c r="B11" s="164">
        <v>38168</v>
      </c>
      <c r="C11" s="586"/>
      <c r="D11" s="145"/>
      <c r="E11" s="124"/>
      <c r="F11" s="123"/>
      <c r="G11" s="124"/>
      <c r="H11" s="123"/>
      <c r="I11" s="145"/>
      <c r="J11" s="125"/>
    </row>
    <row r="12" spans="1:10" x14ac:dyDescent="0.25">
      <c r="A12" s="163">
        <v>38169</v>
      </c>
      <c r="B12" s="164">
        <v>38533</v>
      </c>
      <c r="C12" s="586"/>
      <c r="D12" s="145"/>
      <c r="E12" s="124"/>
      <c r="F12" s="123"/>
      <c r="G12" s="124"/>
      <c r="H12" s="123"/>
      <c r="I12" s="145"/>
      <c r="J12" s="125"/>
    </row>
    <row r="13" spans="1:10" x14ac:dyDescent="0.25">
      <c r="A13" s="163">
        <v>38534</v>
      </c>
      <c r="B13" s="164">
        <v>38898</v>
      </c>
      <c r="C13" s="586"/>
      <c r="D13" s="145"/>
      <c r="E13" s="124"/>
      <c r="F13" s="123"/>
      <c r="G13" s="124"/>
      <c r="H13" s="123"/>
      <c r="I13" s="145"/>
      <c r="J13" s="125"/>
    </row>
    <row r="14" spans="1:10" x14ac:dyDescent="0.25">
      <c r="A14" s="163">
        <v>38899</v>
      </c>
      <c r="B14" s="164">
        <v>39263</v>
      </c>
      <c r="C14" s="586"/>
      <c r="D14" s="145"/>
      <c r="E14" s="124"/>
      <c r="F14" s="123"/>
      <c r="G14" s="124"/>
      <c r="H14" s="123"/>
      <c r="I14" s="145"/>
      <c r="J14" s="125"/>
    </row>
    <row r="15" spans="1:10" x14ac:dyDescent="0.25">
      <c r="A15" s="163">
        <v>39264</v>
      </c>
      <c r="B15" s="164">
        <v>39629</v>
      </c>
      <c r="C15" s="586"/>
      <c r="D15" s="145"/>
      <c r="E15" s="124"/>
      <c r="F15" s="123"/>
      <c r="G15" s="124"/>
      <c r="H15" s="123"/>
      <c r="I15" s="145"/>
      <c r="J15" s="125"/>
    </row>
    <row r="16" spans="1:10" x14ac:dyDescent="0.25">
      <c r="A16" s="163">
        <v>39630</v>
      </c>
      <c r="B16" s="164">
        <v>39994</v>
      </c>
      <c r="C16" s="586"/>
      <c r="D16" s="145"/>
      <c r="E16" s="124"/>
      <c r="F16" s="123"/>
      <c r="G16" s="124"/>
      <c r="H16" s="123"/>
      <c r="I16" s="145"/>
      <c r="J16" s="125"/>
    </row>
    <row r="17" spans="1:10" x14ac:dyDescent="0.25">
      <c r="A17" s="576">
        <v>39995</v>
      </c>
      <c r="B17" s="577">
        <v>40359</v>
      </c>
      <c r="C17" s="586"/>
      <c r="D17" s="145"/>
      <c r="E17" s="124"/>
      <c r="F17" s="123"/>
      <c r="G17" s="124"/>
      <c r="H17" s="123"/>
      <c r="I17" s="145"/>
      <c r="J17" s="125"/>
    </row>
    <row r="18" spans="1:10" x14ac:dyDescent="0.25">
      <c r="A18" s="163">
        <v>40360</v>
      </c>
      <c r="B18" s="164">
        <v>40724</v>
      </c>
      <c r="C18" s="586"/>
      <c r="D18" s="145"/>
      <c r="E18" s="124"/>
      <c r="F18" s="123"/>
      <c r="G18" s="124"/>
      <c r="H18" s="123"/>
      <c r="I18" s="145"/>
      <c r="J18" s="125"/>
    </row>
    <row r="19" spans="1:10" x14ac:dyDescent="0.25">
      <c r="A19" s="576">
        <v>40725</v>
      </c>
      <c r="B19" s="577">
        <v>41090</v>
      </c>
      <c r="C19" s="586">
        <v>0</v>
      </c>
      <c r="D19" s="145">
        <v>0</v>
      </c>
      <c r="E19" s="124">
        <v>0</v>
      </c>
      <c r="F19" s="123">
        <v>0</v>
      </c>
      <c r="G19" s="124">
        <v>0</v>
      </c>
      <c r="H19" s="123">
        <v>0</v>
      </c>
      <c r="I19" s="145">
        <v>0</v>
      </c>
      <c r="J19" s="125">
        <v>0</v>
      </c>
    </row>
    <row r="20" spans="1:10" s="26" customFormat="1" x14ac:dyDescent="0.25">
      <c r="A20" s="576">
        <v>41091</v>
      </c>
      <c r="B20" s="577">
        <v>41455</v>
      </c>
      <c r="C20" s="586">
        <v>300</v>
      </c>
      <c r="D20" s="145">
        <v>68000</v>
      </c>
      <c r="E20" s="124">
        <v>2.5000000000000001E-2</v>
      </c>
      <c r="F20" s="123">
        <v>120000</v>
      </c>
      <c r="G20" s="124">
        <v>0.01</v>
      </c>
      <c r="H20" s="123">
        <v>150000</v>
      </c>
      <c r="I20" s="145">
        <v>16000</v>
      </c>
      <c r="J20" s="125">
        <v>0.15</v>
      </c>
    </row>
    <row r="21" spans="1:10" x14ac:dyDescent="0.25">
      <c r="A21" s="576">
        <v>41456</v>
      </c>
      <c r="B21" s="577">
        <v>41820</v>
      </c>
      <c r="C21" s="586">
        <v>300</v>
      </c>
      <c r="D21" s="578">
        <v>68000</v>
      </c>
      <c r="E21" s="593">
        <v>2.5000000000000001E-2</v>
      </c>
      <c r="F21" s="585">
        <v>120000</v>
      </c>
      <c r="G21" s="593">
        <v>0.01</v>
      </c>
      <c r="H21" s="585">
        <v>150000</v>
      </c>
      <c r="I21" s="578">
        <v>16000</v>
      </c>
      <c r="J21" s="700">
        <v>0.15</v>
      </c>
    </row>
    <row r="22" spans="1:10" s="26" customFormat="1" x14ac:dyDescent="0.25">
      <c r="A22" s="576">
        <v>41821</v>
      </c>
      <c r="B22" s="577">
        <v>42185</v>
      </c>
      <c r="C22" s="586">
        <v>300</v>
      </c>
      <c r="D22" s="578">
        <v>68000</v>
      </c>
      <c r="E22" s="593">
        <v>2.5000000000000001E-2</v>
      </c>
      <c r="F22" s="585">
        <v>120000</v>
      </c>
      <c r="G22" s="593">
        <v>0.01</v>
      </c>
      <c r="H22" s="585">
        <v>150000</v>
      </c>
      <c r="I22" s="578">
        <v>16000</v>
      </c>
      <c r="J22" s="700">
        <v>0.15</v>
      </c>
    </row>
    <row r="23" spans="1:10" x14ac:dyDescent="0.25">
      <c r="A23" s="576">
        <v>42186</v>
      </c>
      <c r="B23" s="577">
        <v>42551</v>
      </c>
      <c r="C23" s="586">
        <v>300</v>
      </c>
      <c r="D23" s="578">
        <v>68000</v>
      </c>
      <c r="E23" s="593">
        <v>2.5000000000000001E-2</v>
      </c>
      <c r="F23" s="585">
        <v>120000</v>
      </c>
      <c r="G23" s="593">
        <v>0.01</v>
      </c>
      <c r="H23" s="585">
        <v>150000</v>
      </c>
      <c r="I23" s="578">
        <v>16000</v>
      </c>
      <c r="J23" s="700">
        <v>0.15</v>
      </c>
    </row>
    <row r="24" spans="1:10" x14ac:dyDescent="0.25">
      <c r="A24" s="576">
        <v>42552</v>
      </c>
      <c r="B24" s="577">
        <v>42916</v>
      </c>
      <c r="C24" s="586">
        <f t="shared" ref="C24:J28" si="0">AnnualAverage($A24,C$7,SIFSParms,SIFSDates,SIFSNames)</f>
        <v>300</v>
      </c>
      <c r="D24" s="578">
        <f t="shared" si="0"/>
        <v>68000</v>
      </c>
      <c r="E24" s="593">
        <f t="shared" si="0"/>
        <v>2.5000000000000001E-2</v>
      </c>
      <c r="F24" s="585">
        <f t="shared" si="0"/>
        <v>120000</v>
      </c>
      <c r="G24" s="593">
        <f t="shared" si="0"/>
        <v>0.01</v>
      </c>
      <c r="H24" s="585">
        <f t="shared" si="0"/>
        <v>150000</v>
      </c>
      <c r="I24" s="578">
        <f t="shared" si="0"/>
        <v>16000</v>
      </c>
      <c r="J24" s="700">
        <f t="shared" si="0"/>
        <v>0.15</v>
      </c>
    </row>
    <row r="25" spans="1:10" x14ac:dyDescent="0.25">
      <c r="A25" s="126">
        <v>42917</v>
      </c>
      <c r="B25" s="127">
        <v>43281</v>
      </c>
      <c r="C25" s="128">
        <f t="shared" si="0"/>
        <v>300</v>
      </c>
      <c r="D25" s="159">
        <f t="shared" si="0"/>
        <v>68000</v>
      </c>
      <c r="E25" s="130">
        <f t="shared" si="0"/>
        <v>2.5000000000000001E-2</v>
      </c>
      <c r="F25" s="129">
        <f t="shared" si="0"/>
        <v>120000</v>
      </c>
      <c r="G25" s="130">
        <f t="shared" si="0"/>
        <v>0.01</v>
      </c>
      <c r="H25" s="129">
        <f t="shared" si="0"/>
        <v>150000</v>
      </c>
      <c r="I25" s="159">
        <f t="shared" si="0"/>
        <v>16000</v>
      </c>
      <c r="J25" s="131">
        <f t="shared" si="0"/>
        <v>0.15</v>
      </c>
    </row>
    <row r="26" spans="1:10" x14ac:dyDescent="0.25">
      <c r="A26" s="126">
        <v>43282</v>
      </c>
      <c r="B26" s="127">
        <v>43646</v>
      </c>
      <c r="C26" s="128">
        <f t="shared" si="0"/>
        <v>300</v>
      </c>
      <c r="D26" s="159">
        <f t="shared" si="0"/>
        <v>68000</v>
      </c>
      <c r="E26" s="130">
        <f t="shared" si="0"/>
        <v>2.5000000000000001E-2</v>
      </c>
      <c r="F26" s="129">
        <f t="shared" si="0"/>
        <v>120000</v>
      </c>
      <c r="G26" s="130">
        <f t="shared" si="0"/>
        <v>0.01</v>
      </c>
      <c r="H26" s="129">
        <f t="shared" si="0"/>
        <v>150000</v>
      </c>
      <c r="I26" s="159">
        <f t="shared" si="0"/>
        <v>16000</v>
      </c>
      <c r="J26" s="131">
        <f t="shared" si="0"/>
        <v>0.15</v>
      </c>
    </row>
    <row r="27" spans="1:10" x14ac:dyDescent="0.25">
      <c r="A27" s="126">
        <v>43647</v>
      </c>
      <c r="B27" s="127">
        <v>44012</v>
      </c>
      <c r="C27" s="128">
        <f t="shared" si="0"/>
        <v>300</v>
      </c>
      <c r="D27" s="159">
        <f t="shared" si="0"/>
        <v>68000</v>
      </c>
      <c r="E27" s="130">
        <f t="shared" si="0"/>
        <v>2.5000000000000001E-2</v>
      </c>
      <c r="F27" s="129">
        <f t="shared" si="0"/>
        <v>120000</v>
      </c>
      <c r="G27" s="130">
        <f t="shared" si="0"/>
        <v>0.01</v>
      </c>
      <c r="H27" s="129">
        <f t="shared" si="0"/>
        <v>150000</v>
      </c>
      <c r="I27" s="159">
        <f t="shared" si="0"/>
        <v>16000</v>
      </c>
      <c r="J27" s="131">
        <f t="shared" si="0"/>
        <v>0.15</v>
      </c>
    </row>
    <row r="28" spans="1:10" x14ac:dyDescent="0.25">
      <c r="A28" s="126">
        <v>44013</v>
      </c>
      <c r="B28" s="127">
        <v>44377</v>
      </c>
      <c r="C28" s="128">
        <f t="shared" si="0"/>
        <v>300</v>
      </c>
      <c r="D28" s="159">
        <f t="shared" si="0"/>
        <v>68000</v>
      </c>
      <c r="E28" s="130">
        <f t="shared" si="0"/>
        <v>2.5000000000000001E-2</v>
      </c>
      <c r="F28" s="129">
        <f t="shared" si="0"/>
        <v>120000</v>
      </c>
      <c r="G28" s="130">
        <f t="shared" si="0"/>
        <v>0.01</v>
      </c>
      <c r="H28" s="129">
        <f t="shared" si="0"/>
        <v>150000</v>
      </c>
      <c r="I28" s="159">
        <f t="shared" si="0"/>
        <v>16000</v>
      </c>
      <c r="J28" s="131">
        <f t="shared" si="0"/>
        <v>0.15</v>
      </c>
    </row>
  </sheetData>
  <customSheetViews>
    <customSheetView guid="{E49C2F27-B0B9-497E-BEC0-5B59561292FE}">
      <pane xSplit="2" ySplit="7" topLeftCell="C8" activePane="bottomRight" state="frozen"/>
      <selection pane="bottomRight" activeCell="F27" sqref="F27"/>
      <pageMargins left="0.7" right="0.7" top="0.75" bottom="0.75" header="0.3" footer="0.3"/>
      <pageSetup paperSize="9" orientation="portrait" r:id="rId1"/>
    </customSheetView>
    <customSheetView guid="{A5953138-1481-4137-BEAD-32FA4FDF03E6}">
      <pane xSplit="2" ySplit="7" topLeftCell="C8" activePane="bottomRight" state="frozen"/>
      <selection pane="bottomRight" activeCell="F27" sqref="F27"/>
      <pageMargins left="0.7" right="0.7" top="0.75" bottom="0.75" header="0.3" footer="0.3"/>
      <pageSetup paperSize="9" orientation="portrait" r:id="rId2"/>
    </customSheetView>
    <customSheetView guid="{2A1F94CA-1A34-4418-88FD-EABF7586C2B2}">
      <pane xSplit="2" ySplit="7" topLeftCell="C8" activePane="bottomRight" state="frozen"/>
      <selection pane="bottomRight" activeCell="F27" sqref="F27"/>
      <pageMargins left="0.7" right="0.7" top="0.75" bottom="0.75" header="0.3" footer="0.3"/>
      <pageSetup paperSize="9" orientation="portrait" r:id="rId3"/>
    </customSheetView>
  </customSheetViews>
  <mergeCells count="14">
    <mergeCell ref="D1:J1"/>
    <mergeCell ref="D2:G2"/>
    <mergeCell ref="A2:B3"/>
    <mergeCell ref="C2:C6"/>
    <mergeCell ref="D3:D6"/>
    <mergeCell ref="E3:E6"/>
    <mergeCell ref="H3:H6"/>
    <mergeCell ref="I2:J2"/>
    <mergeCell ref="I3:I6"/>
    <mergeCell ref="J3:J6"/>
    <mergeCell ref="A4:A6"/>
    <mergeCell ref="B4:B6"/>
    <mergeCell ref="F3:F6"/>
    <mergeCell ref="G3:G6"/>
  </mergeCells>
  <pageMargins left="0.7" right="0.7" top="0.75" bottom="0.75" header="0.3" footer="0.3"/>
  <pageSetup paperSize="9" orientation="portrait" r:id="rId4"/>
  <legacyDrawing r:id="rId5"/>
</worksheet>
</file>

<file path=xl/worksheets/sheet5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300-000000000000}">
  <sheetPr codeName="Sheet49">
    <tabColor rgb="FFFFFF00"/>
  </sheetPr>
  <dimension ref="A1:W29"/>
  <sheetViews>
    <sheetView workbookViewId="0">
      <selection activeCell="L37" sqref="L37"/>
    </sheetView>
  </sheetViews>
  <sheetFormatPr defaultColWidth="15.7109375" defaultRowHeight="15" x14ac:dyDescent="0.25"/>
  <cols>
    <col min="1" max="1" width="15.7109375" style="28"/>
    <col min="3" max="3" width="15.7109375" style="697"/>
    <col min="4" max="16384" width="15.7109375" style="28"/>
  </cols>
  <sheetData>
    <row r="1" spans="1:11" ht="67.5" customHeight="1" thickBot="1" x14ac:dyDescent="0.3">
      <c r="A1" s="1215" t="s">
        <v>563</v>
      </c>
      <c r="B1" s="1236"/>
      <c r="C1" s="685" t="s">
        <v>491</v>
      </c>
      <c r="D1" s="96" t="s">
        <v>294</v>
      </c>
      <c r="E1" s="97" t="s">
        <v>76</v>
      </c>
      <c r="F1" s="96" t="s">
        <v>77</v>
      </c>
      <c r="G1" s="97" t="s">
        <v>78</v>
      </c>
      <c r="H1" s="96" t="s">
        <v>79</v>
      </c>
      <c r="I1" s="97" t="s">
        <v>80</v>
      </c>
      <c r="J1" s="96" t="s">
        <v>81</v>
      </c>
      <c r="K1" s="97" t="s">
        <v>82</v>
      </c>
    </row>
    <row r="2" spans="1:11" s="502" customFormat="1" ht="18" hidden="1" customHeight="1" thickBot="1" x14ac:dyDescent="0.3">
      <c r="A2" s="655"/>
      <c r="C2" s="685"/>
      <c r="D2" s="655"/>
      <c r="E2" s="656"/>
      <c r="F2" s="655"/>
      <c r="G2" s="656"/>
      <c r="H2" s="655"/>
      <c r="I2" s="656"/>
      <c r="J2" s="655"/>
      <c r="K2" s="656"/>
    </row>
    <row r="3" spans="1:11" s="502" customFormat="1" ht="18" hidden="1" customHeight="1" thickBot="1" x14ac:dyDescent="0.3">
      <c r="A3" s="655"/>
      <c r="C3" s="685"/>
      <c r="D3" s="655"/>
      <c r="E3" s="656"/>
      <c r="F3" s="655"/>
      <c r="G3" s="656"/>
      <c r="H3" s="655"/>
      <c r="I3" s="656"/>
      <c r="J3" s="655"/>
      <c r="K3" s="656"/>
    </row>
    <row r="4" spans="1:11" s="502" customFormat="1" ht="18" hidden="1" customHeight="1" thickBot="1" x14ac:dyDescent="0.3">
      <c r="A4" s="655"/>
      <c r="C4" s="685"/>
      <c r="D4" s="655"/>
      <c r="E4" s="656"/>
      <c r="F4" s="655"/>
      <c r="G4" s="656"/>
      <c r="H4" s="655"/>
      <c r="I4" s="656"/>
      <c r="J4" s="655"/>
      <c r="K4" s="656"/>
    </row>
    <row r="5" spans="1:11" s="502" customFormat="1" ht="18" hidden="1" customHeight="1" thickBot="1" x14ac:dyDescent="0.3">
      <c r="A5" s="655"/>
      <c r="C5" s="685"/>
      <c r="D5" s="655"/>
      <c r="E5" s="656"/>
      <c r="F5" s="655"/>
      <c r="G5" s="656"/>
      <c r="H5" s="655"/>
      <c r="I5" s="656"/>
      <c r="J5" s="655"/>
      <c r="K5" s="656"/>
    </row>
    <row r="6" spans="1:11" s="502" customFormat="1" ht="18" hidden="1" customHeight="1" thickBot="1" x14ac:dyDescent="0.3">
      <c r="A6" s="655"/>
      <c r="C6" s="685"/>
      <c r="D6" s="655"/>
      <c r="E6" s="656"/>
      <c r="F6" s="655"/>
      <c r="G6" s="656"/>
      <c r="H6" s="655"/>
      <c r="I6" s="656"/>
      <c r="J6" s="655"/>
      <c r="K6" s="656"/>
    </row>
    <row r="7" spans="1:11" ht="15.75" thickBot="1" x14ac:dyDescent="0.3">
      <c r="A7" s="43" t="s">
        <v>550</v>
      </c>
      <c r="B7" s="43" t="s">
        <v>551</v>
      </c>
      <c r="C7" s="699" t="s">
        <v>490</v>
      </c>
      <c r="D7" s="303" t="s">
        <v>482</v>
      </c>
      <c r="E7" s="304" t="s">
        <v>483</v>
      </c>
      <c r="F7" s="303" t="s">
        <v>484</v>
      </c>
      <c r="G7" s="304" t="s">
        <v>485</v>
      </c>
      <c r="H7" s="303" t="s">
        <v>486</v>
      </c>
      <c r="I7" s="304" t="s">
        <v>487</v>
      </c>
      <c r="J7" s="303" t="s">
        <v>488</v>
      </c>
      <c r="K7" s="304" t="s">
        <v>489</v>
      </c>
    </row>
    <row r="8" spans="1:11" x14ac:dyDescent="0.25">
      <c r="A8" s="73">
        <v>36708</v>
      </c>
      <c r="B8" s="72">
        <v>37072</v>
      </c>
      <c r="C8" s="339">
        <v>4</v>
      </c>
      <c r="D8" s="17">
        <v>6000</v>
      </c>
      <c r="E8" s="384">
        <v>0.17</v>
      </c>
      <c r="F8" s="17">
        <v>20000</v>
      </c>
      <c r="G8" s="384">
        <v>0.3</v>
      </c>
      <c r="H8" s="17">
        <v>50000</v>
      </c>
      <c r="I8" s="384">
        <v>0.42</v>
      </c>
      <c r="J8" s="17">
        <v>60000</v>
      </c>
      <c r="K8" s="384">
        <v>0.47</v>
      </c>
    </row>
    <row r="9" spans="1:11" x14ac:dyDescent="0.25">
      <c r="A9" s="73">
        <v>37073</v>
      </c>
      <c r="B9" s="73">
        <v>37437</v>
      </c>
      <c r="C9" s="339">
        <v>4</v>
      </c>
      <c r="D9" s="17">
        <v>6000</v>
      </c>
      <c r="E9" s="384">
        <v>0.17</v>
      </c>
      <c r="F9" s="17">
        <v>20000</v>
      </c>
      <c r="G9" s="384">
        <v>0.3</v>
      </c>
      <c r="H9" s="17">
        <v>50000</v>
      </c>
      <c r="I9" s="384">
        <v>0.42</v>
      </c>
      <c r="J9" s="17">
        <v>60000</v>
      </c>
      <c r="K9" s="384">
        <v>0.47</v>
      </c>
    </row>
    <row r="10" spans="1:11" x14ac:dyDescent="0.25">
      <c r="A10" s="73">
        <v>37438</v>
      </c>
      <c r="B10" s="73">
        <v>37802</v>
      </c>
      <c r="C10" s="339">
        <v>4</v>
      </c>
      <c r="D10" s="17">
        <v>6000</v>
      </c>
      <c r="E10" s="384">
        <v>0.17</v>
      </c>
      <c r="F10" s="17">
        <v>20000</v>
      </c>
      <c r="G10" s="384">
        <v>0.3</v>
      </c>
      <c r="H10" s="17">
        <v>50000</v>
      </c>
      <c r="I10" s="384">
        <v>0.42</v>
      </c>
      <c r="J10" s="17">
        <v>60000</v>
      </c>
      <c r="K10" s="384">
        <v>0.47</v>
      </c>
    </row>
    <row r="11" spans="1:11" x14ac:dyDescent="0.25">
      <c r="A11" s="73">
        <v>37803</v>
      </c>
      <c r="B11" s="73">
        <v>38168</v>
      </c>
      <c r="C11" s="339">
        <v>4</v>
      </c>
      <c r="D11" s="17">
        <v>6000</v>
      </c>
      <c r="E11" s="384">
        <v>0.17</v>
      </c>
      <c r="F11" s="17">
        <v>21600</v>
      </c>
      <c r="G11" s="384">
        <v>0.3</v>
      </c>
      <c r="H11" s="17">
        <v>52000</v>
      </c>
      <c r="I11" s="384">
        <v>0.42</v>
      </c>
      <c r="J11" s="17">
        <v>62500</v>
      </c>
      <c r="K11" s="384">
        <v>0.47</v>
      </c>
    </row>
    <row r="12" spans="1:11" x14ac:dyDescent="0.25">
      <c r="A12" s="73">
        <v>38169</v>
      </c>
      <c r="B12" s="73">
        <v>38533</v>
      </c>
      <c r="C12" s="339">
        <v>4</v>
      </c>
      <c r="D12" s="17">
        <v>6000</v>
      </c>
      <c r="E12" s="384">
        <v>0.17</v>
      </c>
      <c r="F12" s="17">
        <v>21600</v>
      </c>
      <c r="G12" s="384">
        <v>0.3</v>
      </c>
      <c r="H12" s="17">
        <v>58000</v>
      </c>
      <c r="I12" s="384">
        <v>0.42</v>
      </c>
      <c r="J12" s="17">
        <v>70000</v>
      </c>
      <c r="K12" s="384">
        <v>0.47</v>
      </c>
    </row>
    <row r="13" spans="1:11" x14ac:dyDescent="0.25">
      <c r="A13" s="73">
        <v>38534</v>
      </c>
      <c r="B13" s="73">
        <v>38898</v>
      </c>
      <c r="C13" s="339">
        <v>4</v>
      </c>
      <c r="D13" s="17">
        <v>6000</v>
      </c>
      <c r="E13" s="384">
        <v>0.15</v>
      </c>
      <c r="F13" s="17">
        <v>21600</v>
      </c>
      <c r="G13" s="384">
        <v>0.3</v>
      </c>
      <c r="H13" s="17">
        <v>63000</v>
      </c>
      <c r="I13" s="384">
        <v>0.42</v>
      </c>
      <c r="J13" s="17">
        <v>95000</v>
      </c>
      <c r="K13" s="384">
        <v>0.47</v>
      </c>
    </row>
    <row r="14" spans="1:11" x14ac:dyDescent="0.25">
      <c r="A14" s="73">
        <v>38899</v>
      </c>
      <c r="B14" s="73">
        <v>39263</v>
      </c>
      <c r="C14" s="339">
        <v>4</v>
      </c>
      <c r="D14" s="17">
        <v>6000</v>
      </c>
      <c r="E14" s="384">
        <v>0.15</v>
      </c>
      <c r="F14" s="17">
        <v>25000</v>
      </c>
      <c r="G14" s="384">
        <v>0.3</v>
      </c>
      <c r="H14" s="17">
        <v>75000</v>
      </c>
      <c r="I14" s="384">
        <v>0.4</v>
      </c>
      <c r="J14" s="17">
        <v>150000</v>
      </c>
      <c r="K14" s="384">
        <v>0.45</v>
      </c>
    </row>
    <row r="15" spans="1:11" x14ac:dyDescent="0.25">
      <c r="A15" s="73">
        <v>39264</v>
      </c>
      <c r="B15" s="73">
        <v>39629</v>
      </c>
      <c r="C15" s="339">
        <v>4</v>
      </c>
      <c r="D15" s="17">
        <v>6000</v>
      </c>
      <c r="E15" s="384">
        <v>0.15</v>
      </c>
      <c r="F15" s="17">
        <v>30000</v>
      </c>
      <c r="G15" s="384">
        <v>0.3</v>
      </c>
      <c r="H15" s="17">
        <v>75000</v>
      </c>
      <c r="I15" s="384">
        <v>0.4</v>
      </c>
      <c r="J15" s="17">
        <v>150000</v>
      </c>
      <c r="K15" s="384">
        <f>K14</f>
        <v>0.45</v>
      </c>
    </row>
    <row r="16" spans="1:11" x14ac:dyDescent="0.25">
      <c r="A16" s="73">
        <v>39630</v>
      </c>
      <c r="B16" s="73">
        <v>39994</v>
      </c>
      <c r="C16" s="339">
        <v>4</v>
      </c>
      <c r="D16" s="17">
        <v>6000</v>
      </c>
      <c r="E16" s="384">
        <v>0.15</v>
      </c>
      <c r="F16" s="17">
        <v>34000</v>
      </c>
      <c r="G16" s="384">
        <v>0.3</v>
      </c>
      <c r="H16" s="17">
        <v>80000</v>
      </c>
      <c r="I16" s="384">
        <v>0.4</v>
      </c>
      <c r="J16" s="17">
        <v>180000</v>
      </c>
      <c r="K16" s="384">
        <f t="shared" ref="K16:K28" si="0">K15</f>
        <v>0.45</v>
      </c>
    </row>
    <row r="17" spans="1:23" x14ac:dyDescent="0.25">
      <c r="A17" s="73">
        <v>39995</v>
      </c>
      <c r="B17" s="73">
        <v>40359</v>
      </c>
      <c r="C17" s="339">
        <v>4</v>
      </c>
      <c r="D17" s="17">
        <v>6000</v>
      </c>
      <c r="E17" s="384">
        <v>0.15</v>
      </c>
      <c r="F17" s="17">
        <v>35000</v>
      </c>
      <c r="G17" s="384">
        <v>0.3</v>
      </c>
      <c r="H17" s="17">
        <f>H16</f>
        <v>80000</v>
      </c>
      <c r="I17" s="384">
        <v>0.38</v>
      </c>
      <c r="J17" s="17">
        <f>J16</f>
        <v>180000</v>
      </c>
      <c r="K17" s="384">
        <f t="shared" si="0"/>
        <v>0.45</v>
      </c>
    </row>
    <row r="18" spans="1:23" x14ac:dyDescent="0.25">
      <c r="A18" s="73">
        <v>40360</v>
      </c>
      <c r="B18" s="73">
        <v>40724</v>
      </c>
      <c r="C18" s="339">
        <v>4</v>
      </c>
      <c r="D18" s="17">
        <v>6000</v>
      </c>
      <c r="E18" s="384">
        <v>0.15</v>
      </c>
      <c r="F18" s="17">
        <v>37000</v>
      </c>
      <c r="G18" s="384">
        <v>0.3</v>
      </c>
      <c r="H18" s="17">
        <f t="shared" ref="H18:H28" si="1">H17</f>
        <v>80000</v>
      </c>
      <c r="I18" s="384">
        <v>0.37</v>
      </c>
      <c r="J18" s="17">
        <f t="shared" ref="J18:J28" si="2">J17</f>
        <v>180000</v>
      </c>
      <c r="K18" s="384">
        <f t="shared" si="0"/>
        <v>0.45</v>
      </c>
    </row>
    <row r="19" spans="1:23" x14ac:dyDescent="0.25">
      <c r="A19" s="73">
        <v>40725</v>
      </c>
      <c r="B19" s="73">
        <v>41090</v>
      </c>
      <c r="C19" s="339">
        <v>4</v>
      </c>
      <c r="D19" s="17">
        <v>6000</v>
      </c>
      <c r="E19" s="384">
        <v>0.15</v>
      </c>
      <c r="F19" s="17">
        <f>F18</f>
        <v>37000</v>
      </c>
      <c r="G19" s="384">
        <v>0.3</v>
      </c>
      <c r="H19" s="17">
        <f t="shared" si="1"/>
        <v>80000</v>
      </c>
      <c r="I19" s="384">
        <f>I18</f>
        <v>0.37</v>
      </c>
      <c r="J19" s="17">
        <f t="shared" si="2"/>
        <v>180000</v>
      </c>
      <c r="K19" s="384">
        <f t="shared" si="0"/>
        <v>0.45</v>
      </c>
    </row>
    <row r="20" spans="1:23" x14ac:dyDescent="0.25">
      <c r="A20" s="73">
        <v>41091</v>
      </c>
      <c r="B20" s="73">
        <v>41455</v>
      </c>
      <c r="C20" s="339">
        <v>4</v>
      </c>
      <c r="D20" s="17">
        <v>18200</v>
      </c>
      <c r="E20" s="384">
        <v>0.19</v>
      </c>
      <c r="F20" s="17">
        <f t="shared" ref="F20:G28" si="3">F19</f>
        <v>37000</v>
      </c>
      <c r="G20" s="384">
        <v>0.32500000000000001</v>
      </c>
      <c r="H20" s="17">
        <f t="shared" si="1"/>
        <v>80000</v>
      </c>
      <c r="I20" s="384">
        <f t="shared" ref="I20:I28" si="4">I19</f>
        <v>0.37</v>
      </c>
      <c r="J20" s="17">
        <f t="shared" si="2"/>
        <v>180000</v>
      </c>
      <c r="K20" s="384">
        <f t="shared" si="0"/>
        <v>0.45</v>
      </c>
    </row>
    <row r="21" spans="1:23" s="5" customFormat="1" x14ac:dyDescent="0.25">
      <c r="A21" s="394">
        <v>41456</v>
      </c>
      <c r="B21" s="394">
        <v>41820</v>
      </c>
      <c r="C21" s="494">
        <v>4</v>
      </c>
      <c r="D21" s="375">
        <f>D20</f>
        <v>18200</v>
      </c>
      <c r="E21" s="395">
        <f>E20</f>
        <v>0.19</v>
      </c>
      <c r="F21" s="375">
        <f t="shared" si="3"/>
        <v>37000</v>
      </c>
      <c r="G21" s="395">
        <f>G20</f>
        <v>0.32500000000000001</v>
      </c>
      <c r="H21" s="375">
        <f t="shared" si="1"/>
        <v>80000</v>
      </c>
      <c r="I21" s="395">
        <f t="shared" si="4"/>
        <v>0.37</v>
      </c>
      <c r="J21" s="375">
        <f t="shared" si="2"/>
        <v>180000</v>
      </c>
      <c r="K21" s="395">
        <f t="shared" si="0"/>
        <v>0.45</v>
      </c>
    </row>
    <row r="22" spans="1:23" x14ac:dyDescent="0.25">
      <c r="A22" s="394">
        <v>41821</v>
      </c>
      <c r="B22" s="394">
        <v>42185</v>
      </c>
      <c r="C22" s="494">
        <v>4</v>
      </c>
      <c r="D22" s="375">
        <f t="shared" ref="D22:D28" si="5">D21</f>
        <v>18200</v>
      </c>
      <c r="E22" s="395">
        <f t="shared" ref="E22:E28" si="6">E21</f>
        <v>0.19</v>
      </c>
      <c r="F22" s="375">
        <f t="shared" si="3"/>
        <v>37000</v>
      </c>
      <c r="G22" s="395">
        <f>G21</f>
        <v>0.32500000000000001</v>
      </c>
      <c r="H22" s="375">
        <f t="shared" si="1"/>
        <v>80000</v>
      </c>
      <c r="I22" s="395">
        <f t="shared" si="4"/>
        <v>0.37</v>
      </c>
      <c r="J22" s="375">
        <f t="shared" si="2"/>
        <v>180000</v>
      </c>
      <c r="K22" s="395">
        <f t="shared" si="0"/>
        <v>0.45</v>
      </c>
    </row>
    <row r="23" spans="1:23" s="5" customFormat="1" x14ac:dyDescent="0.25">
      <c r="A23" s="394">
        <v>42186</v>
      </c>
      <c r="B23" s="394">
        <v>42551</v>
      </c>
      <c r="C23" s="494">
        <v>4</v>
      </c>
      <c r="D23" s="375">
        <f t="shared" si="5"/>
        <v>18200</v>
      </c>
      <c r="E23" s="395">
        <f t="shared" si="6"/>
        <v>0.19</v>
      </c>
      <c r="F23" s="375">
        <f t="shared" si="3"/>
        <v>37000</v>
      </c>
      <c r="G23" s="395">
        <f t="shared" si="3"/>
        <v>0.32500000000000001</v>
      </c>
      <c r="H23" s="375">
        <f t="shared" si="1"/>
        <v>80000</v>
      </c>
      <c r="I23" s="395">
        <f t="shared" si="4"/>
        <v>0.37</v>
      </c>
      <c r="J23" s="375">
        <f t="shared" si="2"/>
        <v>180000</v>
      </c>
      <c r="K23" s="395">
        <f t="shared" si="0"/>
        <v>0.45</v>
      </c>
    </row>
    <row r="24" spans="1:23" s="5" customFormat="1" x14ac:dyDescent="0.25">
      <c r="A24" s="394">
        <v>42552</v>
      </c>
      <c r="B24" s="394">
        <v>42916</v>
      </c>
      <c r="C24" s="494">
        <v>4</v>
      </c>
      <c r="D24" s="375">
        <f t="shared" si="5"/>
        <v>18200</v>
      </c>
      <c r="E24" s="1079">
        <f t="shared" si="6"/>
        <v>0.19</v>
      </c>
      <c r="F24" s="375">
        <f t="shared" si="3"/>
        <v>37000</v>
      </c>
      <c r="G24" s="1079">
        <f t="shared" si="3"/>
        <v>0.32500000000000001</v>
      </c>
      <c r="H24" s="375">
        <v>87000</v>
      </c>
      <c r="I24" s="1079">
        <f t="shared" si="4"/>
        <v>0.37</v>
      </c>
      <c r="J24" s="375">
        <f t="shared" si="2"/>
        <v>180000</v>
      </c>
      <c r="K24" s="1079">
        <f t="shared" si="0"/>
        <v>0.45</v>
      </c>
    </row>
    <row r="25" spans="1:23" x14ac:dyDescent="0.25">
      <c r="A25" s="74">
        <v>42917</v>
      </c>
      <c r="B25" s="74">
        <v>43281</v>
      </c>
      <c r="C25" s="683">
        <v>4</v>
      </c>
      <c r="D25" s="33">
        <f t="shared" si="5"/>
        <v>18200</v>
      </c>
      <c r="E25" s="385">
        <f t="shared" si="6"/>
        <v>0.19</v>
      </c>
      <c r="F25" s="33">
        <f t="shared" si="3"/>
        <v>37000</v>
      </c>
      <c r="G25" s="385">
        <f t="shared" si="3"/>
        <v>0.32500000000000001</v>
      </c>
      <c r="H25" s="33">
        <f t="shared" si="1"/>
        <v>87000</v>
      </c>
      <c r="I25" s="385">
        <f t="shared" si="4"/>
        <v>0.37</v>
      </c>
      <c r="J25" s="33">
        <f t="shared" si="2"/>
        <v>180000</v>
      </c>
      <c r="K25" s="385">
        <f t="shared" si="0"/>
        <v>0.45</v>
      </c>
    </row>
    <row r="26" spans="1:23" x14ac:dyDescent="0.25">
      <c r="A26" s="74">
        <v>43282</v>
      </c>
      <c r="B26" s="74">
        <v>43646</v>
      </c>
      <c r="C26" s="683">
        <v>4</v>
      </c>
      <c r="D26" s="33">
        <f t="shared" si="5"/>
        <v>18200</v>
      </c>
      <c r="E26" s="385">
        <f t="shared" si="6"/>
        <v>0.19</v>
      </c>
      <c r="F26" s="33">
        <f t="shared" si="3"/>
        <v>37000</v>
      </c>
      <c r="G26" s="385">
        <f>G25</f>
        <v>0.32500000000000001</v>
      </c>
      <c r="H26" s="33">
        <f t="shared" si="1"/>
        <v>87000</v>
      </c>
      <c r="I26" s="385">
        <f t="shared" si="4"/>
        <v>0.37</v>
      </c>
      <c r="J26" s="33">
        <f t="shared" si="2"/>
        <v>180000</v>
      </c>
      <c r="K26" s="385">
        <f t="shared" si="0"/>
        <v>0.45</v>
      </c>
    </row>
    <row r="27" spans="1:23" x14ac:dyDescent="0.25">
      <c r="A27" s="74">
        <v>43647</v>
      </c>
      <c r="B27" s="74">
        <v>44012</v>
      </c>
      <c r="C27" s="683">
        <v>4</v>
      </c>
      <c r="D27" s="33">
        <f t="shared" si="5"/>
        <v>18200</v>
      </c>
      <c r="E27" s="385">
        <f t="shared" si="6"/>
        <v>0.19</v>
      </c>
      <c r="F27" s="33">
        <f t="shared" si="3"/>
        <v>37000</v>
      </c>
      <c r="G27" s="385">
        <f>G26</f>
        <v>0.32500000000000001</v>
      </c>
      <c r="H27" s="33">
        <f t="shared" si="1"/>
        <v>87000</v>
      </c>
      <c r="I27" s="385">
        <f t="shared" si="4"/>
        <v>0.37</v>
      </c>
      <c r="J27" s="33">
        <f t="shared" si="2"/>
        <v>180000</v>
      </c>
      <c r="K27" s="385">
        <f t="shared" si="0"/>
        <v>0.45</v>
      </c>
    </row>
    <row r="28" spans="1:23" x14ac:dyDescent="0.25">
      <c r="A28" s="74">
        <v>44013</v>
      </c>
      <c r="B28" s="74">
        <v>44377</v>
      </c>
      <c r="C28" s="683">
        <v>4</v>
      </c>
      <c r="D28" s="33">
        <f t="shared" si="5"/>
        <v>18200</v>
      </c>
      <c r="E28" s="385">
        <f t="shared" si="6"/>
        <v>0.19</v>
      </c>
      <c r="F28" s="33">
        <f t="shared" si="3"/>
        <v>37000</v>
      </c>
      <c r="G28" s="385">
        <f>G27</f>
        <v>0.32500000000000001</v>
      </c>
      <c r="H28" s="33">
        <f t="shared" si="1"/>
        <v>87000</v>
      </c>
      <c r="I28" s="385">
        <f t="shared" si="4"/>
        <v>0.37</v>
      </c>
      <c r="J28" s="33">
        <f t="shared" si="2"/>
        <v>180000</v>
      </c>
      <c r="K28" s="385">
        <f t="shared" si="0"/>
        <v>0.45</v>
      </c>
    </row>
    <row r="29" spans="1:23" x14ac:dyDescent="0.25">
      <c r="C29"/>
      <c r="D29"/>
      <c r="E29"/>
      <c r="F29"/>
      <c r="G29"/>
      <c r="H29"/>
      <c r="I29"/>
      <c r="J29"/>
      <c r="K29"/>
      <c r="L29"/>
      <c r="M29"/>
      <c r="N29"/>
      <c r="O29"/>
      <c r="P29"/>
      <c r="Q29"/>
      <c r="R29"/>
      <c r="S29"/>
      <c r="T29"/>
      <c r="U29"/>
      <c r="V29"/>
      <c r="W29" s="697"/>
    </row>
  </sheetData>
  <customSheetViews>
    <customSheetView guid="{E49C2F27-B0B9-497E-BEC0-5B59561292FE}" hiddenRows="1">
      <selection activeCell="A22" sqref="A22"/>
      <pageMargins left="0.7" right="0.7" top="0.75" bottom="0.75" header="0.3" footer="0.3"/>
      <pageSetup paperSize="9" orientation="portrait" r:id="rId1"/>
    </customSheetView>
    <customSheetView guid="{A5953138-1481-4137-BEAD-32FA4FDF03E6}">
      <selection activeCell="A22" sqref="A22"/>
      <pageMargins left="0.7" right="0.7" top="0.75" bottom="0.75" header="0.3" footer="0.3"/>
      <pageSetup paperSize="9" orientation="portrait" r:id="rId2"/>
    </customSheetView>
    <customSheetView guid="{2A1F94CA-1A34-4418-88FD-EABF7586C2B2}" hiddenRows="1">
      <selection activeCell="A22" sqref="A22"/>
      <pageMargins left="0.7" right="0.7" top="0.75" bottom="0.75" header="0.3" footer="0.3"/>
      <pageSetup paperSize="9" orientation="portrait" r:id="rId3"/>
    </customSheetView>
  </customSheetViews>
  <mergeCells count="1">
    <mergeCell ref="A1:B1"/>
  </mergeCells>
  <pageMargins left="0.7" right="0.7" top="0.75" bottom="0.75" header="0.3" footer="0.3"/>
  <pageSetup paperSize="9" orientation="portrait" r:id="rId4"/>
  <legacyDrawing r:id="rId5"/>
</worksheet>
</file>

<file path=xl/worksheets/sheet5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400-000000000000}">
  <sheetPr codeName="Sheet51">
    <tabColor rgb="FFFFFF00"/>
  </sheetPr>
  <dimension ref="A1:BG29"/>
  <sheetViews>
    <sheetView zoomScaleNormal="100" workbookViewId="0">
      <pane xSplit="2" ySplit="7" topLeftCell="D8" activePane="bottomRight" state="frozen"/>
      <selection pane="topRight" activeCell="C1" sqref="C1"/>
      <selection pane="bottomLeft" activeCell="A8" sqref="A8"/>
      <selection pane="bottomRight" activeCell="F16" sqref="F16"/>
    </sheetView>
  </sheetViews>
  <sheetFormatPr defaultColWidth="15.7109375" defaultRowHeight="15" x14ac:dyDescent="0.25"/>
  <cols>
    <col min="1" max="1" width="21.140625" style="28" customWidth="1"/>
    <col min="3" max="3" width="15.140625" style="28" bestFit="1" customWidth="1"/>
    <col min="4" max="4" width="17.5703125" style="28" customWidth="1"/>
    <col min="5" max="6" width="20.7109375" style="28" bestFit="1" customWidth="1"/>
    <col min="7" max="7" width="17" style="28" customWidth="1"/>
    <col min="8" max="8" width="18.28515625" style="28" bestFit="1" customWidth="1"/>
    <col min="9" max="9" width="20.7109375" style="28" bestFit="1" customWidth="1"/>
    <col min="10" max="10" width="18" style="28" customWidth="1"/>
    <col min="11" max="14" width="18" style="697" customWidth="1"/>
    <col min="15" max="15" width="22.140625" style="28" bestFit="1" customWidth="1"/>
    <col min="16" max="16" width="21.140625" style="28" customWidth="1"/>
    <col min="17" max="17" width="21.28515625" style="16" customWidth="1"/>
    <col min="18" max="18" width="22.28515625" style="28" customWidth="1"/>
    <col min="19" max="19" width="25.42578125" style="28" customWidth="1"/>
    <col min="20" max="21" width="22.28515625" style="28" customWidth="1"/>
    <col min="22" max="22" width="21.28515625" style="28" customWidth="1"/>
    <col min="23" max="24" width="21.85546875" style="28" customWidth="1"/>
    <col min="25" max="26" width="21.85546875" style="697" customWidth="1"/>
    <col min="27" max="27" width="21.85546875" style="28" customWidth="1"/>
    <col min="28" max="28" width="18.28515625" style="28" bestFit="1" customWidth="1"/>
    <col min="29" max="29" width="19.5703125" style="28" bestFit="1" customWidth="1"/>
    <col min="30" max="30" width="15.5703125" style="28" bestFit="1" customWidth="1"/>
    <col min="31" max="31" width="16.85546875" style="28" bestFit="1" customWidth="1"/>
    <col min="32" max="32" width="19.5703125" style="502" customWidth="1"/>
    <col min="33" max="33" width="20.85546875" style="502" bestFit="1" customWidth="1"/>
    <col min="34" max="16384" width="15.7109375" style="28"/>
  </cols>
  <sheetData>
    <row r="1" spans="1:33" ht="15.75" customHeight="1" thickBot="1" x14ac:dyDescent="0.3">
      <c r="C1" s="1511" t="s">
        <v>293</v>
      </c>
      <c r="D1" s="1512"/>
      <c r="E1" s="1512"/>
      <c r="F1" s="1512"/>
      <c r="G1" s="1512"/>
      <c r="H1" s="1512"/>
      <c r="I1" s="1512"/>
      <c r="J1" s="1512"/>
      <c r="K1" s="1512"/>
      <c r="L1" s="1512"/>
      <c r="M1" s="1512"/>
      <c r="N1" s="1512"/>
      <c r="O1" s="1513"/>
      <c r="P1" s="1511" t="s">
        <v>84</v>
      </c>
      <c r="Q1" s="1512"/>
      <c r="R1" s="1512"/>
      <c r="S1" s="1512"/>
      <c r="T1" s="1512"/>
      <c r="U1" s="1512"/>
      <c r="V1" s="1512"/>
      <c r="W1" s="1512"/>
      <c r="X1" s="1512"/>
      <c r="Y1" s="1512"/>
      <c r="Z1" s="1512"/>
      <c r="AA1" s="1513"/>
      <c r="AB1" s="1160" t="s">
        <v>337</v>
      </c>
      <c r="AC1" s="1161"/>
      <c r="AD1" s="1161"/>
      <c r="AE1" s="1162"/>
      <c r="AF1" s="1160" t="s">
        <v>353</v>
      </c>
      <c r="AG1" s="1162"/>
    </row>
    <row r="2" spans="1:33" ht="15.75" customHeight="1" thickBot="1" x14ac:dyDescent="0.3">
      <c r="A2" s="1458" t="s">
        <v>13</v>
      </c>
      <c r="B2" s="1459"/>
      <c r="C2" s="1514"/>
      <c r="D2" s="1515"/>
      <c r="E2" s="1515"/>
      <c r="F2" s="1515"/>
      <c r="G2" s="1515"/>
      <c r="H2" s="1515"/>
      <c r="I2" s="1515"/>
      <c r="J2" s="1515"/>
      <c r="K2" s="1515"/>
      <c r="L2" s="1515"/>
      <c r="M2" s="1515"/>
      <c r="N2" s="1515"/>
      <c r="O2" s="1516"/>
      <c r="P2" s="1514"/>
      <c r="Q2" s="1515"/>
      <c r="R2" s="1515"/>
      <c r="S2" s="1515"/>
      <c r="T2" s="1515"/>
      <c r="U2" s="1515"/>
      <c r="V2" s="1515"/>
      <c r="W2" s="1515"/>
      <c r="X2" s="1515"/>
      <c r="Y2" s="1515"/>
      <c r="Z2" s="1515"/>
      <c r="AA2" s="1516"/>
      <c r="AB2" s="1250" t="s">
        <v>338</v>
      </c>
      <c r="AC2" s="1250" t="s">
        <v>340</v>
      </c>
      <c r="AD2" s="1250" t="s">
        <v>339</v>
      </c>
      <c r="AE2" s="1157" t="s">
        <v>341</v>
      </c>
      <c r="AF2" s="1250" t="s">
        <v>122</v>
      </c>
      <c r="AG2" s="1157" t="s">
        <v>354</v>
      </c>
    </row>
    <row r="3" spans="1:33" ht="15.75" customHeight="1" thickBot="1" x14ac:dyDescent="0.3">
      <c r="A3" s="1458"/>
      <c r="B3" s="1459"/>
      <c r="C3" s="1456" t="s">
        <v>23</v>
      </c>
      <c r="D3" s="1457"/>
      <c r="E3" s="1508" t="s">
        <v>169</v>
      </c>
      <c r="F3" s="1509"/>
      <c r="G3" s="1509"/>
      <c r="H3" s="1509"/>
      <c r="I3" s="1509"/>
      <c r="J3" s="1509"/>
      <c r="K3" s="1509"/>
      <c r="L3" s="1509"/>
      <c r="M3" s="1509"/>
      <c r="N3" s="1509"/>
      <c r="O3" s="1510"/>
      <c r="P3" s="1456" t="s">
        <v>23</v>
      </c>
      <c r="Q3" s="1474"/>
      <c r="R3" s="1457"/>
      <c r="S3" s="1456" t="s">
        <v>169</v>
      </c>
      <c r="T3" s="1474"/>
      <c r="U3" s="1474"/>
      <c r="V3" s="1474"/>
      <c r="W3" s="1474"/>
      <c r="X3" s="1474"/>
      <c r="Y3" s="1474"/>
      <c r="Z3" s="1474"/>
      <c r="AA3" s="1457"/>
      <c r="AB3" s="1188"/>
      <c r="AC3" s="1188"/>
      <c r="AD3" s="1188"/>
      <c r="AE3" s="1158"/>
      <c r="AF3" s="1188"/>
      <c r="AG3" s="1158"/>
    </row>
    <row r="4" spans="1:33" ht="15.75" customHeight="1" thickBot="1" x14ac:dyDescent="0.3">
      <c r="A4" s="1458"/>
      <c r="B4" s="1459"/>
      <c r="C4" s="1458"/>
      <c r="D4" s="1459"/>
      <c r="E4" s="1499" t="s">
        <v>135</v>
      </c>
      <c r="F4" s="1500"/>
      <c r="G4" s="1503"/>
      <c r="H4" s="1499" t="s">
        <v>268</v>
      </c>
      <c r="I4" s="1500"/>
      <c r="J4" s="1500"/>
      <c r="K4" s="1500"/>
      <c r="L4" s="1500" t="s">
        <v>506</v>
      </c>
      <c r="M4" s="1500"/>
      <c r="N4" s="1500"/>
      <c r="O4" s="1503"/>
      <c r="P4" s="1458"/>
      <c r="Q4" s="1517"/>
      <c r="R4" s="1459"/>
      <c r="S4" s="1476"/>
      <c r="T4" s="1475"/>
      <c r="U4" s="1475"/>
      <c r="V4" s="1475"/>
      <c r="W4" s="1475"/>
      <c r="X4" s="1475"/>
      <c r="Y4" s="1475"/>
      <c r="Z4" s="1475"/>
      <c r="AA4" s="1477"/>
      <c r="AB4" s="1188"/>
      <c r="AC4" s="1188"/>
      <c r="AD4" s="1188"/>
      <c r="AE4" s="1158"/>
      <c r="AF4" s="1188"/>
      <c r="AG4" s="1158"/>
    </row>
    <row r="5" spans="1:33" ht="15.75" customHeight="1" thickBot="1" x14ac:dyDescent="0.3">
      <c r="A5" s="1458"/>
      <c r="B5" s="1459"/>
      <c r="C5" s="1476"/>
      <c r="D5" s="1477"/>
      <c r="E5" s="1501"/>
      <c r="F5" s="1502"/>
      <c r="G5" s="1504"/>
      <c r="H5" s="1501"/>
      <c r="I5" s="1502"/>
      <c r="J5" s="1502"/>
      <c r="K5" s="1502"/>
      <c r="L5" s="1502"/>
      <c r="M5" s="1502"/>
      <c r="N5" s="1502"/>
      <c r="O5" s="1504"/>
      <c r="P5" s="1476"/>
      <c r="Q5" s="1475"/>
      <c r="R5" s="1477"/>
      <c r="S5" s="1505" t="s">
        <v>135</v>
      </c>
      <c r="T5" s="1506"/>
      <c r="U5" s="1507"/>
      <c r="V5" s="1505" t="s">
        <v>268</v>
      </c>
      <c r="W5" s="1506"/>
      <c r="X5" s="1506"/>
      <c r="Y5" s="1506"/>
      <c r="Z5" s="1505" t="s">
        <v>506</v>
      </c>
      <c r="AA5" s="1507"/>
      <c r="AB5" s="1188"/>
      <c r="AC5" s="1188"/>
      <c r="AD5" s="1188"/>
      <c r="AE5" s="1158"/>
      <c r="AF5" s="1188"/>
      <c r="AG5" s="1158"/>
    </row>
    <row r="6" spans="1:33" ht="15.75" thickBot="1" x14ac:dyDescent="0.3">
      <c r="A6" s="1476"/>
      <c r="B6" s="1477"/>
      <c r="C6" s="112" t="s">
        <v>247</v>
      </c>
      <c r="D6" s="112" t="s">
        <v>85</v>
      </c>
      <c r="E6" s="112" t="s">
        <v>266</v>
      </c>
      <c r="F6" s="112" t="s">
        <v>267</v>
      </c>
      <c r="G6" s="112" t="s">
        <v>86</v>
      </c>
      <c r="H6" s="112" t="s">
        <v>269</v>
      </c>
      <c r="I6" s="112" t="s">
        <v>267</v>
      </c>
      <c r="J6" s="112" t="s">
        <v>86</v>
      </c>
      <c r="K6" s="112" t="s">
        <v>264</v>
      </c>
      <c r="L6" s="112" t="s">
        <v>502</v>
      </c>
      <c r="M6" s="112" t="s">
        <v>503</v>
      </c>
      <c r="N6" s="112" t="s">
        <v>504</v>
      </c>
      <c r="O6" s="112" t="s">
        <v>505</v>
      </c>
      <c r="P6" s="112" t="s">
        <v>270</v>
      </c>
      <c r="Q6" s="112" t="s">
        <v>271</v>
      </c>
      <c r="R6" s="112" t="s">
        <v>272</v>
      </c>
      <c r="S6" s="291" t="s">
        <v>270</v>
      </c>
      <c r="T6" s="112" t="s">
        <v>271</v>
      </c>
      <c r="U6" s="112" t="s">
        <v>272</v>
      </c>
      <c r="V6" s="112" t="s">
        <v>270</v>
      </c>
      <c r="W6" s="112" t="s">
        <v>271</v>
      </c>
      <c r="X6" s="112" t="s">
        <v>272</v>
      </c>
      <c r="Y6" s="112" t="s">
        <v>265</v>
      </c>
      <c r="Z6" s="112" t="s">
        <v>502</v>
      </c>
      <c r="AA6" s="112" t="s">
        <v>503</v>
      </c>
      <c r="AB6" s="1207"/>
      <c r="AC6" s="1207"/>
      <c r="AD6" s="1207"/>
      <c r="AE6" s="1159"/>
      <c r="AF6" s="1207"/>
      <c r="AG6" s="1159"/>
    </row>
    <row r="7" spans="1:33" ht="21" customHeight="1" thickBot="1" x14ac:dyDescent="0.3">
      <c r="A7" s="43" t="s">
        <v>550</v>
      </c>
      <c r="B7" s="43" t="s">
        <v>551</v>
      </c>
      <c r="C7" s="82" t="s">
        <v>492</v>
      </c>
      <c r="D7" s="82" t="s">
        <v>493</v>
      </c>
      <c r="E7" s="113" t="s">
        <v>494</v>
      </c>
      <c r="F7" s="113" t="s">
        <v>495</v>
      </c>
      <c r="G7" s="84" t="s">
        <v>803</v>
      </c>
      <c r="H7" s="83" t="s">
        <v>496</v>
      </c>
      <c r="I7" s="113" t="s">
        <v>642</v>
      </c>
      <c r="J7" s="113" t="s">
        <v>804</v>
      </c>
      <c r="K7" s="84" t="s">
        <v>497</v>
      </c>
      <c r="L7" s="778" t="s">
        <v>498</v>
      </c>
      <c r="M7" s="778" t="s">
        <v>499</v>
      </c>
      <c r="N7" s="113" t="s">
        <v>500</v>
      </c>
      <c r="O7" s="84" t="s">
        <v>501</v>
      </c>
      <c r="P7" s="83" t="s">
        <v>507</v>
      </c>
      <c r="Q7" s="82" t="s">
        <v>508</v>
      </c>
      <c r="R7" s="84" t="s">
        <v>509</v>
      </c>
      <c r="S7" s="113" t="s">
        <v>510</v>
      </c>
      <c r="T7" s="114" t="s">
        <v>511</v>
      </c>
      <c r="U7" s="84" t="s">
        <v>512</v>
      </c>
      <c r="V7" s="113" t="s">
        <v>513</v>
      </c>
      <c r="W7" s="113" t="s">
        <v>514</v>
      </c>
      <c r="X7" s="113" t="s">
        <v>515</v>
      </c>
      <c r="Y7" s="113" t="s">
        <v>516</v>
      </c>
      <c r="Z7" s="778" t="s">
        <v>517</v>
      </c>
      <c r="AA7" s="783" t="s">
        <v>518</v>
      </c>
      <c r="AB7" s="327" t="s">
        <v>805</v>
      </c>
      <c r="AC7" s="327" t="s">
        <v>806</v>
      </c>
      <c r="AD7" s="327" t="s">
        <v>807</v>
      </c>
      <c r="AE7" s="330" t="s">
        <v>808</v>
      </c>
      <c r="AF7" s="327" t="s">
        <v>643</v>
      </c>
      <c r="AG7" s="330" t="s">
        <v>644</v>
      </c>
    </row>
    <row r="8" spans="1:33" x14ac:dyDescent="0.25">
      <c r="A8" s="72">
        <v>36708</v>
      </c>
      <c r="B8" s="72">
        <v>37072</v>
      </c>
      <c r="C8" s="2">
        <v>1.4999999999999999E-2</v>
      </c>
      <c r="D8" s="1">
        <v>0.2</v>
      </c>
      <c r="E8" s="386">
        <v>13807</v>
      </c>
      <c r="F8" s="386">
        <v>15970</v>
      </c>
      <c r="G8" s="386">
        <v>20000</v>
      </c>
      <c r="H8" s="389">
        <v>23299</v>
      </c>
      <c r="I8" s="386">
        <v>23299</v>
      </c>
      <c r="J8" s="386">
        <v>31729</v>
      </c>
      <c r="K8" s="386">
        <v>2140</v>
      </c>
      <c r="L8" s="779"/>
      <c r="M8" s="779"/>
      <c r="N8" s="386"/>
      <c r="O8" s="386"/>
      <c r="P8" s="3">
        <v>0.01</v>
      </c>
      <c r="Q8" s="601">
        <v>0.01</v>
      </c>
      <c r="R8" s="4">
        <v>0.01</v>
      </c>
      <c r="S8" s="387">
        <v>50000</v>
      </c>
      <c r="T8" s="387">
        <v>50000</v>
      </c>
      <c r="U8" s="387">
        <v>50000</v>
      </c>
      <c r="V8" s="389">
        <v>100000</v>
      </c>
      <c r="W8" s="386">
        <v>100000</v>
      </c>
      <c r="X8" s="386">
        <v>100000</v>
      </c>
      <c r="Y8" s="386">
        <v>1500</v>
      </c>
      <c r="Z8" s="779"/>
      <c r="AA8" s="691"/>
      <c r="AB8" s="20"/>
      <c r="AC8" s="20"/>
      <c r="AD8" s="59"/>
      <c r="AE8" s="57"/>
      <c r="AF8" s="18"/>
      <c r="AG8" s="60"/>
    </row>
    <row r="9" spans="1:33" x14ac:dyDescent="0.25">
      <c r="A9" s="73">
        <v>37073</v>
      </c>
      <c r="B9" s="73">
        <v>37437</v>
      </c>
      <c r="C9" s="2">
        <v>1.4999999999999999E-2</v>
      </c>
      <c r="D9" s="1">
        <v>0.2</v>
      </c>
      <c r="E9" s="387">
        <v>14539</v>
      </c>
      <c r="F9" s="387">
        <v>16570</v>
      </c>
      <c r="G9" s="387">
        <v>20000</v>
      </c>
      <c r="H9" s="390">
        <v>24534</v>
      </c>
      <c r="I9" s="387">
        <v>24534</v>
      </c>
      <c r="J9" s="387">
        <v>31729</v>
      </c>
      <c r="K9" s="387">
        <v>2253</v>
      </c>
      <c r="L9" s="780"/>
      <c r="M9" s="780"/>
      <c r="N9" s="387"/>
      <c r="O9" s="387"/>
      <c r="P9" s="2">
        <v>0.01</v>
      </c>
      <c r="Q9" s="601">
        <v>0.01</v>
      </c>
      <c r="R9" s="1">
        <v>0.01</v>
      </c>
      <c r="S9" s="387">
        <v>50000</v>
      </c>
      <c r="T9" s="387">
        <v>50000</v>
      </c>
      <c r="U9" s="387">
        <v>50000</v>
      </c>
      <c r="V9" s="390">
        <v>100000</v>
      </c>
      <c r="W9" s="387">
        <v>100000</v>
      </c>
      <c r="X9" s="387">
        <v>100000</v>
      </c>
      <c r="Y9" s="387">
        <v>1500</v>
      </c>
      <c r="Z9" s="780"/>
      <c r="AA9" s="688"/>
      <c r="AB9" s="19"/>
      <c r="AC9" s="19"/>
      <c r="AD9" s="63"/>
      <c r="AE9" s="61"/>
      <c r="AF9" s="17"/>
      <c r="AG9" s="35"/>
    </row>
    <row r="10" spans="1:33" x14ac:dyDescent="0.25">
      <c r="A10" s="73">
        <v>37438</v>
      </c>
      <c r="B10" s="73">
        <v>37802</v>
      </c>
      <c r="C10" s="2">
        <v>1.4999999999999999E-2</v>
      </c>
      <c r="D10" s="1">
        <v>0.2</v>
      </c>
      <c r="E10" s="387">
        <v>15062</v>
      </c>
      <c r="F10" s="387">
        <v>17164</v>
      </c>
      <c r="G10" s="387">
        <v>20000</v>
      </c>
      <c r="H10" s="390">
        <v>25417</v>
      </c>
      <c r="I10" s="387">
        <v>25417</v>
      </c>
      <c r="J10" s="387">
        <v>31729</v>
      </c>
      <c r="K10" s="387">
        <v>2334</v>
      </c>
      <c r="L10" s="780"/>
      <c r="M10" s="780"/>
      <c r="N10" s="387"/>
      <c r="O10" s="387"/>
      <c r="P10" s="2">
        <v>0.01</v>
      </c>
      <c r="Q10" s="601">
        <v>0.01</v>
      </c>
      <c r="R10" s="1">
        <v>0.01</v>
      </c>
      <c r="S10" s="387">
        <v>50000</v>
      </c>
      <c r="T10" s="387">
        <v>50000</v>
      </c>
      <c r="U10" s="387">
        <v>50000</v>
      </c>
      <c r="V10" s="390">
        <v>100000</v>
      </c>
      <c r="W10" s="387">
        <v>100000</v>
      </c>
      <c r="X10" s="387">
        <v>100000</v>
      </c>
      <c r="Y10" s="387">
        <v>1500</v>
      </c>
      <c r="Z10" s="780"/>
      <c r="AA10" s="688"/>
      <c r="AB10" s="19"/>
      <c r="AC10" s="19"/>
      <c r="AD10" s="63"/>
      <c r="AE10" s="61"/>
      <c r="AF10" s="17"/>
      <c r="AG10" s="35"/>
    </row>
    <row r="11" spans="1:33" x14ac:dyDescent="0.25">
      <c r="A11" s="73">
        <v>37803</v>
      </c>
      <c r="B11" s="73">
        <v>38168</v>
      </c>
      <c r="C11" s="2">
        <v>1.4999999999999999E-2</v>
      </c>
      <c r="D11" s="1">
        <v>0.2</v>
      </c>
      <c r="E11" s="387">
        <v>15529</v>
      </c>
      <c r="F11" s="387">
        <v>18141</v>
      </c>
      <c r="G11" s="387">
        <v>20500</v>
      </c>
      <c r="H11" s="390">
        <v>26205</v>
      </c>
      <c r="I11" s="387">
        <v>26205</v>
      </c>
      <c r="J11" s="387">
        <v>31729</v>
      </c>
      <c r="K11" s="387">
        <v>2406</v>
      </c>
      <c r="L11" s="780"/>
      <c r="M11" s="780"/>
      <c r="N11" s="387"/>
      <c r="O11" s="387"/>
      <c r="P11" s="2">
        <v>0.01</v>
      </c>
      <c r="Q11" s="601">
        <v>0.01</v>
      </c>
      <c r="R11" s="1">
        <v>0.01</v>
      </c>
      <c r="S11" s="387">
        <v>50000</v>
      </c>
      <c r="T11" s="387">
        <v>50000</v>
      </c>
      <c r="U11" s="387">
        <v>50000</v>
      </c>
      <c r="V11" s="390">
        <v>100000</v>
      </c>
      <c r="W11" s="387">
        <v>100000</v>
      </c>
      <c r="X11" s="387">
        <v>100000</v>
      </c>
      <c r="Y11" s="387">
        <v>1500</v>
      </c>
      <c r="Z11" s="780"/>
      <c r="AA11" s="688"/>
      <c r="AB11" s="19"/>
      <c r="AC11" s="19"/>
      <c r="AD11" s="63"/>
      <c r="AE11" s="61"/>
      <c r="AF11" s="17"/>
      <c r="AG11" s="35"/>
    </row>
    <row r="12" spans="1:33" x14ac:dyDescent="0.25">
      <c r="A12" s="73">
        <v>38169</v>
      </c>
      <c r="B12" s="73">
        <v>38533</v>
      </c>
      <c r="C12" s="2">
        <v>1.4999999999999999E-2</v>
      </c>
      <c r="D12" s="1">
        <v>0.2</v>
      </c>
      <c r="E12" s="387">
        <v>15902</v>
      </c>
      <c r="F12" s="387">
        <v>19252</v>
      </c>
      <c r="G12" s="387">
        <v>20500</v>
      </c>
      <c r="H12" s="390">
        <v>26834</v>
      </c>
      <c r="I12" s="387">
        <v>26834</v>
      </c>
      <c r="J12" s="387">
        <v>31729</v>
      </c>
      <c r="K12" s="387">
        <v>2464</v>
      </c>
      <c r="L12" s="780"/>
      <c r="M12" s="780"/>
      <c r="N12" s="387"/>
      <c r="O12" s="387"/>
      <c r="P12" s="2">
        <v>0.01</v>
      </c>
      <c r="Q12" s="601">
        <v>0.01</v>
      </c>
      <c r="R12" s="1">
        <v>0.01</v>
      </c>
      <c r="S12" s="387">
        <v>50000</v>
      </c>
      <c r="T12" s="387">
        <v>50000</v>
      </c>
      <c r="U12" s="387">
        <v>50000</v>
      </c>
      <c r="V12" s="390">
        <v>100000</v>
      </c>
      <c r="W12" s="387">
        <v>100000</v>
      </c>
      <c r="X12" s="387">
        <v>100000</v>
      </c>
      <c r="Y12" s="387">
        <v>1500</v>
      </c>
      <c r="Z12" s="780"/>
      <c r="AA12" s="688"/>
      <c r="AB12" s="19"/>
      <c r="AC12" s="19"/>
      <c r="AD12" s="63"/>
      <c r="AE12" s="61"/>
      <c r="AF12" s="17"/>
      <c r="AG12" s="35"/>
    </row>
    <row r="13" spans="1:33" x14ac:dyDescent="0.25">
      <c r="A13" s="73">
        <v>38534</v>
      </c>
      <c r="B13" s="73">
        <v>38898</v>
      </c>
      <c r="C13" s="2">
        <v>1.4999999999999999E-2</v>
      </c>
      <c r="D13" s="1">
        <v>0.2</v>
      </c>
      <c r="E13" s="387">
        <v>16284</v>
      </c>
      <c r="F13" s="387">
        <v>19583</v>
      </c>
      <c r="G13" s="387">
        <v>21968</v>
      </c>
      <c r="H13" s="390">
        <v>27478</v>
      </c>
      <c r="I13" s="387">
        <v>27478</v>
      </c>
      <c r="J13" s="387">
        <v>31729</v>
      </c>
      <c r="K13" s="387">
        <v>2523</v>
      </c>
      <c r="L13" s="780"/>
      <c r="M13" s="780"/>
      <c r="N13" s="387"/>
      <c r="O13" s="387"/>
      <c r="P13" s="2">
        <v>0.01</v>
      </c>
      <c r="Q13" s="601">
        <v>0.01</v>
      </c>
      <c r="R13" s="1">
        <v>0.01</v>
      </c>
      <c r="S13" s="387">
        <v>50000</v>
      </c>
      <c r="T13" s="387">
        <v>50000</v>
      </c>
      <c r="U13" s="387">
        <v>50000</v>
      </c>
      <c r="V13" s="390">
        <v>100000</v>
      </c>
      <c r="W13" s="387">
        <v>100000</v>
      </c>
      <c r="X13" s="387">
        <v>100000</v>
      </c>
      <c r="Y13" s="387">
        <v>1500</v>
      </c>
      <c r="Z13" s="780"/>
      <c r="AA13" s="688"/>
      <c r="AB13" s="19"/>
      <c r="AC13" s="19"/>
      <c r="AD13" s="63"/>
      <c r="AE13" s="61"/>
      <c r="AF13" s="17"/>
      <c r="AG13" s="35"/>
    </row>
    <row r="14" spans="1:33" x14ac:dyDescent="0.25">
      <c r="A14" s="73">
        <v>38899</v>
      </c>
      <c r="B14" s="73">
        <v>39263</v>
      </c>
      <c r="C14" s="2">
        <v>1.4999999999999999E-2</v>
      </c>
      <c r="D14" s="1">
        <v>0.1</v>
      </c>
      <c r="E14" s="387">
        <v>16740</v>
      </c>
      <c r="F14" s="387">
        <v>21637</v>
      </c>
      <c r="G14" s="387">
        <v>24867</v>
      </c>
      <c r="H14" s="390">
        <v>28247</v>
      </c>
      <c r="I14" s="387">
        <v>28247</v>
      </c>
      <c r="J14" s="387">
        <v>33500</v>
      </c>
      <c r="K14" s="387">
        <v>2594</v>
      </c>
      <c r="L14" s="780"/>
      <c r="M14" s="780"/>
      <c r="N14" s="387"/>
      <c r="O14" s="387"/>
      <c r="P14" s="2">
        <v>0.01</v>
      </c>
      <c r="Q14" s="601">
        <v>0.01</v>
      </c>
      <c r="R14" s="1">
        <v>0.01</v>
      </c>
      <c r="S14" s="387">
        <v>50000</v>
      </c>
      <c r="T14" s="387">
        <v>50000</v>
      </c>
      <c r="U14" s="387">
        <v>50000</v>
      </c>
      <c r="V14" s="390">
        <v>100000</v>
      </c>
      <c r="W14" s="387">
        <v>100000</v>
      </c>
      <c r="X14" s="387">
        <v>100000</v>
      </c>
      <c r="Y14" s="387">
        <v>1500</v>
      </c>
      <c r="Z14" s="780"/>
      <c r="AA14" s="688"/>
      <c r="AB14" s="19"/>
      <c r="AC14" s="19"/>
      <c r="AD14" s="63"/>
      <c r="AE14" s="61"/>
      <c r="AF14" s="17"/>
      <c r="AG14" s="35"/>
    </row>
    <row r="15" spans="1:33" x14ac:dyDescent="0.25">
      <c r="A15" s="73">
        <v>39264</v>
      </c>
      <c r="B15" s="73">
        <v>39629</v>
      </c>
      <c r="C15" s="2">
        <v>1.4999999999999999E-2</v>
      </c>
      <c r="D15" s="1">
        <v>0.1</v>
      </c>
      <c r="E15" s="387">
        <v>17309</v>
      </c>
      <c r="F15" s="387">
        <v>22922</v>
      </c>
      <c r="G15" s="387">
        <v>25867</v>
      </c>
      <c r="H15" s="390">
        <v>29207</v>
      </c>
      <c r="I15" s="387">
        <v>29207</v>
      </c>
      <c r="J15" s="387">
        <v>37950</v>
      </c>
      <c r="K15" s="387">
        <v>2682</v>
      </c>
      <c r="L15" s="780"/>
      <c r="M15" s="780"/>
      <c r="N15" s="387"/>
      <c r="O15" s="387"/>
      <c r="P15" s="2">
        <v>0.01</v>
      </c>
      <c r="Q15" s="601">
        <v>0.01</v>
      </c>
      <c r="R15" s="1">
        <v>0.01</v>
      </c>
      <c r="S15" s="387">
        <v>50000</v>
      </c>
      <c r="T15" s="387">
        <v>50000</v>
      </c>
      <c r="U15" s="387">
        <v>50000</v>
      </c>
      <c r="V15" s="390">
        <v>100000</v>
      </c>
      <c r="W15" s="387">
        <v>100000</v>
      </c>
      <c r="X15" s="387">
        <v>100000</v>
      </c>
      <c r="Y15" s="387">
        <v>1500</v>
      </c>
      <c r="Z15" s="780"/>
      <c r="AA15" s="688"/>
      <c r="AB15" s="19"/>
      <c r="AC15" s="19"/>
      <c r="AD15" s="63"/>
      <c r="AE15" s="61"/>
      <c r="AF15" s="17"/>
      <c r="AG15" s="35"/>
    </row>
    <row r="16" spans="1:33" x14ac:dyDescent="0.25">
      <c r="A16" s="73">
        <v>39630</v>
      </c>
      <c r="B16" s="73">
        <v>39994</v>
      </c>
      <c r="C16" s="2">
        <v>1.4999999999999999E-2</v>
      </c>
      <c r="D16" s="1">
        <v>0.1</v>
      </c>
      <c r="E16" s="387">
        <v>17794</v>
      </c>
      <c r="F16" s="387">
        <v>25299</v>
      </c>
      <c r="G16" s="387">
        <v>28867</v>
      </c>
      <c r="H16" s="390">
        <v>30025</v>
      </c>
      <c r="I16" s="387">
        <v>30025</v>
      </c>
      <c r="J16" s="387">
        <v>42000</v>
      </c>
      <c r="K16" s="387">
        <v>2757</v>
      </c>
      <c r="L16" s="780"/>
      <c r="M16" s="780"/>
      <c r="N16" s="387"/>
      <c r="O16" s="387"/>
      <c r="P16" s="2">
        <v>0.01</v>
      </c>
      <c r="Q16" s="601">
        <v>0.01</v>
      </c>
      <c r="R16" s="1">
        <v>0.01</v>
      </c>
      <c r="S16" s="387">
        <v>70000</v>
      </c>
      <c r="T16" s="387">
        <v>70000</v>
      </c>
      <c r="U16" s="387">
        <v>70000</v>
      </c>
      <c r="V16" s="390">
        <v>140000</v>
      </c>
      <c r="W16" s="387">
        <v>140000</v>
      </c>
      <c r="X16" s="387">
        <v>140000</v>
      </c>
      <c r="Y16" s="387">
        <v>1500</v>
      </c>
      <c r="Z16" s="780"/>
      <c r="AA16" s="688"/>
      <c r="AB16" s="19"/>
      <c r="AC16" s="19"/>
      <c r="AD16" s="63"/>
      <c r="AE16" s="61"/>
      <c r="AF16" s="17"/>
      <c r="AG16" s="35"/>
    </row>
    <row r="17" spans="1:59" x14ac:dyDescent="0.25">
      <c r="A17" s="73">
        <v>39995</v>
      </c>
      <c r="B17" s="73">
        <v>40359</v>
      </c>
      <c r="C17" s="2">
        <v>1.4999999999999999E-2</v>
      </c>
      <c r="D17" s="1">
        <v>0.1</v>
      </c>
      <c r="E17" s="387">
        <v>18488</v>
      </c>
      <c r="F17" s="387">
        <v>27697</v>
      </c>
      <c r="G17" s="387">
        <v>29867</v>
      </c>
      <c r="H17" s="390">
        <v>31196</v>
      </c>
      <c r="I17" s="387">
        <v>31196</v>
      </c>
      <c r="J17" s="387">
        <v>43500</v>
      </c>
      <c r="K17" s="387">
        <v>2865</v>
      </c>
      <c r="L17" s="780"/>
      <c r="M17" s="780"/>
      <c r="N17" s="387"/>
      <c r="O17" s="387"/>
      <c r="P17" s="2">
        <v>0.01</v>
      </c>
      <c r="Q17" s="601">
        <v>0.01</v>
      </c>
      <c r="R17" s="1">
        <v>0.01</v>
      </c>
      <c r="S17" s="387">
        <v>73000</v>
      </c>
      <c r="T17" s="387">
        <v>73000</v>
      </c>
      <c r="U17" s="387">
        <v>73000</v>
      </c>
      <c r="V17" s="390">
        <v>146000</v>
      </c>
      <c r="W17" s="387">
        <v>146000</v>
      </c>
      <c r="X17" s="387">
        <v>146000</v>
      </c>
      <c r="Y17" s="387">
        <v>1500</v>
      </c>
      <c r="Z17" s="780"/>
      <c r="AA17" s="688"/>
      <c r="AB17" s="19"/>
      <c r="AC17" s="19"/>
      <c r="AD17" s="63"/>
      <c r="AE17" s="61"/>
      <c r="AF17" s="17"/>
      <c r="AG17" s="35"/>
    </row>
    <row r="18" spans="1:59" x14ac:dyDescent="0.25">
      <c r="A18" s="73">
        <v>40360</v>
      </c>
      <c r="B18" s="73">
        <v>40724</v>
      </c>
      <c r="C18" s="2">
        <v>1.4999999999999999E-2</v>
      </c>
      <c r="D18" s="1">
        <v>0.1</v>
      </c>
      <c r="E18" s="387">
        <v>18839</v>
      </c>
      <c r="F18" s="387">
        <v>30439</v>
      </c>
      <c r="G18" s="387">
        <v>30685</v>
      </c>
      <c r="H18" s="390">
        <v>31789</v>
      </c>
      <c r="I18" s="387">
        <v>31789</v>
      </c>
      <c r="J18" s="387">
        <v>44500</v>
      </c>
      <c r="K18" s="387">
        <v>2919</v>
      </c>
      <c r="L18" s="780"/>
      <c r="M18" s="780"/>
      <c r="N18" s="387"/>
      <c r="O18" s="387"/>
      <c r="P18" s="2">
        <v>0.01</v>
      </c>
      <c r="Q18" s="601">
        <v>0.01</v>
      </c>
      <c r="R18" s="1">
        <v>0.01</v>
      </c>
      <c r="S18" s="387">
        <v>77000</v>
      </c>
      <c r="T18" s="387">
        <v>77000</v>
      </c>
      <c r="U18" s="387">
        <v>77000</v>
      </c>
      <c r="V18" s="390">
        <v>154000</v>
      </c>
      <c r="W18" s="387">
        <v>154000</v>
      </c>
      <c r="X18" s="387">
        <v>154000</v>
      </c>
      <c r="Y18" s="387">
        <v>1500</v>
      </c>
      <c r="Z18" s="780"/>
      <c r="AA18" s="688"/>
      <c r="AB18" s="19"/>
      <c r="AC18" s="19"/>
      <c r="AD18" s="63"/>
      <c r="AE18" s="61"/>
      <c r="AF18" s="17"/>
      <c r="AG18" s="35"/>
    </row>
    <row r="19" spans="1:59" x14ac:dyDescent="0.25">
      <c r="A19" s="73">
        <v>40725</v>
      </c>
      <c r="B19" s="73">
        <v>41090</v>
      </c>
      <c r="C19" s="2">
        <v>1.4999999999999999E-2</v>
      </c>
      <c r="D19" s="1">
        <v>0.1</v>
      </c>
      <c r="E19" s="387">
        <v>19404</v>
      </c>
      <c r="F19" s="387">
        <v>30451</v>
      </c>
      <c r="G19" s="387">
        <v>30685</v>
      </c>
      <c r="H19" s="390">
        <v>32743</v>
      </c>
      <c r="I19" s="387">
        <v>32743</v>
      </c>
      <c r="J19" s="387">
        <v>44500</v>
      </c>
      <c r="K19" s="387">
        <v>3007</v>
      </c>
      <c r="L19" s="780"/>
      <c r="M19" s="780"/>
      <c r="N19" s="387"/>
      <c r="O19" s="387"/>
      <c r="P19" s="2">
        <v>0.01</v>
      </c>
      <c r="Q19" s="601">
        <v>0.01</v>
      </c>
      <c r="R19" s="1">
        <v>0.01</v>
      </c>
      <c r="S19" s="387">
        <v>80000</v>
      </c>
      <c r="T19" s="387">
        <v>80000</v>
      </c>
      <c r="U19" s="387">
        <v>80000</v>
      </c>
      <c r="V19" s="390">
        <v>160000</v>
      </c>
      <c r="W19" s="387">
        <v>160000</v>
      </c>
      <c r="X19" s="387">
        <v>160000</v>
      </c>
      <c r="Y19" s="387">
        <v>1500</v>
      </c>
      <c r="Z19" s="780"/>
      <c r="AA19" s="688"/>
      <c r="AB19" s="242">
        <v>50000</v>
      </c>
      <c r="AC19" s="242">
        <v>100000</v>
      </c>
      <c r="AD19" s="404">
        <v>5.0000000000000001E-3</v>
      </c>
      <c r="AE19" s="377">
        <v>0.01</v>
      </c>
      <c r="AF19" s="375"/>
      <c r="AG19" s="374"/>
    </row>
    <row r="20" spans="1:59" x14ac:dyDescent="0.25">
      <c r="A20" s="73">
        <v>41091</v>
      </c>
      <c r="B20" s="73">
        <v>41455</v>
      </c>
      <c r="C20" s="2">
        <v>1.4999999999999999E-2</v>
      </c>
      <c r="D20" s="1">
        <v>0.1</v>
      </c>
      <c r="E20" s="387">
        <v>20542</v>
      </c>
      <c r="F20" s="387">
        <v>32279</v>
      </c>
      <c r="G20" s="387">
        <v>32279</v>
      </c>
      <c r="H20" s="390">
        <v>33693</v>
      </c>
      <c r="I20" s="387">
        <v>46000</v>
      </c>
      <c r="J20" s="387">
        <v>46000</v>
      </c>
      <c r="K20" s="387">
        <v>3094</v>
      </c>
      <c r="L20" s="780"/>
      <c r="M20" s="780"/>
      <c r="N20" s="387"/>
      <c r="O20" s="387"/>
      <c r="P20" s="2">
        <v>0.01</v>
      </c>
      <c r="Q20" s="382">
        <v>1.2500000000000001E-2</v>
      </c>
      <c r="R20" s="1">
        <v>1.4999999999999999E-2</v>
      </c>
      <c r="S20" s="387">
        <v>84000</v>
      </c>
      <c r="T20" s="387">
        <v>97000</v>
      </c>
      <c r="U20" s="387">
        <v>130000</v>
      </c>
      <c r="V20" s="390">
        <v>168000</v>
      </c>
      <c r="W20" s="387">
        <v>194000</v>
      </c>
      <c r="X20" s="387">
        <v>260000</v>
      </c>
      <c r="Y20" s="387">
        <v>1500</v>
      </c>
      <c r="Z20" s="780"/>
      <c r="AA20" s="688"/>
      <c r="AB20" s="242"/>
      <c r="AC20" s="242"/>
      <c r="AD20" s="404"/>
      <c r="AE20" s="377"/>
      <c r="AF20" s="375"/>
      <c r="AG20" s="374"/>
    </row>
    <row r="21" spans="1:59" s="5" customFormat="1" x14ac:dyDescent="0.25">
      <c r="A21" s="394">
        <v>41456</v>
      </c>
      <c r="B21" s="394">
        <v>41820</v>
      </c>
      <c r="C21" s="396">
        <v>1.4999999999999999E-2</v>
      </c>
      <c r="D21" s="397">
        <v>0.1</v>
      </c>
      <c r="E21" s="398">
        <v>20542</v>
      </c>
      <c r="F21" s="398">
        <v>32279</v>
      </c>
      <c r="G21" s="398">
        <v>32279</v>
      </c>
      <c r="H21" s="399">
        <v>34367</v>
      </c>
      <c r="I21" s="398">
        <v>46000</v>
      </c>
      <c r="J21" s="398">
        <v>46000</v>
      </c>
      <c r="K21" s="398">
        <v>3156</v>
      </c>
      <c r="L21" s="781">
        <v>21</v>
      </c>
      <c r="M21" s="781">
        <v>25</v>
      </c>
      <c r="N21" s="398">
        <v>1410</v>
      </c>
      <c r="O21" s="398">
        <v>1786</v>
      </c>
      <c r="P21" s="396">
        <v>0.01</v>
      </c>
      <c r="Q21" s="400">
        <v>1.2500000000000001E-2</v>
      </c>
      <c r="R21" s="397">
        <v>1.4999999999999999E-2</v>
      </c>
      <c r="S21" s="398">
        <v>88000</v>
      </c>
      <c r="T21" s="398">
        <v>102000</v>
      </c>
      <c r="U21" s="398">
        <v>136000</v>
      </c>
      <c r="V21" s="399">
        <v>176000</v>
      </c>
      <c r="W21" s="398">
        <v>204000</v>
      </c>
      <c r="X21" s="398">
        <v>272000</v>
      </c>
      <c r="Y21" s="398">
        <v>1500</v>
      </c>
      <c r="Z21" s="781">
        <v>21</v>
      </c>
      <c r="AA21" s="689">
        <v>25</v>
      </c>
      <c r="AB21" s="242"/>
      <c r="AC21" s="242"/>
      <c r="AD21" s="404"/>
      <c r="AE21" s="377"/>
      <c r="AF21" s="375"/>
      <c r="AG21" s="374"/>
    </row>
    <row r="22" spans="1:59" x14ac:dyDescent="0.25">
      <c r="A22" s="394">
        <v>41821</v>
      </c>
      <c r="B22" s="394">
        <v>42185</v>
      </c>
      <c r="C22" s="396">
        <v>0.02</v>
      </c>
      <c r="D22" s="397">
        <v>0.1</v>
      </c>
      <c r="E22" s="398">
        <v>20896</v>
      </c>
      <c r="F22" s="398">
        <v>33044</v>
      </c>
      <c r="G22" s="398">
        <v>33044</v>
      </c>
      <c r="H22" s="399">
        <v>35261</v>
      </c>
      <c r="I22" s="398">
        <v>46000</v>
      </c>
      <c r="J22" s="398">
        <v>46000</v>
      </c>
      <c r="K22" s="398">
        <v>3238</v>
      </c>
      <c r="L22" s="781">
        <v>21</v>
      </c>
      <c r="M22" s="781">
        <v>25</v>
      </c>
      <c r="N22" s="398">
        <v>1410</v>
      </c>
      <c r="O22" s="398">
        <v>1786</v>
      </c>
      <c r="P22" s="396">
        <v>0.01</v>
      </c>
      <c r="Q22" s="400">
        <v>1.2500000000000001E-2</v>
      </c>
      <c r="R22" s="397">
        <v>1.4999999999999999E-2</v>
      </c>
      <c r="S22" s="398">
        <v>90000</v>
      </c>
      <c r="T22" s="398">
        <v>105000</v>
      </c>
      <c r="U22" s="398">
        <v>140000</v>
      </c>
      <c r="V22" s="399">
        <v>180000</v>
      </c>
      <c r="W22" s="398">
        <v>210000</v>
      </c>
      <c r="X22" s="398">
        <v>280000</v>
      </c>
      <c r="Y22" s="398">
        <v>1500</v>
      </c>
      <c r="Z22" s="781">
        <v>21</v>
      </c>
      <c r="AA22" s="689">
        <v>25</v>
      </c>
      <c r="AB22" s="242"/>
      <c r="AC22" s="242"/>
      <c r="AD22" s="404"/>
      <c r="AE22" s="377"/>
      <c r="AF22" s="401">
        <v>180000</v>
      </c>
      <c r="AG22" s="937">
        <v>0.02</v>
      </c>
    </row>
    <row r="23" spans="1:59" s="5" customFormat="1" x14ac:dyDescent="0.25">
      <c r="A23" s="394">
        <v>42186</v>
      </c>
      <c r="B23" s="394">
        <v>42551</v>
      </c>
      <c r="C23" s="944">
        <f>C22</f>
        <v>0.02</v>
      </c>
      <c r="D23" s="397">
        <v>0.1</v>
      </c>
      <c r="E23" s="398">
        <v>21335</v>
      </c>
      <c r="F23" s="398">
        <v>33738</v>
      </c>
      <c r="G23" s="398">
        <v>33738</v>
      </c>
      <c r="H23" s="399">
        <v>36001</v>
      </c>
      <c r="I23" s="398">
        <v>46966</v>
      </c>
      <c r="J23" s="398">
        <v>46966</v>
      </c>
      <c r="K23" s="398">
        <v>3306</v>
      </c>
      <c r="L23" s="781">
        <f t="shared" ref="K23:M28" si="0">L22</f>
        <v>21</v>
      </c>
      <c r="M23" s="781">
        <f t="shared" si="0"/>
        <v>25</v>
      </c>
      <c r="N23" s="398">
        <v>1410</v>
      </c>
      <c r="O23" s="398">
        <v>1786</v>
      </c>
      <c r="P23" s="944">
        <v>0.01</v>
      </c>
      <c r="Q23" s="400">
        <f t="shared" ref="Q23:Q28" si="1">P23+0.0025</f>
        <v>1.2500000000000001E-2</v>
      </c>
      <c r="R23" s="397">
        <f t="shared" ref="R23:R28" si="2">P23+0.005</f>
        <v>1.4999999999999999E-2</v>
      </c>
      <c r="S23" s="398">
        <f>S22</f>
        <v>90000</v>
      </c>
      <c r="T23" s="398">
        <f t="shared" ref="T23:U25" si="3">T22</f>
        <v>105000</v>
      </c>
      <c r="U23" s="398">
        <f t="shared" si="3"/>
        <v>140000</v>
      </c>
      <c r="V23" s="399">
        <f t="shared" ref="V23:X25" si="4">S23*2</f>
        <v>180000</v>
      </c>
      <c r="W23" s="398">
        <f t="shared" si="4"/>
        <v>210000</v>
      </c>
      <c r="X23" s="398">
        <f t="shared" si="4"/>
        <v>280000</v>
      </c>
      <c r="Y23" s="398">
        <v>1500</v>
      </c>
      <c r="Z23" s="781">
        <f t="shared" ref="Z23:Z28" si="5">Z22</f>
        <v>21</v>
      </c>
      <c r="AA23" s="689">
        <f t="shared" ref="AA23:AA28" si="6">AA22</f>
        <v>25</v>
      </c>
      <c r="AB23" s="242"/>
      <c r="AC23" s="242"/>
      <c r="AD23" s="404"/>
      <c r="AE23" s="377"/>
      <c r="AF23" s="401">
        <v>180000</v>
      </c>
      <c r="AG23" s="937">
        <v>0.02</v>
      </c>
    </row>
    <row r="24" spans="1:59" x14ac:dyDescent="0.25">
      <c r="A24" s="394">
        <v>42552</v>
      </c>
      <c r="B24" s="394">
        <v>42916</v>
      </c>
      <c r="C24" s="944">
        <f>C23</f>
        <v>0.02</v>
      </c>
      <c r="D24" s="397">
        <v>0.1</v>
      </c>
      <c r="E24" s="398">
        <v>21655</v>
      </c>
      <c r="F24" s="398">
        <v>34244</v>
      </c>
      <c r="G24" s="398">
        <v>34244</v>
      </c>
      <c r="H24" s="399">
        <v>36541</v>
      </c>
      <c r="I24" s="398">
        <v>47670</v>
      </c>
      <c r="J24" s="398">
        <v>47670</v>
      </c>
      <c r="K24" s="398">
        <v>3356</v>
      </c>
      <c r="L24" s="781">
        <f t="shared" si="0"/>
        <v>21</v>
      </c>
      <c r="M24" s="781">
        <f t="shared" si="0"/>
        <v>25</v>
      </c>
      <c r="N24" s="398">
        <v>1410</v>
      </c>
      <c r="O24" s="398">
        <v>1786</v>
      </c>
      <c r="P24" s="944">
        <v>0.01</v>
      </c>
      <c r="Q24" s="400">
        <f t="shared" si="1"/>
        <v>1.2500000000000001E-2</v>
      </c>
      <c r="R24" s="397">
        <f t="shared" si="2"/>
        <v>1.4999999999999999E-2</v>
      </c>
      <c r="S24" s="398">
        <f>S22</f>
        <v>90000</v>
      </c>
      <c r="T24" s="398">
        <f t="shared" si="3"/>
        <v>105000</v>
      </c>
      <c r="U24" s="398">
        <f t="shared" si="3"/>
        <v>140000</v>
      </c>
      <c r="V24" s="399">
        <f t="shared" si="4"/>
        <v>180000</v>
      </c>
      <c r="W24" s="398">
        <f t="shared" si="4"/>
        <v>210000</v>
      </c>
      <c r="X24" s="398">
        <f t="shared" si="4"/>
        <v>280000</v>
      </c>
      <c r="Y24" s="398">
        <v>1500</v>
      </c>
      <c r="Z24" s="781">
        <f t="shared" si="5"/>
        <v>21</v>
      </c>
      <c r="AA24" s="689">
        <f t="shared" si="6"/>
        <v>25</v>
      </c>
      <c r="AB24" s="242"/>
      <c r="AC24" s="242"/>
      <c r="AD24" s="404"/>
      <c r="AE24" s="377"/>
      <c r="AF24" s="401">
        <v>180000</v>
      </c>
      <c r="AG24" s="937">
        <v>0.02</v>
      </c>
    </row>
    <row r="25" spans="1:59" x14ac:dyDescent="0.25">
      <c r="A25" s="74">
        <v>42917</v>
      </c>
      <c r="B25" s="74">
        <v>43281</v>
      </c>
      <c r="C25" s="30">
        <f>C24</f>
        <v>0.02</v>
      </c>
      <c r="D25" s="15">
        <v>0.1</v>
      </c>
      <c r="E25" s="388">
        <f>E24</f>
        <v>21655</v>
      </c>
      <c r="F25" s="388">
        <f>G25</f>
        <v>34244</v>
      </c>
      <c r="G25" s="388">
        <f>G24</f>
        <v>34244</v>
      </c>
      <c r="H25" s="391">
        <f t="shared" ref="H25:J28" si="7">H24</f>
        <v>36541</v>
      </c>
      <c r="I25" s="388">
        <f t="shared" si="7"/>
        <v>47670</v>
      </c>
      <c r="J25" s="388">
        <f t="shared" si="7"/>
        <v>47670</v>
      </c>
      <c r="K25" s="388">
        <f t="shared" si="0"/>
        <v>3356</v>
      </c>
      <c r="L25" s="782">
        <f t="shared" si="0"/>
        <v>21</v>
      </c>
      <c r="M25" s="782">
        <f t="shared" si="0"/>
        <v>25</v>
      </c>
      <c r="N25" s="388">
        <v>1410</v>
      </c>
      <c r="O25" s="388">
        <v>1786</v>
      </c>
      <c r="P25" s="30">
        <v>0.01</v>
      </c>
      <c r="Q25" s="383">
        <f t="shared" si="1"/>
        <v>1.2500000000000001E-2</v>
      </c>
      <c r="R25" s="15">
        <f t="shared" si="2"/>
        <v>1.4999999999999999E-2</v>
      </c>
      <c r="S25" s="388">
        <f>S22</f>
        <v>90000</v>
      </c>
      <c r="T25" s="388">
        <f t="shared" si="3"/>
        <v>105000</v>
      </c>
      <c r="U25" s="388">
        <f t="shared" si="3"/>
        <v>140000</v>
      </c>
      <c r="V25" s="391">
        <f>S25*2</f>
        <v>180000</v>
      </c>
      <c r="W25" s="388">
        <f t="shared" si="4"/>
        <v>210000</v>
      </c>
      <c r="X25" s="388">
        <f t="shared" si="4"/>
        <v>280000</v>
      </c>
      <c r="Y25" s="388">
        <v>1500</v>
      </c>
      <c r="Z25" s="782">
        <f t="shared" si="5"/>
        <v>21</v>
      </c>
      <c r="AA25" s="690">
        <f t="shared" si="6"/>
        <v>25</v>
      </c>
      <c r="AB25" s="34"/>
      <c r="AC25" s="34"/>
      <c r="AD25" s="76"/>
      <c r="AE25" s="104"/>
      <c r="AF25" s="33"/>
      <c r="AG25" s="75"/>
    </row>
    <row r="26" spans="1:59" x14ac:dyDescent="0.25">
      <c r="A26" s="74">
        <v>43282</v>
      </c>
      <c r="B26" s="74">
        <v>43646</v>
      </c>
      <c r="C26" s="30">
        <f>C25</f>
        <v>0.02</v>
      </c>
      <c r="D26" s="15">
        <v>0.1</v>
      </c>
      <c r="E26" s="388">
        <f>E25</f>
        <v>21655</v>
      </c>
      <c r="F26" s="388">
        <f>G26</f>
        <v>34244</v>
      </c>
      <c r="G26" s="388">
        <f>G25</f>
        <v>34244</v>
      </c>
      <c r="H26" s="391">
        <f t="shared" si="7"/>
        <v>36541</v>
      </c>
      <c r="I26" s="388">
        <f t="shared" si="7"/>
        <v>47670</v>
      </c>
      <c r="J26" s="388">
        <f t="shared" si="7"/>
        <v>47670</v>
      </c>
      <c r="K26" s="388">
        <f t="shared" si="0"/>
        <v>3356</v>
      </c>
      <c r="L26" s="782">
        <f t="shared" si="0"/>
        <v>21</v>
      </c>
      <c r="M26" s="782">
        <f t="shared" si="0"/>
        <v>25</v>
      </c>
      <c r="N26" s="388">
        <v>1410</v>
      </c>
      <c r="O26" s="388">
        <v>1786</v>
      </c>
      <c r="P26" s="30">
        <v>0.01</v>
      </c>
      <c r="Q26" s="383">
        <f t="shared" si="1"/>
        <v>1.2500000000000001E-2</v>
      </c>
      <c r="R26" s="15">
        <f t="shared" si="2"/>
        <v>1.4999999999999999E-2</v>
      </c>
      <c r="S26" s="1045">
        <f>S25</f>
        <v>90000</v>
      </c>
      <c r="T26" s="388">
        <f t="shared" ref="T26:X28" si="8">T25</f>
        <v>105000</v>
      </c>
      <c r="U26" s="388">
        <f t="shared" si="8"/>
        <v>140000</v>
      </c>
      <c r="V26" s="391">
        <f t="shared" si="8"/>
        <v>180000</v>
      </c>
      <c r="W26" s="388">
        <f t="shared" si="8"/>
        <v>210000</v>
      </c>
      <c r="X26" s="388">
        <f t="shared" si="8"/>
        <v>280000</v>
      </c>
      <c r="Y26" s="388">
        <v>1500</v>
      </c>
      <c r="Z26" s="782">
        <f t="shared" si="5"/>
        <v>21</v>
      </c>
      <c r="AA26" s="690">
        <f t="shared" si="6"/>
        <v>25</v>
      </c>
      <c r="AB26" s="34"/>
      <c r="AC26" s="34"/>
      <c r="AD26" s="76"/>
      <c r="AE26" s="104"/>
      <c r="AF26" s="33"/>
      <c r="AG26" s="75"/>
    </row>
    <row r="27" spans="1:59" x14ac:dyDescent="0.25">
      <c r="A27" s="74">
        <v>43647</v>
      </c>
      <c r="B27" s="74">
        <v>44012</v>
      </c>
      <c r="C27" s="1056">
        <v>2.5000000000000001E-2</v>
      </c>
      <c r="D27" s="15">
        <v>0.1</v>
      </c>
      <c r="E27" s="388">
        <f>E26</f>
        <v>21655</v>
      </c>
      <c r="F27" s="388">
        <f>G27</f>
        <v>34244</v>
      </c>
      <c r="G27" s="388">
        <f>G26</f>
        <v>34244</v>
      </c>
      <c r="H27" s="391">
        <f t="shared" si="7"/>
        <v>36541</v>
      </c>
      <c r="I27" s="388">
        <f t="shared" si="7"/>
        <v>47670</v>
      </c>
      <c r="J27" s="388">
        <f t="shared" si="7"/>
        <v>47670</v>
      </c>
      <c r="K27" s="388">
        <f t="shared" si="0"/>
        <v>3356</v>
      </c>
      <c r="L27" s="782">
        <f t="shared" si="0"/>
        <v>21</v>
      </c>
      <c r="M27" s="782">
        <f t="shared" si="0"/>
        <v>25</v>
      </c>
      <c r="N27" s="388">
        <v>1410</v>
      </c>
      <c r="O27" s="388">
        <v>1786</v>
      </c>
      <c r="P27" s="30">
        <v>0.01</v>
      </c>
      <c r="Q27" s="383">
        <f t="shared" si="1"/>
        <v>1.2500000000000001E-2</v>
      </c>
      <c r="R27" s="15">
        <f t="shared" si="2"/>
        <v>1.4999999999999999E-2</v>
      </c>
      <c r="S27" s="1045">
        <f>S26</f>
        <v>90000</v>
      </c>
      <c r="T27" s="388">
        <f t="shared" si="8"/>
        <v>105000</v>
      </c>
      <c r="U27" s="388">
        <f t="shared" si="8"/>
        <v>140000</v>
      </c>
      <c r="V27" s="391">
        <f t="shared" si="8"/>
        <v>180000</v>
      </c>
      <c r="W27" s="388">
        <f t="shared" si="8"/>
        <v>210000</v>
      </c>
      <c r="X27" s="388">
        <f t="shared" si="8"/>
        <v>280000</v>
      </c>
      <c r="Y27" s="388">
        <v>1500</v>
      </c>
      <c r="Z27" s="782">
        <f t="shared" si="5"/>
        <v>21</v>
      </c>
      <c r="AA27" s="690">
        <f t="shared" si="6"/>
        <v>25</v>
      </c>
      <c r="AB27" s="34"/>
      <c r="AC27" s="34"/>
      <c r="AD27" s="76"/>
      <c r="AE27" s="104"/>
      <c r="AF27" s="33"/>
      <c r="AG27" s="75"/>
    </row>
    <row r="28" spans="1:59" x14ac:dyDescent="0.25">
      <c r="A28" s="74">
        <v>44013</v>
      </c>
      <c r="B28" s="74">
        <v>44377</v>
      </c>
      <c r="C28" s="30">
        <f>C27</f>
        <v>2.5000000000000001E-2</v>
      </c>
      <c r="D28" s="15">
        <v>0.1</v>
      </c>
      <c r="E28" s="388">
        <f>E27</f>
        <v>21655</v>
      </c>
      <c r="F28" s="388">
        <f>G28</f>
        <v>34244</v>
      </c>
      <c r="G28" s="388">
        <f>G27</f>
        <v>34244</v>
      </c>
      <c r="H28" s="391">
        <f t="shared" si="7"/>
        <v>36541</v>
      </c>
      <c r="I28" s="388">
        <f t="shared" si="7"/>
        <v>47670</v>
      </c>
      <c r="J28" s="388">
        <f t="shared" si="7"/>
        <v>47670</v>
      </c>
      <c r="K28" s="388">
        <f t="shared" si="0"/>
        <v>3356</v>
      </c>
      <c r="L28" s="782">
        <f t="shared" si="0"/>
        <v>21</v>
      </c>
      <c r="M28" s="782">
        <f t="shared" si="0"/>
        <v>25</v>
      </c>
      <c r="N28" s="388">
        <v>1410</v>
      </c>
      <c r="O28" s="388">
        <v>1786</v>
      </c>
      <c r="P28" s="30">
        <v>0.01</v>
      </c>
      <c r="Q28" s="383">
        <f t="shared" si="1"/>
        <v>1.2500000000000001E-2</v>
      </c>
      <c r="R28" s="15">
        <f t="shared" si="2"/>
        <v>1.4999999999999999E-2</v>
      </c>
      <c r="S28" s="1045">
        <f>S27</f>
        <v>90000</v>
      </c>
      <c r="T28" s="388">
        <f t="shared" si="8"/>
        <v>105000</v>
      </c>
      <c r="U28" s="388">
        <f t="shared" si="8"/>
        <v>140000</v>
      </c>
      <c r="V28" s="391">
        <f t="shared" si="8"/>
        <v>180000</v>
      </c>
      <c r="W28" s="388">
        <f t="shared" si="8"/>
        <v>210000</v>
      </c>
      <c r="X28" s="388">
        <f t="shared" si="8"/>
        <v>280000</v>
      </c>
      <c r="Y28" s="388">
        <v>1500</v>
      </c>
      <c r="Z28" s="782">
        <f t="shared" si="5"/>
        <v>21</v>
      </c>
      <c r="AA28" s="690">
        <f t="shared" si="6"/>
        <v>25</v>
      </c>
      <c r="AB28" s="34"/>
      <c r="AC28" s="34"/>
      <c r="AD28" s="76"/>
      <c r="AE28" s="104"/>
      <c r="AF28" s="33"/>
      <c r="AG28" s="75"/>
    </row>
    <row r="29" spans="1:59" x14ac:dyDescent="0.25">
      <c r="A29"/>
      <c r="C29"/>
      <c r="D29"/>
      <c r="E29"/>
      <c r="F29"/>
      <c r="G29"/>
      <c r="H29"/>
      <c r="I29"/>
      <c r="J29"/>
      <c r="K29"/>
      <c r="L29"/>
      <c r="M29"/>
      <c r="N29"/>
      <c r="O29"/>
      <c r="P29"/>
      <c r="Q29"/>
      <c r="R29"/>
      <c r="S29"/>
      <c r="T29"/>
      <c r="U29"/>
      <c r="V29"/>
      <c r="W29"/>
      <c r="X29"/>
      <c r="Y29"/>
      <c r="Z29"/>
      <c r="AA29"/>
      <c r="AB29"/>
      <c r="AC29"/>
      <c r="AD29"/>
      <c r="AE29"/>
      <c r="AF29"/>
      <c r="AG29"/>
      <c r="AH29"/>
      <c r="AI29"/>
      <c r="AJ29"/>
      <c r="AK29"/>
      <c r="AL29"/>
      <c r="AM29"/>
      <c r="AN29"/>
      <c r="AO29"/>
      <c r="AP29"/>
      <c r="AQ29"/>
      <c r="AR29"/>
      <c r="AS29"/>
      <c r="AT29"/>
      <c r="AU29"/>
      <c r="AV29"/>
      <c r="AW29"/>
      <c r="AX29"/>
      <c r="AY29"/>
      <c r="AZ29"/>
      <c r="BA29"/>
      <c r="BB29"/>
      <c r="BC29"/>
      <c r="BD29"/>
      <c r="BE29"/>
      <c r="BF29"/>
      <c r="BG29"/>
    </row>
  </sheetData>
  <customSheetViews>
    <customSheetView guid="{E49C2F27-B0B9-497E-BEC0-5B59561292FE}" topLeftCell="E1">
      <selection activeCell="H8" sqref="H8"/>
      <pageMargins left="0.7" right="0.7" top="0.75" bottom="0.75" header="0.3" footer="0.3"/>
      <pageSetup paperSize="9" orientation="portrait" r:id="rId1"/>
    </customSheetView>
    <customSheetView guid="{A5953138-1481-4137-BEAD-32FA4FDF03E6}" topLeftCell="E1">
      <selection activeCell="H8" sqref="H8"/>
      <pageMargins left="0.7" right="0.7" top="0.75" bottom="0.75" header="0.3" footer="0.3"/>
      <pageSetup paperSize="9" orientation="portrait" r:id="rId2"/>
    </customSheetView>
    <customSheetView guid="{2A1F94CA-1A34-4418-88FD-EABF7586C2B2}" topLeftCell="E1">
      <selection activeCell="H8" sqref="H8"/>
      <pageMargins left="0.7" right="0.7" top="0.75" bottom="0.75" header="0.3" footer="0.3"/>
      <pageSetup paperSize="9" orientation="portrait" r:id="rId3"/>
    </customSheetView>
  </customSheetViews>
  <mergeCells count="21">
    <mergeCell ref="A2:B6"/>
    <mergeCell ref="AF2:AF6"/>
    <mergeCell ref="AG2:AG6"/>
    <mergeCell ref="AF1:AG1"/>
    <mergeCell ref="AB2:AB6"/>
    <mergeCell ref="AC2:AC6"/>
    <mergeCell ref="AD2:AD6"/>
    <mergeCell ref="AE2:AE6"/>
    <mergeCell ref="AB1:AE1"/>
    <mergeCell ref="E3:O3"/>
    <mergeCell ref="P1:AA2"/>
    <mergeCell ref="P3:R5"/>
    <mergeCell ref="S3:AA4"/>
    <mergeCell ref="E4:G5"/>
    <mergeCell ref="S5:U5"/>
    <mergeCell ref="C1:O2"/>
    <mergeCell ref="C3:D5"/>
    <mergeCell ref="H4:K5"/>
    <mergeCell ref="L4:O5"/>
    <mergeCell ref="V5:Y5"/>
    <mergeCell ref="Z5:AA5"/>
  </mergeCells>
  <pageMargins left="0.7" right="0.7" top="0.75" bottom="0.75" header="0.3" footer="0.3"/>
  <pageSetup paperSize="9" orientation="portrait" r:id="rId4"/>
  <ignoredErrors>
    <ignoredError sqref="F25:F28" formula="1"/>
  </ignoredErrors>
  <legacyDrawing r:id="rId5"/>
</worksheet>
</file>

<file path=xl/worksheets/sheet5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500-000000000000}">
  <sheetPr codeName="Sheet52">
    <tabColor rgb="FFFFFF00"/>
  </sheetPr>
  <dimension ref="A1:AY28"/>
  <sheetViews>
    <sheetView workbookViewId="0">
      <pane xSplit="2" ySplit="7" topLeftCell="W8" activePane="bottomRight" state="frozen"/>
      <selection pane="topRight" activeCell="C1" sqref="C1"/>
      <selection pane="bottomLeft" activeCell="A8" sqref="A8"/>
      <selection pane="bottomRight" activeCell="N8" sqref="N8"/>
    </sheetView>
  </sheetViews>
  <sheetFormatPr defaultRowHeight="15" x14ac:dyDescent="0.25"/>
  <cols>
    <col min="1" max="1" width="20.140625" style="28" bestFit="1" customWidth="1"/>
    <col min="2" max="2" width="10.7109375" bestFit="1" customWidth="1"/>
    <col min="3" max="3" width="21.7109375" style="28" bestFit="1" customWidth="1"/>
    <col min="4" max="4" width="23.140625" style="28" customWidth="1"/>
    <col min="5" max="5" width="16.28515625" style="28" bestFit="1" customWidth="1"/>
    <col min="6" max="6" width="22.5703125" style="28" customWidth="1"/>
    <col min="7" max="7" width="19.42578125" style="28" customWidth="1"/>
    <col min="8" max="11" width="19.42578125" style="697" customWidth="1"/>
    <col min="12" max="12" width="16.7109375" style="28" customWidth="1"/>
    <col min="13" max="13" width="13.28515625" style="28" customWidth="1"/>
    <col min="14" max="14" width="15.42578125" style="28" bestFit="1" customWidth="1"/>
    <col min="15" max="16" width="15.7109375" style="28" bestFit="1" customWidth="1"/>
    <col min="17" max="17" width="15.7109375" style="16" bestFit="1" customWidth="1"/>
    <col min="18" max="18" width="15.7109375" style="28" bestFit="1" customWidth="1"/>
    <col min="19" max="19" width="15.7109375" style="502" customWidth="1"/>
    <col min="20" max="23" width="17.140625" style="28" bestFit="1" customWidth="1"/>
    <col min="24" max="24" width="16.28515625" style="28" bestFit="1" customWidth="1"/>
    <col min="25" max="26" width="24.5703125" style="28" bestFit="1" customWidth="1"/>
    <col min="27" max="30" width="17.140625" style="28" bestFit="1" customWidth="1"/>
    <col min="31" max="31" width="17.140625" style="502" customWidth="1"/>
    <col min="32" max="33" width="18.7109375" style="28" bestFit="1" customWidth="1"/>
    <col min="34" max="34" width="18.7109375" style="28" customWidth="1"/>
    <col min="35" max="35" width="16.85546875" style="28" customWidth="1"/>
    <col min="36" max="36" width="17.42578125" style="28" customWidth="1"/>
    <col min="37" max="37" width="14.28515625" style="28" customWidth="1"/>
    <col min="38" max="38" width="19.42578125" style="28" customWidth="1"/>
    <col min="39" max="39" width="17.5703125" style="28" customWidth="1"/>
    <col min="40" max="41" width="17.140625" style="28" bestFit="1" customWidth="1"/>
    <col min="42" max="42" width="28" style="28" customWidth="1"/>
    <col min="43" max="43" width="18.7109375" style="28" bestFit="1" customWidth="1"/>
    <col min="44" max="44" width="17.140625" style="28" bestFit="1" customWidth="1"/>
    <col min="45" max="45" width="18.7109375" style="28" bestFit="1" customWidth="1"/>
    <col min="46" max="46" width="15.7109375" style="28" bestFit="1" customWidth="1"/>
    <col min="47" max="47" width="16.5703125" style="28" bestFit="1" customWidth="1"/>
    <col min="48" max="48" width="17.140625" style="28" bestFit="1" customWidth="1"/>
    <col min="49" max="49" width="15.7109375" style="28" bestFit="1" customWidth="1"/>
    <col min="50" max="50" width="18.28515625" style="697" bestFit="1" customWidth="1"/>
    <col min="51" max="51" width="19.5703125" style="697" bestFit="1" customWidth="1"/>
    <col min="52" max="16384" width="9.140625" style="28"/>
  </cols>
  <sheetData>
    <row r="1" spans="1:51" ht="21.75" customHeight="1" thickBot="1" x14ac:dyDescent="0.3">
      <c r="A1" s="87"/>
      <c r="C1" s="1271" t="s">
        <v>87</v>
      </c>
      <c r="D1" s="1272"/>
      <c r="E1" s="1272"/>
      <c r="F1" s="1272"/>
      <c r="G1" s="1273"/>
      <c r="H1" s="1271" t="s">
        <v>654</v>
      </c>
      <c r="I1" s="1272"/>
      <c r="J1" s="1272"/>
      <c r="K1" s="1272"/>
      <c r="L1" s="1160" t="s">
        <v>335</v>
      </c>
      <c r="M1" s="1161"/>
      <c r="N1" s="1162"/>
      <c r="O1" s="1160" t="s">
        <v>88</v>
      </c>
      <c r="P1" s="1161"/>
      <c r="Q1" s="1161"/>
      <c r="R1" s="1161"/>
      <c r="S1" s="1162"/>
      <c r="T1" s="1160" t="s">
        <v>113</v>
      </c>
      <c r="U1" s="1161"/>
      <c r="V1" s="1161"/>
      <c r="W1" s="1161"/>
      <c r="X1" s="1161"/>
      <c r="Y1" s="1161"/>
      <c r="Z1" s="1162"/>
      <c r="AA1" s="1160" t="s">
        <v>123</v>
      </c>
      <c r="AB1" s="1161"/>
      <c r="AC1" s="1161"/>
      <c r="AD1" s="1161"/>
      <c r="AE1" s="1162"/>
      <c r="AF1" s="1160" t="s">
        <v>121</v>
      </c>
      <c r="AG1" s="1161"/>
      <c r="AH1" s="1161"/>
      <c r="AI1" s="1161"/>
      <c r="AJ1" s="1160" t="s">
        <v>89</v>
      </c>
      <c r="AK1" s="1161"/>
      <c r="AL1" s="1161"/>
      <c r="AM1" s="1161"/>
      <c r="AN1" s="1161"/>
      <c r="AO1" s="1161"/>
      <c r="AP1" s="1162"/>
      <c r="AQ1" s="1160" t="s">
        <v>90</v>
      </c>
      <c r="AR1" s="1161"/>
      <c r="AS1" s="1162"/>
      <c r="AT1" s="1160" t="s">
        <v>325</v>
      </c>
      <c r="AU1" s="1161"/>
      <c r="AV1" s="1161"/>
      <c r="AW1" s="1162"/>
      <c r="AX1" s="1160" t="s">
        <v>531</v>
      </c>
      <c r="AY1" s="1161"/>
    </row>
    <row r="2" spans="1:51" ht="51.75" customHeight="1" thickBot="1" x14ac:dyDescent="0.3">
      <c r="A2" s="1215" t="s">
        <v>563</v>
      </c>
      <c r="B2" s="1236"/>
      <c r="C2" s="600" t="s">
        <v>23</v>
      </c>
      <c r="D2" s="1211" t="s">
        <v>24</v>
      </c>
      <c r="E2" s="1212"/>
      <c r="F2" s="1213"/>
      <c r="G2" s="476" t="s">
        <v>321</v>
      </c>
      <c r="H2" s="705" t="s">
        <v>23</v>
      </c>
      <c r="I2" s="1211" t="s">
        <v>24</v>
      </c>
      <c r="J2" s="1212"/>
      <c r="K2" s="1213"/>
      <c r="L2" s="98" t="s">
        <v>67</v>
      </c>
      <c r="M2" s="1211" t="s">
        <v>58</v>
      </c>
      <c r="N2" s="1213"/>
      <c r="O2" s="1211" t="s">
        <v>67</v>
      </c>
      <c r="P2" s="1213"/>
      <c r="Q2" s="1211" t="s">
        <v>58</v>
      </c>
      <c r="R2" s="1212"/>
      <c r="S2" s="1213"/>
      <c r="T2" s="1211" t="s">
        <v>67</v>
      </c>
      <c r="U2" s="1213"/>
      <c r="V2" s="1211" t="s">
        <v>58</v>
      </c>
      <c r="W2" s="1212"/>
      <c r="X2" s="1212"/>
      <c r="Y2" s="1212"/>
      <c r="Z2" s="1213"/>
      <c r="AA2" s="1211" t="s">
        <v>67</v>
      </c>
      <c r="AB2" s="1213"/>
      <c r="AC2" s="1211" t="s">
        <v>58</v>
      </c>
      <c r="AD2" s="1212"/>
      <c r="AE2" s="1213"/>
      <c r="AF2" s="1211" t="s">
        <v>67</v>
      </c>
      <c r="AG2" s="1213"/>
      <c r="AH2" s="1211" t="s">
        <v>324</v>
      </c>
      <c r="AI2" s="1213"/>
      <c r="AJ2" s="98" t="s">
        <v>67</v>
      </c>
      <c r="AK2" s="1211" t="s">
        <v>58</v>
      </c>
      <c r="AL2" s="1212"/>
      <c r="AM2" s="1212"/>
      <c r="AN2" s="1212"/>
      <c r="AO2" s="1212"/>
      <c r="AP2" s="1212"/>
      <c r="AQ2" s="1211" t="s">
        <v>99</v>
      </c>
      <c r="AR2" s="1212"/>
      <c r="AS2" s="1157" t="s">
        <v>100</v>
      </c>
      <c r="AT2" s="1250" t="s">
        <v>290</v>
      </c>
      <c r="AU2" s="1256" t="s">
        <v>291</v>
      </c>
      <c r="AV2" s="1256" t="s">
        <v>289</v>
      </c>
      <c r="AW2" s="1187" t="s">
        <v>292</v>
      </c>
      <c r="AX2" s="1250" t="s">
        <v>532</v>
      </c>
      <c r="AY2" s="1187" t="s">
        <v>660</v>
      </c>
    </row>
    <row r="3" spans="1:51" ht="15.75" customHeight="1" thickBot="1" x14ac:dyDescent="0.3">
      <c r="A3" s="1215"/>
      <c r="B3" s="1236"/>
      <c r="C3" s="1250" t="s">
        <v>101</v>
      </c>
      <c r="D3" s="1250" t="s">
        <v>91</v>
      </c>
      <c r="E3" s="1256" t="s">
        <v>92</v>
      </c>
      <c r="F3" s="1187" t="s">
        <v>93</v>
      </c>
      <c r="G3" s="1157" t="s">
        <v>320</v>
      </c>
      <c r="H3" s="1250" t="s">
        <v>101</v>
      </c>
      <c r="I3" s="1250" t="s">
        <v>525</v>
      </c>
      <c r="J3" s="1256" t="s">
        <v>92</v>
      </c>
      <c r="K3" s="1187" t="s">
        <v>93</v>
      </c>
      <c r="L3" s="1157" t="s">
        <v>94</v>
      </c>
      <c r="M3" s="1256" t="s">
        <v>95</v>
      </c>
      <c r="N3" s="1187" t="s">
        <v>96</v>
      </c>
      <c r="O3" s="1248" t="s">
        <v>97</v>
      </c>
      <c r="P3" s="1239"/>
      <c r="Q3" s="1248" t="s">
        <v>39</v>
      </c>
      <c r="R3" s="1239"/>
      <c r="S3" s="609" t="s">
        <v>344</v>
      </c>
      <c r="T3" s="1248" t="s">
        <v>119</v>
      </c>
      <c r="U3" s="1239"/>
      <c r="V3" s="1248" t="s">
        <v>39</v>
      </c>
      <c r="W3" s="1239"/>
      <c r="X3" s="1157" t="s">
        <v>114</v>
      </c>
      <c r="Y3" s="1248" t="s">
        <v>127</v>
      </c>
      <c r="Z3" s="1239"/>
      <c r="AA3" s="1248" t="s">
        <v>119</v>
      </c>
      <c r="AB3" s="1239"/>
      <c r="AC3" s="1248" t="s">
        <v>39</v>
      </c>
      <c r="AD3" s="1239"/>
      <c r="AE3" s="610" t="s">
        <v>344</v>
      </c>
      <c r="AF3" s="1250" t="s">
        <v>67</v>
      </c>
      <c r="AG3" s="1187" t="s">
        <v>319</v>
      </c>
      <c r="AH3" s="1250" t="s">
        <v>322</v>
      </c>
      <c r="AI3" s="1187" t="s">
        <v>323</v>
      </c>
      <c r="AJ3" s="1157" t="s">
        <v>94</v>
      </c>
      <c r="AK3" s="1250" t="s">
        <v>98</v>
      </c>
      <c r="AL3" s="1256" t="s">
        <v>112</v>
      </c>
      <c r="AM3" s="1256" t="s">
        <v>120</v>
      </c>
      <c r="AN3" s="1256" t="s">
        <v>102</v>
      </c>
      <c r="AO3" s="1256" t="s">
        <v>103</v>
      </c>
      <c r="AP3" s="1187" t="s">
        <v>104</v>
      </c>
      <c r="AQ3" s="1250" t="s">
        <v>105</v>
      </c>
      <c r="AR3" s="1187" t="s">
        <v>106</v>
      </c>
      <c r="AS3" s="1158"/>
      <c r="AT3" s="1188"/>
      <c r="AU3" s="1189"/>
      <c r="AV3" s="1189"/>
      <c r="AW3" s="1176"/>
      <c r="AX3" s="1188"/>
      <c r="AY3" s="1176"/>
    </row>
    <row r="4" spans="1:51" ht="15.75" customHeight="1" x14ac:dyDescent="0.25">
      <c r="A4" s="1215"/>
      <c r="B4" s="1236"/>
      <c r="C4" s="1188"/>
      <c r="D4" s="1188"/>
      <c r="E4" s="1189"/>
      <c r="F4" s="1176"/>
      <c r="G4" s="1158"/>
      <c r="H4" s="1188"/>
      <c r="I4" s="1188"/>
      <c r="J4" s="1189"/>
      <c r="K4" s="1176"/>
      <c r="L4" s="1158"/>
      <c r="M4" s="1189"/>
      <c r="N4" s="1176"/>
      <c r="O4" s="1250" t="s">
        <v>12</v>
      </c>
      <c r="P4" s="1187" t="s">
        <v>11</v>
      </c>
      <c r="Q4" s="1250" t="s">
        <v>12</v>
      </c>
      <c r="R4" s="1187" t="s">
        <v>11</v>
      </c>
      <c r="S4" s="1157"/>
      <c r="T4" s="1250" t="s">
        <v>12</v>
      </c>
      <c r="U4" s="1187" t="s">
        <v>11</v>
      </c>
      <c r="V4" s="1250" t="s">
        <v>12</v>
      </c>
      <c r="W4" s="1256" t="s">
        <v>11</v>
      </c>
      <c r="X4" s="1158"/>
      <c r="Y4" s="1250" t="s">
        <v>12</v>
      </c>
      <c r="Z4" s="1187" t="s">
        <v>11</v>
      </c>
      <c r="AA4" s="1250" t="s">
        <v>12</v>
      </c>
      <c r="AB4" s="1187" t="s">
        <v>11</v>
      </c>
      <c r="AC4" s="1250" t="s">
        <v>12</v>
      </c>
      <c r="AD4" s="1256" t="s">
        <v>11</v>
      </c>
      <c r="AE4" s="606"/>
      <c r="AF4" s="1188"/>
      <c r="AG4" s="1176"/>
      <c r="AH4" s="1188"/>
      <c r="AI4" s="1176"/>
      <c r="AJ4" s="1158"/>
      <c r="AK4" s="1188"/>
      <c r="AL4" s="1189"/>
      <c r="AM4" s="1189"/>
      <c r="AN4" s="1189"/>
      <c r="AO4" s="1189"/>
      <c r="AP4" s="1176"/>
      <c r="AQ4" s="1188"/>
      <c r="AR4" s="1176"/>
      <c r="AS4" s="1158"/>
      <c r="AT4" s="1188"/>
      <c r="AU4" s="1189"/>
      <c r="AV4" s="1189"/>
      <c r="AW4" s="1176"/>
      <c r="AX4" s="1188"/>
      <c r="AY4" s="1176"/>
    </row>
    <row r="5" spans="1:51" ht="15" customHeight="1" x14ac:dyDescent="0.25">
      <c r="A5" s="1215"/>
      <c r="B5" s="1236"/>
      <c r="C5" s="1188"/>
      <c r="D5" s="1188"/>
      <c r="E5" s="1189"/>
      <c r="F5" s="1176"/>
      <c r="G5" s="1158"/>
      <c r="H5" s="1188"/>
      <c r="I5" s="1188"/>
      <c r="J5" s="1189"/>
      <c r="K5" s="1176"/>
      <c r="L5" s="1158"/>
      <c r="M5" s="1189"/>
      <c r="N5" s="1176"/>
      <c r="O5" s="1188"/>
      <c r="P5" s="1176"/>
      <c r="Q5" s="1188"/>
      <c r="R5" s="1176"/>
      <c r="S5" s="1158"/>
      <c r="T5" s="1188"/>
      <c r="U5" s="1176"/>
      <c r="V5" s="1188"/>
      <c r="W5" s="1189"/>
      <c r="X5" s="1158"/>
      <c r="Y5" s="1188"/>
      <c r="Z5" s="1176"/>
      <c r="AA5" s="1188"/>
      <c r="AB5" s="1176"/>
      <c r="AC5" s="1188"/>
      <c r="AD5" s="1189"/>
      <c r="AE5" s="607"/>
      <c r="AF5" s="1188"/>
      <c r="AG5" s="1176"/>
      <c r="AH5" s="1188"/>
      <c r="AI5" s="1176"/>
      <c r="AJ5" s="1158"/>
      <c r="AK5" s="1188"/>
      <c r="AL5" s="1189"/>
      <c r="AM5" s="1189"/>
      <c r="AN5" s="1189"/>
      <c r="AO5" s="1189"/>
      <c r="AP5" s="1176"/>
      <c r="AQ5" s="1188"/>
      <c r="AR5" s="1176"/>
      <c r="AS5" s="1158"/>
      <c r="AT5" s="1188"/>
      <c r="AU5" s="1189"/>
      <c r="AV5" s="1189"/>
      <c r="AW5" s="1176"/>
      <c r="AX5" s="1188"/>
      <c r="AY5" s="1176"/>
    </row>
    <row r="6" spans="1:51" ht="15.75" thickBot="1" x14ac:dyDescent="0.3">
      <c r="A6" s="1166"/>
      <c r="B6" s="1167"/>
      <c r="C6" s="1207"/>
      <c r="D6" s="1207"/>
      <c r="E6" s="1257"/>
      <c r="F6" s="1177"/>
      <c r="G6" s="1159"/>
      <c r="H6" s="1207"/>
      <c r="I6" s="1207"/>
      <c r="J6" s="1257"/>
      <c r="K6" s="1177"/>
      <c r="L6" s="1159"/>
      <c r="M6" s="1257"/>
      <c r="N6" s="1177"/>
      <c r="O6" s="1207"/>
      <c r="P6" s="1177"/>
      <c r="Q6" s="1207"/>
      <c r="R6" s="1177"/>
      <c r="S6" s="1159"/>
      <c r="T6" s="1207"/>
      <c r="U6" s="1177"/>
      <c r="V6" s="1207"/>
      <c r="W6" s="1257"/>
      <c r="X6" s="1159"/>
      <c r="Y6" s="1207"/>
      <c r="Z6" s="1177"/>
      <c r="AA6" s="1207"/>
      <c r="AB6" s="1177"/>
      <c r="AC6" s="1207"/>
      <c r="AD6" s="1257"/>
      <c r="AE6" s="608"/>
      <c r="AF6" s="1207"/>
      <c r="AG6" s="1177"/>
      <c r="AH6" s="1207"/>
      <c r="AI6" s="1177"/>
      <c r="AJ6" s="1159"/>
      <c r="AK6" s="1207"/>
      <c r="AL6" s="1257"/>
      <c r="AM6" s="1257"/>
      <c r="AN6" s="1257"/>
      <c r="AO6" s="1257"/>
      <c r="AP6" s="1177"/>
      <c r="AQ6" s="1207"/>
      <c r="AR6" s="1177"/>
      <c r="AS6" s="1159"/>
      <c r="AT6" s="1207"/>
      <c r="AU6" s="1257"/>
      <c r="AV6" s="1257"/>
      <c r="AW6" s="1177"/>
      <c r="AX6" s="1207"/>
      <c r="AY6" s="1177"/>
    </row>
    <row r="7" spans="1:51" ht="15.75" customHeight="1" thickBot="1" x14ac:dyDescent="0.3">
      <c r="A7" s="43" t="s">
        <v>550</v>
      </c>
      <c r="B7" s="43" t="s">
        <v>551</v>
      </c>
      <c r="C7" s="327" t="s">
        <v>535</v>
      </c>
      <c r="D7" s="327" t="s">
        <v>536</v>
      </c>
      <c r="E7" s="329" t="s">
        <v>537</v>
      </c>
      <c r="F7" s="328" t="s">
        <v>538</v>
      </c>
      <c r="G7" s="330" t="s">
        <v>809</v>
      </c>
      <c r="H7" s="327" t="s">
        <v>526</v>
      </c>
      <c r="I7" s="327" t="s">
        <v>527</v>
      </c>
      <c r="J7" s="329" t="s">
        <v>528</v>
      </c>
      <c r="K7" s="328" t="s">
        <v>529</v>
      </c>
      <c r="L7" s="327" t="s">
        <v>539</v>
      </c>
      <c r="M7" s="329" t="s">
        <v>540</v>
      </c>
      <c r="N7" s="328" t="s">
        <v>541</v>
      </c>
      <c r="O7" s="327" t="s">
        <v>810</v>
      </c>
      <c r="P7" s="328" t="s">
        <v>811</v>
      </c>
      <c r="Q7" s="327" t="s">
        <v>812</v>
      </c>
      <c r="R7" s="328" t="s">
        <v>813</v>
      </c>
      <c r="S7" s="330" t="s">
        <v>814</v>
      </c>
      <c r="T7" s="327" t="s">
        <v>815</v>
      </c>
      <c r="U7" s="328" t="s">
        <v>816</v>
      </c>
      <c r="V7" s="327" t="s">
        <v>817</v>
      </c>
      <c r="W7" s="328" t="s">
        <v>818</v>
      </c>
      <c r="X7" s="330" t="s">
        <v>819</v>
      </c>
      <c r="Y7" s="327" t="s">
        <v>820</v>
      </c>
      <c r="Z7" s="328" t="s">
        <v>821</v>
      </c>
      <c r="AA7" s="327" t="s">
        <v>542</v>
      </c>
      <c r="AB7" s="328" t="s">
        <v>543</v>
      </c>
      <c r="AC7" s="327" t="s">
        <v>822</v>
      </c>
      <c r="AD7" s="328" t="s">
        <v>823</v>
      </c>
      <c r="AE7" s="329" t="s">
        <v>544</v>
      </c>
      <c r="AF7" s="327" t="s">
        <v>824</v>
      </c>
      <c r="AG7" s="328" t="s">
        <v>825</v>
      </c>
      <c r="AH7" s="327" t="s">
        <v>826</v>
      </c>
      <c r="AI7" s="328" t="s">
        <v>827</v>
      </c>
      <c r="AJ7" s="330" t="s">
        <v>530</v>
      </c>
      <c r="AK7" s="327" t="s">
        <v>545</v>
      </c>
      <c r="AL7" s="329" t="s">
        <v>546</v>
      </c>
      <c r="AM7" s="329" t="s">
        <v>547</v>
      </c>
      <c r="AN7" s="329" t="s">
        <v>548</v>
      </c>
      <c r="AO7" s="329" t="s">
        <v>549</v>
      </c>
      <c r="AP7" s="328" t="s">
        <v>828</v>
      </c>
      <c r="AQ7" s="327" t="s">
        <v>829</v>
      </c>
      <c r="AR7" s="328" t="s">
        <v>830</v>
      </c>
      <c r="AS7" s="330" t="s">
        <v>831</v>
      </c>
      <c r="AT7" s="327" t="s">
        <v>832</v>
      </c>
      <c r="AU7" s="329" t="s">
        <v>833</v>
      </c>
      <c r="AV7" s="329" t="s">
        <v>834</v>
      </c>
      <c r="AW7" s="328" t="s">
        <v>835</v>
      </c>
      <c r="AX7" s="327" t="s">
        <v>533</v>
      </c>
      <c r="AY7" s="330" t="s">
        <v>534</v>
      </c>
    </row>
    <row r="8" spans="1:51" x14ac:dyDescent="0.25">
      <c r="A8" s="72">
        <v>36708</v>
      </c>
      <c r="B8" s="72">
        <v>37072</v>
      </c>
      <c r="C8" s="18">
        <v>1365</v>
      </c>
      <c r="D8" s="18">
        <v>282</v>
      </c>
      <c r="E8" s="99">
        <v>0.25</v>
      </c>
      <c r="F8" s="60">
        <v>9999999</v>
      </c>
      <c r="G8" s="92">
        <v>1785</v>
      </c>
      <c r="H8" s="18">
        <v>1365</v>
      </c>
      <c r="I8" s="18">
        <v>282</v>
      </c>
      <c r="J8" s="18">
        <v>0.25</v>
      </c>
      <c r="K8" s="18">
        <v>9999999</v>
      </c>
      <c r="L8" s="18">
        <v>150</v>
      </c>
      <c r="M8" s="20">
        <v>20700</v>
      </c>
      <c r="N8" s="57">
        <v>0.04</v>
      </c>
      <c r="O8" s="18">
        <v>2230</v>
      </c>
      <c r="P8" s="60">
        <v>1602</v>
      </c>
      <c r="Q8" s="18">
        <v>20000</v>
      </c>
      <c r="R8" s="60">
        <v>16306</v>
      </c>
      <c r="S8" s="100">
        <v>0.125</v>
      </c>
      <c r="T8" s="18">
        <v>1608</v>
      </c>
      <c r="U8" s="60">
        <v>1155</v>
      </c>
      <c r="V8" s="18">
        <v>15459</v>
      </c>
      <c r="W8" s="60">
        <v>12795</v>
      </c>
      <c r="X8" s="100">
        <v>0.125</v>
      </c>
      <c r="Y8" s="18">
        <v>415</v>
      </c>
      <c r="Z8" s="60">
        <v>304</v>
      </c>
      <c r="AA8" s="18"/>
      <c r="AB8" s="60"/>
      <c r="AC8" s="18"/>
      <c r="AD8" s="60"/>
      <c r="AE8" s="20"/>
      <c r="AF8" s="58">
        <v>0.2</v>
      </c>
      <c r="AG8" s="57">
        <v>0.2</v>
      </c>
      <c r="AH8" s="18">
        <v>1250</v>
      </c>
      <c r="AI8" s="60">
        <v>1250</v>
      </c>
      <c r="AJ8" s="92">
        <v>0</v>
      </c>
      <c r="AK8" s="3"/>
      <c r="AL8" s="20">
        <v>0</v>
      </c>
      <c r="AM8" s="20"/>
      <c r="AN8" s="59">
        <v>0</v>
      </c>
      <c r="AO8" s="59">
        <v>0</v>
      </c>
      <c r="AP8" s="57">
        <v>1</v>
      </c>
      <c r="AQ8" s="18"/>
      <c r="AR8" s="60"/>
      <c r="AS8" s="100"/>
      <c r="AT8" s="20">
        <v>10800</v>
      </c>
      <c r="AU8" s="20">
        <v>3000</v>
      </c>
      <c r="AV8" s="59">
        <v>0.18</v>
      </c>
      <c r="AW8" s="57">
        <v>1</v>
      </c>
      <c r="AX8" s="20"/>
      <c r="AY8" s="100"/>
    </row>
    <row r="9" spans="1:51" x14ac:dyDescent="0.25">
      <c r="A9" s="73">
        <v>37073</v>
      </c>
      <c r="B9" s="73">
        <v>37437</v>
      </c>
      <c r="C9" s="17">
        <v>1437</v>
      </c>
      <c r="D9" s="17">
        <v>282</v>
      </c>
      <c r="E9" s="101">
        <v>0.25</v>
      </c>
      <c r="F9" s="35">
        <v>9999999</v>
      </c>
      <c r="G9" s="93">
        <v>1785</v>
      </c>
      <c r="H9" s="17">
        <v>1437</v>
      </c>
      <c r="I9" s="17">
        <v>282</v>
      </c>
      <c r="J9" s="17">
        <v>0.25</v>
      </c>
      <c r="K9" s="17">
        <v>9999999</v>
      </c>
      <c r="L9" s="17">
        <v>150</v>
      </c>
      <c r="M9" s="19">
        <v>20700</v>
      </c>
      <c r="N9" s="61">
        <v>0.04</v>
      </c>
      <c r="O9" s="17">
        <v>2230</v>
      </c>
      <c r="P9" s="35">
        <v>1602</v>
      </c>
      <c r="Q9" s="17">
        <v>20000</v>
      </c>
      <c r="R9" s="35">
        <v>16306</v>
      </c>
      <c r="S9" s="102">
        <v>0.125</v>
      </c>
      <c r="T9" s="17">
        <v>1710</v>
      </c>
      <c r="U9" s="35">
        <v>1245</v>
      </c>
      <c r="V9" s="17">
        <v>16059</v>
      </c>
      <c r="W9" s="35">
        <v>13324</v>
      </c>
      <c r="X9" s="102">
        <v>0.125</v>
      </c>
      <c r="Y9" s="17">
        <v>415</v>
      </c>
      <c r="Z9" s="35">
        <v>304</v>
      </c>
      <c r="AA9" s="17"/>
      <c r="AB9" s="35"/>
      <c r="AC9" s="17"/>
      <c r="AD9" s="35"/>
      <c r="AE9" s="19"/>
      <c r="AF9" s="62">
        <v>0.2</v>
      </c>
      <c r="AG9" s="61">
        <v>0.2</v>
      </c>
      <c r="AH9" s="17">
        <v>1250</v>
      </c>
      <c r="AI9" s="35">
        <v>1250</v>
      </c>
      <c r="AJ9" s="93">
        <v>0</v>
      </c>
      <c r="AK9" s="2"/>
      <c r="AL9" s="19">
        <v>0</v>
      </c>
      <c r="AM9" s="19"/>
      <c r="AN9" s="63">
        <v>0</v>
      </c>
      <c r="AO9" s="63">
        <v>0</v>
      </c>
      <c r="AP9" s="61">
        <v>1</v>
      </c>
      <c r="AQ9" s="17"/>
      <c r="AR9" s="35"/>
      <c r="AS9" s="102"/>
      <c r="AT9" s="19">
        <v>10800</v>
      </c>
      <c r="AU9" s="19">
        <v>3000</v>
      </c>
      <c r="AV9" s="63">
        <v>0.18</v>
      </c>
      <c r="AW9" s="61">
        <v>1</v>
      </c>
      <c r="AX9" s="19"/>
      <c r="AY9" s="102"/>
    </row>
    <row r="10" spans="1:51" x14ac:dyDescent="0.25">
      <c r="A10" s="73">
        <v>37438</v>
      </c>
      <c r="B10" s="73">
        <v>37802</v>
      </c>
      <c r="C10" s="17">
        <v>1489</v>
      </c>
      <c r="D10" s="17">
        <v>282</v>
      </c>
      <c r="E10" s="101">
        <v>0.25</v>
      </c>
      <c r="F10" s="35">
        <v>9999999</v>
      </c>
      <c r="G10" s="93">
        <v>1785</v>
      </c>
      <c r="H10" s="17">
        <v>1489</v>
      </c>
      <c r="I10" s="17">
        <v>282</v>
      </c>
      <c r="J10" s="17">
        <v>0.25</v>
      </c>
      <c r="K10" s="17">
        <v>9999999</v>
      </c>
      <c r="L10" s="17">
        <v>150</v>
      </c>
      <c r="M10" s="19">
        <v>20700</v>
      </c>
      <c r="N10" s="61">
        <v>0.04</v>
      </c>
      <c r="O10" s="17">
        <v>2230</v>
      </c>
      <c r="P10" s="35">
        <v>1602</v>
      </c>
      <c r="Q10" s="17">
        <v>20000</v>
      </c>
      <c r="R10" s="35">
        <v>16306</v>
      </c>
      <c r="S10" s="102">
        <v>0.125</v>
      </c>
      <c r="T10" s="17">
        <v>1811</v>
      </c>
      <c r="U10" s="35">
        <v>1324</v>
      </c>
      <c r="V10" s="17">
        <v>16653</v>
      </c>
      <c r="W10" s="35">
        <v>13789</v>
      </c>
      <c r="X10" s="102">
        <v>0.125</v>
      </c>
      <c r="Y10" s="17">
        <v>415</v>
      </c>
      <c r="Z10" s="35">
        <v>304</v>
      </c>
      <c r="AA10" s="17"/>
      <c r="AB10" s="35"/>
      <c r="AC10" s="17"/>
      <c r="AD10" s="35"/>
      <c r="AE10" s="19"/>
      <c r="AF10" s="62">
        <v>0.2</v>
      </c>
      <c r="AG10" s="61">
        <v>0.2</v>
      </c>
      <c r="AH10" s="17">
        <v>1500</v>
      </c>
      <c r="AI10" s="35">
        <v>1500</v>
      </c>
      <c r="AJ10" s="93">
        <v>0</v>
      </c>
      <c r="AK10" s="2"/>
      <c r="AL10" s="19">
        <v>0</v>
      </c>
      <c r="AM10" s="19"/>
      <c r="AN10" s="63">
        <v>0</v>
      </c>
      <c r="AO10" s="63">
        <v>0</v>
      </c>
      <c r="AP10" s="61">
        <v>1</v>
      </c>
      <c r="AQ10" s="17"/>
      <c r="AR10" s="35"/>
      <c r="AS10" s="102"/>
      <c r="AT10" s="19">
        <v>10800</v>
      </c>
      <c r="AU10" s="19">
        <v>3000</v>
      </c>
      <c r="AV10" s="63">
        <v>0.18</v>
      </c>
      <c r="AW10" s="61">
        <v>1</v>
      </c>
      <c r="AX10" s="19"/>
      <c r="AY10" s="102"/>
    </row>
    <row r="11" spans="1:51" x14ac:dyDescent="0.25">
      <c r="A11" s="73">
        <v>37803</v>
      </c>
      <c r="B11" s="73">
        <v>38168</v>
      </c>
      <c r="C11" s="17">
        <v>1535</v>
      </c>
      <c r="D11" s="17">
        <v>282</v>
      </c>
      <c r="E11" s="101">
        <v>0.25</v>
      </c>
      <c r="F11" s="35">
        <v>9999999</v>
      </c>
      <c r="G11" s="93">
        <v>1785</v>
      </c>
      <c r="H11" s="17">
        <v>1535</v>
      </c>
      <c r="I11" s="17">
        <v>282</v>
      </c>
      <c r="J11" s="17">
        <v>0.25</v>
      </c>
      <c r="K11" s="17">
        <v>9999999</v>
      </c>
      <c r="L11" s="17">
        <v>235</v>
      </c>
      <c r="M11" s="19">
        <v>21600</v>
      </c>
      <c r="N11" s="61">
        <v>0.04</v>
      </c>
      <c r="O11" s="17">
        <v>2230</v>
      </c>
      <c r="P11" s="35">
        <v>1602</v>
      </c>
      <c r="Q11" s="17">
        <v>20500</v>
      </c>
      <c r="R11" s="35">
        <v>16806</v>
      </c>
      <c r="S11" s="102">
        <v>0.125</v>
      </c>
      <c r="T11" s="17">
        <v>1928</v>
      </c>
      <c r="U11" s="35">
        <v>1424</v>
      </c>
      <c r="V11" s="17">
        <v>17342</v>
      </c>
      <c r="W11" s="35">
        <v>14377</v>
      </c>
      <c r="X11" s="102">
        <v>0.125</v>
      </c>
      <c r="Y11" s="17">
        <v>415</v>
      </c>
      <c r="Z11" s="35">
        <v>304</v>
      </c>
      <c r="AA11" s="17"/>
      <c r="AB11" s="35"/>
      <c r="AC11" s="17"/>
      <c r="AD11" s="35"/>
      <c r="AE11" s="19"/>
      <c r="AF11" s="62">
        <v>0.2</v>
      </c>
      <c r="AG11" s="61">
        <v>0.2</v>
      </c>
      <c r="AH11" s="17">
        <v>1500</v>
      </c>
      <c r="AI11" s="35">
        <v>1500</v>
      </c>
      <c r="AJ11" s="93">
        <v>0</v>
      </c>
      <c r="AK11" s="2"/>
      <c r="AL11" s="19">
        <v>0</v>
      </c>
      <c r="AM11" s="19"/>
      <c r="AN11" s="63">
        <v>0</v>
      </c>
      <c r="AO11" s="63">
        <v>0</v>
      </c>
      <c r="AP11" s="61">
        <v>1</v>
      </c>
      <c r="AQ11" s="17"/>
      <c r="AR11" s="35"/>
      <c r="AS11" s="102"/>
      <c r="AT11" s="19">
        <v>10800</v>
      </c>
      <c r="AU11" s="19">
        <v>3000</v>
      </c>
      <c r="AV11" s="63">
        <v>0.18</v>
      </c>
      <c r="AW11" s="61">
        <v>1</v>
      </c>
      <c r="AX11" s="19"/>
      <c r="AY11" s="102"/>
    </row>
    <row r="12" spans="1:51" x14ac:dyDescent="0.25">
      <c r="A12" s="73">
        <v>38169</v>
      </c>
      <c r="B12" s="73">
        <v>38533</v>
      </c>
      <c r="C12" s="17">
        <v>1572</v>
      </c>
      <c r="D12" s="17">
        <v>282</v>
      </c>
      <c r="E12" s="101">
        <v>0.25</v>
      </c>
      <c r="F12" s="35">
        <v>9999999</v>
      </c>
      <c r="G12" s="93">
        <v>1786</v>
      </c>
      <c r="H12" s="17">
        <v>1572</v>
      </c>
      <c r="I12" s="17">
        <v>282</v>
      </c>
      <c r="J12" s="17">
        <v>0.25</v>
      </c>
      <c r="K12" s="17">
        <v>9999999</v>
      </c>
      <c r="L12" s="17">
        <v>235</v>
      </c>
      <c r="M12" s="19">
        <v>21600</v>
      </c>
      <c r="N12" s="61">
        <v>0.04</v>
      </c>
      <c r="O12" s="17">
        <v>2230</v>
      </c>
      <c r="P12" s="35">
        <v>1602</v>
      </c>
      <c r="Q12" s="17">
        <v>20500</v>
      </c>
      <c r="R12" s="35">
        <v>16806</v>
      </c>
      <c r="S12" s="102">
        <v>0.125</v>
      </c>
      <c r="T12" s="17">
        <v>2117</v>
      </c>
      <c r="U12" s="35">
        <v>1585</v>
      </c>
      <c r="V12" s="17">
        <v>18453</v>
      </c>
      <c r="W12" s="35">
        <v>15324</v>
      </c>
      <c r="X12" s="102">
        <v>0.125</v>
      </c>
      <c r="Y12" s="17">
        <v>415</v>
      </c>
      <c r="Z12" s="35">
        <v>304</v>
      </c>
      <c r="AA12" s="17"/>
      <c r="AB12" s="35"/>
      <c r="AC12" s="17"/>
      <c r="AD12" s="35"/>
      <c r="AE12" s="19"/>
      <c r="AF12" s="62">
        <v>0.2</v>
      </c>
      <c r="AG12" s="61">
        <v>0.2</v>
      </c>
      <c r="AH12" s="17">
        <v>1500</v>
      </c>
      <c r="AI12" s="35">
        <v>1500</v>
      </c>
      <c r="AJ12" s="93">
        <v>500</v>
      </c>
      <c r="AK12" s="2">
        <v>55</v>
      </c>
      <c r="AL12" s="19">
        <v>48000</v>
      </c>
      <c r="AM12" s="19">
        <f t="shared" ref="AM12:AM21" si="0">AL12+AJ12/AO12</f>
        <v>58000</v>
      </c>
      <c r="AN12" s="63">
        <v>0.05</v>
      </c>
      <c r="AO12" s="63">
        <v>0.05</v>
      </c>
      <c r="AP12" s="61">
        <v>1</v>
      </c>
      <c r="AQ12" s="17"/>
      <c r="AR12" s="35"/>
      <c r="AS12" s="102"/>
      <c r="AT12" s="19">
        <v>10800</v>
      </c>
      <c r="AU12" s="19">
        <v>3000</v>
      </c>
      <c r="AV12" s="63">
        <v>0.18</v>
      </c>
      <c r="AW12" s="61">
        <v>1</v>
      </c>
      <c r="AX12" s="19"/>
      <c r="AY12" s="102"/>
    </row>
    <row r="13" spans="1:51" x14ac:dyDescent="0.25">
      <c r="A13" s="73">
        <v>38534</v>
      </c>
      <c r="B13" s="73">
        <v>38898</v>
      </c>
      <c r="C13" s="17">
        <v>1610</v>
      </c>
      <c r="D13" s="17">
        <v>282</v>
      </c>
      <c r="E13" s="101">
        <v>0.25</v>
      </c>
      <c r="F13" s="35">
        <v>9999999</v>
      </c>
      <c r="G13" s="93">
        <v>1786</v>
      </c>
      <c r="H13" s="17">
        <v>1610</v>
      </c>
      <c r="I13" s="17">
        <v>282</v>
      </c>
      <c r="J13" s="17">
        <v>0.25</v>
      </c>
      <c r="K13" s="17">
        <v>9999999</v>
      </c>
      <c r="L13" s="17">
        <v>235</v>
      </c>
      <c r="M13" s="19">
        <v>21600</v>
      </c>
      <c r="N13" s="61">
        <v>0.04</v>
      </c>
      <c r="O13" s="17">
        <v>2230</v>
      </c>
      <c r="P13" s="35">
        <v>1602</v>
      </c>
      <c r="Q13" s="17">
        <v>21968</v>
      </c>
      <c r="R13" s="35">
        <v>18247</v>
      </c>
      <c r="S13" s="102">
        <v>0.125</v>
      </c>
      <c r="T13" s="17">
        <v>1909</v>
      </c>
      <c r="U13" s="35">
        <v>1428</v>
      </c>
      <c r="V13" s="17">
        <v>18727</v>
      </c>
      <c r="W13" s="35">
        <v>15520</v>
      </c>
      <c r="X13" s="102">
        <v>0.125</v>
      </c>
      <c r="Y13" s="17">
        <v>415</v>
      </c>
      <c r="Z13" s="35">
        <v>304</v>
      </c>
      <c r="AA13" s="17"/>
      <c r="AB13" s="35"/>
      <c r="AC13" s="17"/>
      <c r="AD13" s="35"/>
      <c r="AE13" s="19"/>
      <c r="AF13" s="62">
        <v>0.2</v>
      </c>
      <c r="AG13" s="61">
        <v>0.2</v>
      </c>
      <c r="AH13" s="17">
        <v>1500</v>
      </c>
      <c r="AI13" s="35">
        <v>1500</v>
      </c>
      <c r="AJ13" s="93">
        <v>500</v>
      </c>
      <c r="AK13" s="2">
        <v>55</v>
      </c>
      <c r="AL13" s="19">
        <v>53000</v>
      </c>
      <c r="AM13" s="19">
        <f t="shared" si="0"/>
        <v>63000</v>
      </c>
      <c r="AN13" s="63">
        <v>0.05</v>
      </c>
      <c r="AO13" s="63">
        <v>0.05</v>
      </c>
      <c r="AP13" s="61">
        <v>1</v>
      </c>
      <c r="AQ13" s="17"/>
      <c r="AR13" s="35"/>
      <c r="AS13" s="102"/>
      <c r="AT13" s="19">
        <v>10800</v>
      </c>
      <c r="AU13" s="19">
        <v>3000</v>
      </c>
      <c r="AV13" s="63">
        <v>0.18</v>
      </c>
      <c r="AW13" s="61">
        <v>1</v>
      </c>
      <c r="AX13" s="19"/>
      <c r="AY13" s="102"/>
    </row>
    <row r="14" spans="1:51" x14ac:dyDescent="0.25">
      <c r="A14" s="73">
        <v>38899</v>
      </c>
      <c r="B14" s="73">
        <v>39263</v>
      </c>
      <c r="C14" s="17">
        <v>1655</v>
      </c>
      <c r="D14" s="17">
        <v>282</v>
      </c>
      <c r="E14" s="101">
        <v>0.25</v>
      </c>
      <c r="F14" s="35">
        <v>9999999</v>
      </c>
      <c r="G14" s="93">
        <v>1786</v>
      </c>
      <c r="H14" s="17">
        <v>1655</v>
      </c>
      <c r="I14" s="17">
        <v>282</v>
      </c>
      <c r="J14" s="17">
        <v>0.25</v>
      </c>
      <c r="K14" s="17">
        <v>9999999</v>
      </c>
      <c r="L14" s="17">
        <v>600</v>
      </c>
      <c r="M14" s="19">
        <v>25000</v>
      </c>
      <c r="N14" s="61">
        <v>0.04</v>
      </c>
      <c r="O14" s="17">
        <v>2230</v>
      </c>
      <c r="P14" s="35">
        <v>1602</v>
      </c>
      <c r="Q14" s="17">
        <v>24867</v>
      </c>
      <c r="R14" s="35">
        <v>20680</v>
      </c>
      <c r="S14" s="102">
        <v>0.125</v>
      </c>
      <c r="T14" s="17">
        <v>2018</v>
      </c>
      <c r="U14" s="35">
        <v>1522</v>
      </c>
      <c r="V14" s="17">
        <v>19454</v>
      </c>
      <c r="W14" s="35">
        <v>16147</v>
      </c>
      <c r="X14" s="102">
        <v>0.125</v>
      </c>
      <c r="Y14" s="17">
        <v>415</v>
      </c>
      <c r="Z14" s="35">
        <v>304</v>
      </c>
      <c r="AA14" s="17"/>
      <c r="AB14" s="35"/>
      <c r="AC14" s="17"/>
      <c r="AD14" s="35"/>
      <c r="AE14" s="19"/>
      <c r="AF14" s="62">
        <v>0.2</v>
      </c>
      <c r="AG14" s="61">
        <v>0.2</v>
      </c>
      <c r="AH14" s="17">
        <v>1500</v>
      </c>
      <c r="AI14" s="35">
        <v>1500</v>
      </c>
      <c r="AJ14" s="93">
        <v>500</v>
      </c>
      <c r="AK14" s="2">
        <v>55</v>
      </c>
      <c r="AL14" s="19">
        <v>53000</v>
      </c>
      <c r="AM14" s="19">
        <f t="shared" si="0"/>
        <v>63000</v>
      </c>
      <c r="AN14" s="63">
        <v>0.05</v>
      </c>
      <c r="AO14" s="63">
        <v>0.05</v>
      </c>
      <c r="AP14" s="61">
        <v>1</v>
      </c>
      <c r="AQ14" s="17"/>
      <c r="AR14" s="35"/>
      <c r="AS14" s="102"/>
      <c r="AT14" s="19">
        <v>10800</v>
      </c>
      <c r="AU14" s="19">
        <v>3000</v>
      </c>
      <c r="AV14" s="63">
        <v>0.18</v>
      </c>
      <c r="AW14" s="61">
        <v>1</v>
      </c>
      <c r="AX14" s="19"/>
      <c r="AY14" s="102"/>
    </row>
    <row r="15" spans="1:51" x14ac:dyDescent="0.25">
      <c r="A15" s="73">
        <v>39264</v>
      </c>
      <c r="B15" s="73">
        <v>39629</v>
      </c>
      <c r="C15" s="17">
        <v>2100</v>
      </c>
      <c r="D15" s="17">
        <v>282</v>
      </c>
      <c r="E15" s="101">
        <v>0.25</v>
      </c>
      <c r="F15" s="35">
        <v>9999999</v>
      </c>
      <c r="G15" s="93">
        <v>1786</v>
      </c>
      <c r="H15" s="17">
        <v>2100</v>
      </c>
      <c r="I15" s="17">
        <v>282</v>
      </c>
      <c r="J15" s="17">
        <v>0.25</v>
      </c>
      <c r="K15" s="17">
        <v>9999999</v>
      </c>
      <c r="L15" s="17">
        <v>750</v>
      </c>
      <c r="M15" s="19">
        <v>30000</v>
      </c>
      <c r="N15" s="61">
        <v>0.04</v>
      </c>
      <c r="O15" s="17">
        <v>2230</v>
      </c>
      <c r="P15" s="35">
        <v>1602</v>
      </c>
      <c r="Q15" s="17">
        <v>25867</v>
      </c>
      <c r="R15" s="35">
        <v>21680</v>
      </c>
      <c r="S15" s="102">
        <v>0.125</v>
      </c>
      <c r="T15" s="17">
        <v>2129</v>
      </c>
      <c r="U15" s="35">
        <v>1610</v>
      </c>
      <c r="V15" s="17">
        <v>20194</v>
      </c>
      <c r="W15" s="35">
        <v>16734</v>
      </c>
      <c r="X15" s="102">
        <v>0.125</v>
      </c>
      <c r="Y15" s="17">
        <v>415</v>
      </c>
      <c r="Z15" s="35">
        <v>304</v>
      </c>
      <c r="AA15" s="17"/>
      <c r="AB15" s="35"/>
      <c r="AC15" s="17"/>
      <c r="AD15" s="35"/>
      <c r="AE15" s="19"/>
      <c r="AF15" s="62">
        <v>0.2</v>
      </c>
      <c r="AG15" s="61">
        <v>0.2</v>
      </c>
      <c r="AH15" s="17">
        <v>1500</v>
      </c>
      <c r="AI15" s="35">
        <v>1500</v>
      </c>
      <c r="AJ15" s="93">
        <v>500</v>
      </c>
      <c r="AK15" s="2">
        <v>55</v>
      </c>
      <c r="AL15" s="19">
        <v>53000</v>
      </c>
      <c r="AM15" s="19">
        <f t="shared" si="0"/>
        <v>63000</v>
      </c>
      <c r="AN15" s="63">
        <v>0.05</v>
      </c>
      <c r="AO15" s="63">
        <v>0.05</v>
      </c>
      <c r="AP15" s="61">
        <v>1</v>
      </c>
      <c r="AQ15" s="17"/>
      <c r="AR15" s="35"/>
      <c r="AS15" s="102"/>
      <c r="AT15" s="19">
        <v>10800</v>
      </c>
      <c r="AU15" s="19">
        <v>3000</v>
      </c>
      <c r="AV15" s="63">
        <v>0.18</v>
      </c>
      <c r="AW15" s="61">
        <v>1</v>
      </c>
      <c r="AX15" s="19"/>
      <c r="AY15" s="102"/>
    </row>
    <row r="16" spans="1:51" x14ac:dyDescent="0.25">
      <c r="A16" s="73">
        <v>39630</v>
      </c>
      <c r="B16" s="73">
        <v>39994</v>
      </c>
      <c r="C16" s="17">
        <v>2159</v>
      </c>
      <c r="D16" s="17">
        <v>282</v>
      </c>
      <c r="E16" s="101">
        <v>0.25</v>
      </c>
      <c r="F16" s="35">
        <v>150000</v>
      </c>
      <c r="G16" s="93">
        <v>1786</v>
      </c>
      <c r="H16" s="17">
        <v>2159</v>
      </c>
      <c r="I16" s="17">
        <v>282</v>
      </c>
      <c r="J16" s="17">
        <v>0.25</v>
      </c>
      <c r="K16" s="17">
        <v>150000</v>
      </c>
      <c r="L16" s="17">
        <v>1200</v>
      </c>
      <c r="M16" s="19">
        <v>30000</v>
      </c>
      <c r="N16" s="61">
        <v>0.04</v>
      </c>
      <c r="O16" s="17">
        <v>2230</v>
      </c>
      <c r="P16" s="35">
        <v>1602</v>
      </c>
      <c r="Q16" s="17">
        <v>28867</v>
      </c>
      <c r="R16" s="35">
        <v>24680</v>
      </c>
      <c r="S16" s="102">
        <v>0.125</v>
      </c>
      <c r="T16" s="17">
        <v>2240</v>
      </c>
      <c r="U16" s="35">
        <v>1699</v>
      </c>
      <c r="V16" s="17">
        <v>20934</v>
      </c>
      <c r="W16" s="35">
        <v>17327</v>
      </c>
      <c r="X16" s="102">
        <v>0.125</v>
      </c>
      <c r="Y16" s="17">
        <v>415</v>
      </c>
      <c r="Z16" s="35">
        <v>304</v>
      </c>
      <c r="AA16" s="17"/>
      <c r="AB16" s="35"/>
      <c r="AC16" s="17"/>
      <c r="AD16" s="35"/>
      <c r="AE16" s="19"/>
      <c r="AF16" s="62">
        <v>0.2</v>
      </c>
      <c r="AG16" s="61">
        <v>0.2</v>
      </c>
      <c r="AH16" s="17">
        <v>1500</v>
      </c>
      <c r="AI16" s="35">
        <v>1500</v>
      </c>
      <c r="AJ16" s="93">
        <v>500</v>
      </c>
      <c r="AK16" s="2">
        <v>55</v>
      </c>
      <c r="AL16" s="19">
        <v>53000</v>
      </c>
      <c r="AM16" s="19">
        <f t="shared" si="0"/>
        <v>63000</v>
      </c>
      <c r="AN16" s="63">
        <v>0.05</v>
      </c>
      <c r="AO16" s="63">
        <v>0.05</v>
      </c>
      <c r="AP16" s="61">
        <v>1</v>
      </c>
      <c r="AQ16" s="17">
        <v>750</v>
      </c>
      <c r="AR16" s="35">
        <v>1500</v>
      </c>
      <c r="AS16" s="102">
        <v>0.5</v>
      </c>
      <c r="AT16" s="19">
        <v>10800</v>
      </c>
      <c r="AU16" s="19">
        <v>3000</v>
      </c>
      <c r="AV16" s="63">
        <v>0.18</v>
      </c>
      <c r="AW16" s="61">
        <v>1</v>
      </c>
      <c r="AX16" s="242"/>
      <c r="AY16" s="376"/>
    </row>
    <row r="17" spans="1:51" x14ac:dyDescent="0.25">
      <c r="A17" s="73">
        <v>39995</v>
      </c>
      <c r="B17" s="73">
        <v>40359</v>
      </c>
      <c r="C17" s="17">
        <v>2243</v>
      </c>
      <c r="D17" s="17">
        <v>282</v>
      </c>
      <c r="E17" s="101">
        <v>0.25</v>
      </c>
      <c r="F17" s="35">
        <v>150000</v>
      </c>
      <c r="G17" s="93">
        <v>1786</v>
      </c>
      <c r="H17" s="17">
        <v>2243</v>
      </c>
      <c r="I17" s="17">
        <v>282</v>
      </c>
      <c r="J17" s="17">
        <v>0.25</v>
      </c>
      <c r="K17" s="17">
        <v>150000</v>
      </c>
      <c r="L17" s="17">
        <v>1350</v>
      </c>
      <c r="M17" s="19">
        <v>30000</v>
      </c>
      <c r="N17" s="61">
        <v>0.04</v>
      </c>
      <c r="O17" s="17">
        <v>2230</v>
      </c>
      <c r="P17" s="35">
        <v>1602</v>
      </c>
      <c r="Q17" s="17">
        <f>MedicareAndLevies!G17</f>
        <v>29867</v>
      </c>
      <c r="R17" s="35">
        <v>25680</v>
      </c>
      <c r="S17" s="102">
        <v>0.125</v>
      </c>
      <c r="T17" s="17">
        <v>2518</v>
      </c>
      <c r="U17" s="35">
        <v>1781</v>
      </c>
      <c r="V17" s="17">
        <v>22787</v>
      </c>
      <c r="W17" s="35">
        <v>17874</v>
      </c>
      <c r="X17" s="102">
        <v>0.125</v>
      </c>
      <c r="Y17" s="17">
        <v>415</v>
      </c>
      <c r="Z17" s="35">
        <v>304</v>
      </c>
      <c r="AA17" s="17"/>
      <c r="AB17" s="35"/>
      <c r="AC17" s="17"/>
      <c r="AD17" s="35"/>
      <c r="AE17" s="19"/>
      <c r="AF17" s="62">
        <v>0.2</v>
      </c>
      <c r="AG17" s="61">
        <v>0.2</v>
      </c>
      <c r="AH17" s="17">
        <v>1500</v>
      </c>
      <c r="AI17" s="35">
        <v>1500</v>
      </c>
      <c r="AJ17" s="93">
        <v>500</v>
      </c>
      <c r="AK17" s="2">
        <v>55</v>
      </c>
      <c r="AL17" s="19">
        <v>53000</v>
      </c>
      <c r="AM17" s="19">
        <f t="shared" si="0"/>
        <v>63000</v>
      </c>
      <c r="AN17" s="63">
        <v>0.05</v>
      </c>
      <c r="AO17" s="63">
        <v>0.05</v>
      </c>
      <c r="AP17" s="61">
        <v>1</v>
      </c>
      <c r="AQ17" s="17">
        <v>780</v>
      </c>
      <c r="AR17" s="35">
        <v>1558</v>
      </c>
      <c r="AS17" s="102">
        <v>0.5</v>
      </c>
      <c r="AT17" s="19">
        <v>10800</v>
      </c>
      <c r="AU17" s="19">
        <v>3000</v>
      </c>
      <c r="AV17" s="63">
        <v>0.18</v>
      </c>
      <c r="AW17" s="61">
        <v>1</v>
      </c>
      <c r="AX17" s="242"/>
      <c r="AY17" s="376"/>
    </row>
    <row r="18" spans="1:51" x14ac:dyDescent="0.25">
      <c r="A18" s="73">
        <v>40360</v>
      </c>
      <c r="B18" s="73">
        <v>40724</v>
      </c>
      <c r="C18" s="17">
        <v>2286</v>
      </c>
      <c r="D18" s="17">
        <v>282</v>
      </c>
      <c r="E18" s="101">
        <v>0.25</v>
      </c>
      <c r="F18" s="35">
        <v>150000</v>
      </c>
      <c r="G18" s="93">
        <v>1786</v>
      </c>
      <c r="H18" s="17">
        <v>2286</v>
      </c>
      <c r="I18" s="17">
        <v>282</v>
      </c>
      <c r="J18" s="17">
        <v>0.25</v>
      </c>
      <c r="K18" s="17">
        <v>150000</v>
      </c>
      <c r="L18" s="17">
        <v>1500</v>
      </c>
      <c r="M18" s="19">
        <v>30000</v>
      </c>
      <c r="N18" s="61">
        <v>0.04</v>
      </c>
      <c r="O18" s="17">
        <v>2230</v>
      </c>
      <c r="P18" s="35">
        <v>1602</v>
      </c>
      <c r="Q18" s="17">
        <f>MedicareAndLevies!G18</f>
        <v>30685</v>
      </c>
      <c r="R18" s="35">
        <v>26680</v>
      </c>
      <c r="S18" s="102">
        <v>0.125</v>
      </c>
      <c r="T18" s="17">
        <v>2732</v>
      </c>
      <c r="U18" s="35">
        <v>1905</v>
      </c>
      <c r="V18" s="17">
        <v>24214</v>
      </c>
      <c r="W18" s="35">
        <v>18700</v>
      </c>
      <c r="X18" s="102">
        <v>0.125</v>
      </c>
      <c r="Y18" s="17">
        <v>415</v>
      </c>
      <c r="Z18" s="35">
        <v>304</v>
      </c>
      <c r="AA18" s="17"/>
      <c r="AB18" s="35"/>
      <c r="AC18" s="17"/>
      <c r="AD18" s="35"/>
      <c r="AE18" s="19"/>
      <c r="AF18" s="62">
        <v>0.2</v>
      </c>
      <c r="AG18" s="61">
        <v>0.2</v>
      </c>
      <c r="AH18" s="17">
        <v>2000</v>
      </c>
      <c r="AI18" s="35">
        <v>2000</v>
      </c>
      <c r="AJ18" s="93">
        <v>500</v>
      </c>
      <c r="AK18" s="2">
        <v>55</v>
      </c>
      <c r="AL18" s="19">
        <v>53000</v>
      </c>
      <c r="AM18" s="19">
        <f t="shared" si="0"/>
        <v>63000</v>
      </c>
      <c r="AN18" s="63">
        <v>0.05</v>
      </c>
      <c r="AO18" s="63">
        <v>0.05</v>
      </c>
      <c r="AP18" s="61">
        <v>1</v>
      </c>
      <c r="AQ18" s="17">
        <v>794</v>
      </c>
      <c r="AR18" s="35">
        <v>1588</v>
      </c>
      <c r="AS18" s="102">
        <v>0.5</v>
      </c>
      <c r="AT18" s="19">
        <v>10800</v>
      </c>
      <c r="AU18" s="19">
        <v>3000</v>
      </c>
      <c r="AV18" s="63">
        <v>0.18</v>
      </c>
      <c r="AW18" s="61">
        <v>1</v>
      </c>
      <c r="AX18" s="242"/>
      <c r="AY18" s="376"/>
    </row>
    <row r="19" spans="1:51" s="5" customFormat="1" x14ac:dyDescent="0.25">
      <c r="A19" s="394">
        <v>40725</v>
      </c>
      <c r="B19" s="73">
        <v>41090</v>
      </c>
      <c r="C19" s="375">
        <v>2355</v>
      </c>
      <c r="D19" s="375">
        <v>282</v>
      </c>
      <c r="E19" s="402">
        <v>0.25</v>
      </c>
      <c r="F19" s="374">
        <v>150000</v>
      </c>
      <c r="G19" s="373">
        <v>1786</v>
      </c>
      <c r="H19" s="375">
        <v>2355</v>
      </c>
      <c r="I19" s="375">
        <v>282</v>
      </c>
      <c r="J19" s="375">
        <v>0.25</v>
      </c>
      <c r="K19" s="375">
        <v>150000</v>
      </c>
      <c r="L19" s="375">
        <v>1500</v>
      </c>
      <c r="M19" s="242">
        <v>30000</v>
      </c>
      <c r="N19" s="377">
        <v>0.04</v>
      </c>
      <c r="O19" s="375">
        <v>2230</v>
      </c>
      <c r="P19" s="374">
        <v>1602</v>
      </c>
      <c r="Q19" s="375">
        <f>MedicareAndLevies!G19</f>
        <v>30685</v>
      </c>
      <c r="R19" s="374">
        <v>26680</v>
      </c>
      <c r="S19" s="376">
        <v>0.125</v>
      </c>
      <c r="T19" s="375">
        <v>2859</v>
      </c>
      <c r="U19" s="374">
        <v>2005</v>
      </c>
      <c r="V19" s="375">
        <v>25060</v>
      </c>
      <c r="W19" s="374">
        <v>19367</v>
      </c>
      <c r="X19" s="376">
        <v>0.125</v>
      </c>
      <c r="Y19" s="375">
        <v>415</v>
      </c>
      <c r="Z19" s="374">
        <v>304</v>
      </c>
      <c r="AA19" s="375"/>
      <c r="AB19" s="374"/>
      <c r="AC19" s="375"/>
      <c r="AD19" s="374"/>
      <c r="AE19" s="242"/>
      <c r="AF19" s="403">
        <v>0.2</v>
      </c>
      <c r="AG19" s="377">
        <v>0.2</v>
      </c>
      <c r="AH19" s="375">
        <v>2060</v>
      </c>
      <c r="AI19" s="374">
        <v>2060</v>
      </c>
      <c r="AJ19" s="373">
        <v>500</v>
      </c>
      <c r="AK19" s="396">
        <v>55</v>
      </c>
      <c r="AL19" s="242">
        <v>53000</v>
      </c>
      <c r="AM19" s="242">
        <f t="shared" si="0"/>
        <v>63000</v>
      </c>
      <c r="AN19" s="404">
        <v>0.05</v>
      </c>
      <c r="AO19" s="404">
        <v>0.05</v>
      </c>
      <c r="AP19" s="377">
        <v>1</v>
      </c>
      <c r="AQ19" s="375">
        <v>818</v>
      </c>
      <c r="AR19" s="374">
        <v>1636</v>
      </c>
      <c r="AS19" s="376">
        <v>0.5</v>
      </c>
      <c r="AT19" s="242">
        <v>10800</v>
      </c>
      <c r="AU19" s="242">
        <v>3000</v>
      </c>
      <c r="AV19" s="404">
        <v>0.18</v>
      </c>
      <c r="AW19" s="377">
        <v>1</v>
      </c>
      <c r="AX19" s="242">
        <v>6000</v>
      </c>
      <c r="AY19" s="376">
        <v>0.15</v>
      </c>
    </row>
    <row r="20" spans="1:51" s="5" customFormat="1" x14ac:dyDescent="0.25">
      <c r="A20" s="394">
        <v>41091</v>
      </c>
      <c r="B20" s="73">
        <v>41455</v>
      </c>
      <c r="C20" s="375">
        <v>2423</v>
      </c>
      <c r="D20" s="375">
        <v>282</v>
      </c>
      <c r="E20" s="402">
        <v>0.25</v>
      </c>
      <c r="F20" s="374">
        <v>150000</v>
      </c>
      <c r="G20" s="373">
        <v>1786</v>
      </c>
      <c r="H20" s="375">
        <v>2423</v>
      </c>
      <c r="I20" s="375">
        <v>282</v>
      </c>
      <c r="J20" s="375">
        <v>0.25</v>
      </c>
      <c r="K20" s="375">
        <v>150000</v>
      </c>
      <c r="L20" s="375">
        <v>445</v>
      </c>
      <c r="M20" s="242">
        <v>37000</v>
      </c>
      <c r="N20" s="377">
        <v>1.4999999999999999E-2</v>
      </c>
      <c r="O20" s="375"/>
      <c r="P20" s="374"/>
      <c r="Q20" s="375"/>
      <c r="R20" s="374"/>
      <c r="S20" s="242"/>
      <c r="T20" s="375"/>
      <c r="U20" s="374"/>
      <c r="V20" s="375"/>
      <c r="W20" s="374"/>
      <c r="X20" s="376"/>
      <c r="Y20" s="375"/>
      <c r="Z20" s="374"/>
      <c r="AA20" s="375">
        <v>2230</v>
      </c>
      <c r="AB20" s="374">
        <v>1602</v>
      </c>
      <c r="AC20" s="375">
        <v>32279</v>
      </c>
      <c r="AD20" s="374">
        <v>28974</v>
      </c>
      <c r="AE20" s="404">
        <v>0.125</v>
      </c>
      <c r="AF20" s="403">
        <v>0.2</v>
      </c>
      <c r="AG20" s="377">
        <v>0.1</v>
      </c>
      <c r="AH20" s="375">
        <v>2120</v>
      </c>
      <c r="AI20" s="374">
        <v>5000</v>
      </c>
      <c r="AJ20" s="373">
        <v>500</v>
      </c>
      <c r="AK20" s="396">
        <v>56</v>
      </c>
      <c r="AL20" s="242">
        <v>53000</v>
      </c>
      <c r="AM20" s="242">
        <f t="shared" si="0"/>
        <v>63000</v>
      </c>
      <c r="AN20" s="404">
        <v>0.05</v>
      </c>
      <c r="AO20" s="404">
        <v>0.05</v>
      </c>
      <c r="AP20" s="377">
        <v>1</v>
      </c>
      <c r="AQ20" s="375"/>
      <c r="AR20" s="374"/>
      <c r="AS20" s="376"/>
      <c r="AT20" s="242">
        <v>10800</v>
      </c>
      <c r="AU20" s="242">
        <v>3000</v>
      </c>
      <c r="AV20" s="404">
        <v>0.18</v>
      </c>
      <c r="AW20" s="377">
        <v>1</v>
      </c>
      <c r="AX20" s="242">
        <v>6000</v>
      </c>
      <c r="AY20" s="376">
        <v>0.15</v>
      </c>
    </row>
    <row r="21" spans="1:51" s="5" customFormat="1" x14ac:dyDescent="0.25">
      <c r="A21" s="394">
        <v>41456</v>
      </c>
      <c r="B21" s="394">
        <v>41820</v>
      </c>
      <c r="C21" s="375">
        <v>2471</v>
      </c>
      <c r="D21" s="375">
        <v>282</v>
      </c>
      <c r="E21" s="402">
        <v>0.25</v>
      </c>
      <c r="F21" s="374">
        <v>150000</v>
      </c>
      <c r="G21" s="373">
        <v>1786</v>
      </c>
      <c r="H21" s="375">
        <v>2471</v>
      </c>
      <c r="I21" s="375">
        <v>282</v>
      </c>
      <c r="J21" s="375">
        <v>0.25</v>
      </c>
      <c r="K21" s="375">
        <v>150000</v>
      </c>
      <c r="L21" s="375">
        <v>445</v>
      </c>
      <c r="M21" s="242">
        <v>37000</v>
      </c>
      <c r="N21" s="377">
        <v>1.4999999999999999E-2</v>
      </c>
      <c r="O21" s="375"/>
      <c r="P21" s="374"/>
      <c r="Q21" s="375"/>
      <c r="R21" s="374"/>
      <c r="S21" s="242"/>
      <c r="T21" s="375"/>
      <c r="U21" s="374"/>
      <c r="V21" s="375"/>
      <c r="W21" s="374"/>
      <c r="X21" s="376"/>
      <c r="Y21" s="375"/>
      <c r="Z21" s="374"/>
      <c r="AA21" s="375">
        <v>2230</v>
      </c>
      <c r="AB21" s="374">
        <v>1602</v>
      </c>
      <c r="AC21" s="375">
        <v>32279</v>
      </c>
      <c r="AD21" s="374">
        <v>28974</v>
      </c>
      <c r="AE21" s="404">
        <v>0.125</v>
      </c>
      <c r="AF21" s="403">
        <v>0.2</v>
      </c>
      <c r="AG21" s="377">
        <v>0.1</v>
      </c>
      <c r="AH21" s="375">
        <v>2162</v>
      </c>
      <c r="AI21" s="374">
        <v>5100</v>
      </c>
      <c r="AJ21" s="373">
        <v>500</v>
      </c>
      <c r="AK21" s="396">
        <v>57</v>
      </c>
      <c r="AL21" s="242">
        <v>53000</v>
      </c>
      <c r="AM21" s="242">
        <f t="shared" si="0"/>
        <v>63000</v>
      </c>
      <c r="AN21" s="404">
        <v>0.05</v>
      </c>
      <c r="AO21" s="404">
        <v>0.05</v>
      </c>
      <c r="AP21" s="377">
        <v>1</v>
      </c>
      <c r="AQ21" s="375"/>
      <c r="AR21" s="374"/>
      <c r="AS21" s="376"/>
      <c r="AT21" s="242">
        <v>10800</v>
      </c>
      <c r="AU21" s="242">
        <v>3000</v>
      </c>
      <c r="AV21" s="404">
        <v>0.18</v>
      </c>
      <c r="AW21" s="377">
        <v>1</v>
      </c>
      <c r="AX21" s="242">
        <v>6000</v>
      </c>
      <c r="AY21" s="376">
        <v>0.15</v>
      </c>
    </row>
    <row r="22" spans="1:51" x14ac:dyDescent="0.25">
      <c r="A22" s="394">
        <v>41821</v>
      </c>
      <c r="B22" s="405">
        <v>42185</v>
      </c>
      <c r="C22" s="375"/>
      <c r="D22" s="375"/>
      <c r="E22" s="402"/>
      <c r="F22" s="374"/>
      <c r="G22" s="373"/>
      <c r="H22" s="375">
        <v>2535</v>
      </c>
      <c r="I22" s="375">
        <f>I21</f>
        <v>282</v>
      </c>
      <c r="J22" s="375">
        <f>J21</f>
        <v>0.25</v>
      </c>
      <c r="K22" s="375">
        <v>150000</v>
      </c>
      <c r="L22" s="375">
        <v>445</v>
      </c>
      <c r="M22" s="242">
        <v>37000</v>
      </c>
      <c r="N22" s="377">
        <v>1.4999999999999999E-2</v>
      </c>
      <c r="O22" s="845"/>
      <c r="P22" s="374"/>
      <c r="Q22" s="375"/>
      <c r="R22" s="374"/>
      <c r="S22" s="242"/>
      <c r="T22" s="375"/>
      <c r="U22" s="374"/>
      <c r="V22" s="375"/>
      <c r="W22" s="374"/>
      <c r="X22" s="376"/>
      <c r="Y22" s="375"/>
      <c r="Z22" s="374"/>
      <c r="AA22" s="375">
        <v>2230</v>
      </c>
      <c r="AB22" s="374">
        <v>1602</v>
      </c>
      <c r="AC22" s="375">
        <v>32279</v>
      </c>
      <c r="AD22" s="374">
        <v>28974</v>
      </c>
      <c r="AE22" s="404">
        <v>0.125</v>
      </c>
      <c r="AF22" s="935">
        <v>0.2</v>
      </c>
      <c r="AG22" s="936">
        <v>0.1</v>
      </c>
      <c r="AH22" s="375">
        <v>2218</v>
      </c>
      <c r="AI22" s="374">
        <v>5233</v>
      </c>
      <c r="AJ22" s="373"/>
      <c r="AK22" s="396"/>
      <c r="AL22" s="242"/>
      <c r="AM22" s="242"/>
      <c r="AN22" s="404"/>
      <c r="AO22" s="404"/>
      <c r="AP22" s="377"/>
      <c r="AQ22" s="375"/>
      <c r="AR22" s="374"/>
      <c r="AS22" s="376"/>
      <c r="AT22" s="242">
        <v>10800</v>
      </c>
      <c r="AU22" s="242">
        <v>3000</v>
      </c>
      <c r="AV22" s="404">
        <v>0.18</v>
      </c>
      <c r="AW22" s="377">
        <v>1</v>
      </c>
      <c r="AX22" s="242">
        <v>6000</v>
      </c>
      <c r="AY22" s="376">
        <v>0.15</v>
      </c>
    </row>
    <row r="23" spans="1:51" s="5" customFormat="1" x14ac:dyDescent="0.25">
      <c r="A23" s="394">
        <v>42186</v>
      </c>
      <c r="B23" s="394">
        <v>42551</v>
      </c>
      <c r="C23" s="375"/>
      <c r="D23" s="375"/>
      <c r="E23" s="402"/>
      <c r="F23" s="374"/>
      <c r="G23" s="373"/>
      <c r="H23" s="375">
        <f ca="1">ROUND(ROUND((SUM(OFFSET(INDEX(CPI!$B$8:$B$127,MATCH(DATE(YEAR(A23),MONTH(A23-1),DAY(A23)),CPIDates,0)),-4,0,4))/SUM(OFFSET(INDEX(CPI!$B$8:$B$127,MATCH(DATE(YEAR(A23),MONTH(A23-1),DAY(A23)),CPIDates,0)),-8,0,4))),3)*H22,0)</f>
        <v>2588</v>
      </c>
      <c r="I23" s="375">
        <f t="shared" ref="I23:I28" si="1">I22</f>
        <v>282</v>
      </c>
      <c r="J23" s="375">
        <f t="shared" ref="J23:J28" si="2">J22</f>
        <v>0.25</v>
      </c>
      <c r="K23" s="375">
        <f>FTBB_A!O23</f>
        <v>100000</v>
      </c>
      <c r="L23" s="375">
        <v>445</v>
      </c>
      <c r="M23" s="242">
        <v>37000</v>
      </c>
      <c r="N23" s="377">
        <v>1.4999999999999999E-2</v>
      </c>
      <c r="O23" s="845"/>
      <c r="P23" s="374"/>
      <c r="Q23" s="375"/>
      <c r="R23" s="374"/>
      <c r="S23" s="242"/>
      <c r="T23" s="375"/>
      <c r="U23" s="374"/>
      <c r="V23" s="375"/>
      <c r="W23" s="374"/>
      <c r="X23" s="376"/>
      <c r="Y23" s="375"/>
      <c r="Z23" s="374"/>
      <c r="AA23" s="375">
        <v>2230</v>
      </c>
      <c r="AB23" s="374">
        <v>1602</v>
      </c>
      <c r="AC23" s="375">
        <v>32279</v>
      </c>
      <c r="AD23" s="374">
        <v>28974</v>
      </c>
      <c r="AE23" s="404">
        <v>0.125</v>
      </c>
      <c r="AF23" s="935">
        <v>0.2</v>
      </c>
      <c r="AG23" s="936">
        <v>0.1</v>
      </c>
      <c r="AH23" s="375">
        <v>2265</v>
      </c>
      <c r="AI23" s="374">
        <v>5343</v>
      </c>
      <c r="AJ23" s="373"/>
      <c r="AK23" s="944"/>
      <c r="AL23" s="242"/>
      <c r="AM23" s="242"/>
      <c r="AN23" s="404"/>
      <c r="AO23" s="404"/>
      <c r="AP23" s="377"/>
      <c r="AQ23" s="375"/>
      <c r="AR23" s="374"/>
      <c r="AS23" s="376"/>
      <c r="AT23" s="242">
        <v>10800</v>
      </c>
      <c r="AU23" s="242">
        <v>3000</v>
      </c>
      <c r="AV23" s="404">
        <v>0.18</v>
      </c>
      <c r="AW23" s="377">
        <v>1</v>
      </c>
      <c r="AX23" s="242">
        <v>6000</v>
      </c>
      <c r="AY23" s="376">
        <v>0.15</v>
      </c>
    </row>
    <row r="24" spans="1:51" x14ac:dyDescent="0.25">
      <c r="A24" s="394">
        <v>42552</v>
      </c>
      <c r="B24" s="394">
        <v>42916</v>
      </c>
      <c r="C24" s="375"/>
      <c r="D24" s="375"/>
      <c r="E24" s="402"/>
      <c r="F24" s="374"/>
      <c r="G24" s="373"/>
      <c r="H24" s="375">
        <f ca="1">ROUND(ROUND((SUM(OFFSET(INDEX(CPI!$B$8:$B$127,MATCH(DATE(YEAR(A24),MONTH(A24-1),DAY(A24)),CPIDates,0)),-4,0,4))/SUM(OFFSET(INDEX(CPI!$B$8:$B$127,MATCH(DATE(YEAR(A24),MONTH(A24-1),DAY(A24)),CPIDates,0)),-8,0,4))),3)*H23,0)</f>
        <v>2627</v>
      </c>
      <c r="I24" s="375">
        <f t="shared" si="1"/>
        <v>282</v>
      </c>
      <c r="J24" s="375">
        <f t="shared" si="2"/>
        <v>0.25</v>
      </c>
      <c r="K24" s="375">
        <f>FTBB_A!O24</f>
        <v>100000</v>
      </c>
      <c r="L24" s="375">
        <v>445</v>
      </c>
      <c r="M24" s="242">
        <v>37000</v>
      </c>
      <c r="N24" s="377">
        <v>1.4999999999999999E-2</v>
      </c>
      <c r="O24" s="845"/>
      <c r="P24" s="374"/>
      <c r="Q24" s="375"/>
      <c r="R24" s="374"/>
      <c r="S24" s="242"/>
      <c r="T24" s="375"/>
      <c r="U24" s="374"/>
      <c r="V24" s="375"/>
      <c r="W24" s="374"/>
      <c r="X24" s="376"/>
      <c r="Y24" s="375"/>
      <c r="Z24" s="374"/>
      <c r="AA24" s="375">
        <v>2230</v>
      </c>
      <c r="AB24" s="374">
        <v>1602</v>
      </c>
      <c r="AC24" s="375">
        <v>32279</v>
      </c>
      <c r="AD24" s="374">
        <v>28974</v>
      </c>
      <c r="AE24" s="404">
        <v>0.125</v>
      </c>
      <c r="AF24" s="935">
        <v>0.2</v>
      </c>
      <c r="AG24" s="936">
        <v>0.1</v>
      </c>
      <c r="AH24" s="375">
        <f>ROUND((VLOOKUP(DATE(YEAR(A24),MONTH(A24)-4,DAY(A24)),CPI!A10:G127,2,FALSE)+VLOOKUP(DATE(YEAR(A24),MONTH(A24)-7,DAY(A24)),CPI!A10:G127,2,FALSE)+VLOOKUP(DATE(YEAR(A24),MONTH(A24)-10,DAY(A24)),CPI!A10:G127,2,FALSE)+VLOOKUP(DATE(YEAR(A24),MONTH(A24)-13,DAY(A24)),CPI!A10:G127,2,FALSE))/((VLOOKUP(DATE(YEAR(A23),MONTH(A24)-4,DAY(A24)),CPI!A10:G127,2,FALSE)+VLOOKUP(DATE(YEAR(A23),MONTH(A24)-7,DAY(A24)),CPI!A10:G127,2,FALSE)+VLOOKUP(DATE(YEAR(A23),MONTH(A24)-10,DAY(A24)),CPI!A10:G127,2,FALSE)+VLOOKUP(DATE(YEAR(A23),MONTH(A24)-13,DAY(A24)),CPI!A10:G127,2,FALSE)))*AH23,0)</f>
        <v>2299</v>
      </c>
      <c r="AI24" s="374">
        <f>ROUND((VLOOKUP(DATE(YEAR(A24),MONTH(A24)-4,DAY(A24)),CPI!A10:G127,2,FALSE)+VLOOKUP(DATE(YEAR(A24),MONTH(A24)-7,DAY(A24)),CPI!A10:G127,2,FALSE)+VLOOKUP(DATE(YEAR(A24),MONTH(A24)-10,DAY(A24)),CPI!A10:G127,2,FALSE)+VLOOKUP(DATE(YEAR(A24),MONTH(A24)-13,DAY(A24)),CPI!A10:G127,2,FALSE))/((VLOOKUP(DATE(YEAR(A23),MONTH(A24)-4,DAY(A24)),CPI!A10:G127,2,FALSE)+VLOOKUP(DATE(YEAR(A23),MONTH(A24)-7,DAY(A24)),CPI!A10:G127,2,FALSE)+VLOOKUP(DATE(YEAR(A23),MONTH(A24)-10,DAY(A24)),CPI!A10:G127,2,FALSE)+VLOOKUP(DATE(YEAR(A23),MONTH(A24)-13,DAY(A24)),CPI!A10:G127,2,FALSE)))*AI23,0)</f>
        <v>5423</v>
      </c>
      <c r="AJ24" s="373"/>
      <c r="AK24" s="944"/>
      <c r="AL24" s="242"/>
      <c r="AM24" s="242"/>
      <c r="AN24" s="404"/>
      <c r="AO24" s="404"/>
      <c r="AP24" s="377"/>
      <c r="AQ24" s="375"/>
      <c r="AR24" s="374"/>
      <c r="AS24" s="376"/>
      <c r="AT24" s="242">
        <v>37000</v>
      </c>
      <c r="AU24" s="242">
        <v>3000</v>
      </c>
      <c r="AV24" s="404">
        <v>0.18</v>
      </c>
      <c r="AW24" s="377">
        <v>1</v>
      </c>
      <c r="AX24" s="242">
        <v>6000</v>
      </c>
      <c r="AY24" s="376">
        <v>0.15</v>
      </c>
    </row>
    <row r="25" spans="1:51" x14ac:dyDescent="0.25">
      <c r="A25" s="74">
        <v>42917</v>
      </c>
      <c r="B25" s="74">
        <v>43281</v>
      </c>
      <c r="C25" s="33"/>
      <c r="D25" s="33"/>
      <c r="E25" s="103"/>
      <c r="F25" s="75"/>
      <c r="G25" s="107"/>
      <c r="H25" s="33">
        <f ca="1">ROUND(ROUND((SUM(OFFSET(INDEX(CPI!$B$8:$B$127,MATCH(DATE(YEAR(A25),MONTH(A25-1),DAY(A25)),CPIDates,0)),-4,0,4))/SUM(OFFSET(INDEX(CPI!$B$8:$B$127,MATCH(DATE(YEAR(A25),MONTH(A25-1),DAY(A25)),CPIDates,0)),-8,0,4))),3)*H24,0)</f>
        <v>2666</v>
      </c>
      <c r="I25" s="33">
        <f t="shared" si="1"/>
        <v>282</v>
      </c>
      <c r="J25" s="33">
        <f t="shared" si="2"/>
        <v>0.25</v>
      </c>
      <c r="K25" s="33">
        <f>FTBB_A!O25</f>
        <v>100000</v>
      </c>
      <c r="L25" s="33">
        <v>445</v>
      </c>
      <c r="M25" s="34">
        <v>37000</v>
      </c>
      <c r="N25" s="104">
        <v>1.4999999999999999E-2</v>
      </c>
      <c r="O25" s="613"/>
      <c r="P25" s="75"/>
      <c r="Q25" s="33"/>
      <c r="R25" s="75"/>
      <c r="S25" s="34"/>
      <c r="T25" s="33"/>
      <c r="U25" s="75"/>
      <c r="V25" s="33"/>
      <c r="W25" s="75"/>
      <c r="X25" s="105"/>
      <c r="Y25" s="33"/>
      <c r="Z25" s="75"/>
      <c r="AA25" s="33">
        <v>2230</v>
      </c>
      <c r="AB25" s="75">
        <v>1602</v>
      </c>
      <c r="AC25" s="33">
        <v>32279</v>
      </c>
      <c r="AD25" s="75">
        <v>28974</v>
      </c>
      <c r="AE25" s="76">
        <v>0.125</v>
      </c>
      <c r="AF25" s="657">
        <v>0.2</v>
      </c>
      <c r="AG25" s="658">
        <v>0.1</v>
      </c>
      <c r="AH25" s="33">
        <f>ROUND((VLOOKUP(DATE(YEAR(A25),MONTH(A25)-4,DAY(A25)),CPI!A11:G127,2,FALSE)+VLOOKUP(DATE(YEAR(A25),MONTH(A25)-7,DAY(A25)),CPI!A11:G127,2,FALSE)+VLOOKUP(DATE(YEAR(A25),MONTH(A25)-10,DAY(A25)),CPI!A11:G127,2,FALSE)+VLOOKUP(DATE(YEAR(A25),MONTH(A25)-13,DAY(A25)),CPI!A11:G127,2,FALSE))/((VLOOKUP(DATE(YEAR(A24),MONTH(A25)-4,DAY(A25)),CPI!A11:G127,2,FALSE)+VLOOKUP(DATE(YEAR(A24),MONTH(A25)-7,DAY(A25)),CPI!A11:G127,2,FALSE)+VLOOKUP(DATE(YEAR(A24),MONTH(A25)-10,DAY(A25)),CPI!A11:G127,2,FALSE)+VLOOKUP(DATE(YEAR(A24),MONTH(A25)-13,DAY(A25)),CPI!A11:G127,2,FALSE)))*AH24,0)</f>
        <v>2333</v>
      </c>
      <c r="AI25" s="75">
        <f>ROUND((VLOOKUP(DATE(YEAR(A25),MONTH(A25)-4,DAY(A25)),CPI!A11:G127,2,FALSE)+VLOOKUP(DATE(YEAR(A25),MONTH(A25)-7,DAY(A25)),CPI!A11:G127,2,FALSE)+VLOOKUP(DATE(YEAR(A25),MONTH(A25)-10,DAY(A25)),CPI!A11:G127,2,FALSE)+VLOOKUP(DATE(YEAR(A25),MONTH(A25)-13,DAY(A25)),CPI!A11:G127,2,FALSE))/((VLOOKUP(DATE(YEAR(A24),MONTH(A25)-4,DAY(A25)),CPI!A11:G127,2,FALSE)+VLOOKUP(DATE(YEAR(A24),MONTH(A25)-7,DAY(A25)),CPI!A11:G127,2,FALSE)+VLOOKUP(DATE(YEAR(A24),MONTH(A25)-10,DAY(A25)),CPI!A11:G127,2,FALSE)+VLOOKUP(DATE(YEAR(A24),MONTH(A25)-13,DAY(A25)),CPI!A11:G127,2,FALSE)))*AI24,0)</f>
        <v>5503</v>
      </c>
      <c r="AJ25" s="107"/>
      <c r="AK25" s="30"/>
      <c r="AL25" s="34"/>
      <c r="AM25" s="34"/>
      <c r="AN25" s="76"/>
      <c r="AO25" s="76"/>
      <c r="AP25" s="104"/>
      <c r="AQ25" s="33"/>
      <c r="AR25" s="75"/>
      <c r="AS25" s="105"/>
      <c r="AT25" s="34">
        <v>37000</v>
      </c>
      <c r="AU25" s="34">
        <v>3000</v>
      </c>
      <c r="AV25" s="76">
        <v>0.18</v>
      </c>
      <c r="AW25" s="104">
        <v>1</v>
      </c>
      <c r="AX25" s="34">
        <v>6000</v>
      </c>
      <c r="AY25" s="105">
        <v>0.15</v>
      </c>
    </row>
    <row r="26" spans="1:51" x14ac:dyDescent="0.25">
      <c r="A26" s="74">
        <v>43282</v>
      </c>
      <c r="B26" s="74">
        <v>43646</v>
      </c>
      <c r="C26" s="33"/>
      <c r="D26" s="33"/>
      <c r="E26" s="103"/>
      <c r="F26" s="75"/>
      <c r="G26" s="107"/>
      <c r="H26" s="33">
        <f ca="1">ROUND(ROUND((SUM(OFFSET(INDEX(CPI!$B$8:$B$127,MATCH(DATE(YEAR(A26),MONTH(A26-1),DAY(A26)),CPIDates,0)),-4,0,4))/SUM(OFFSET(INDEX(CPI!$B$8:$B$127,MATCH(DATE(YEAR(A26),MONTH(A26-1),DAY(A26)),CPIDates,0)),-8,0,4))),3)*H25,0)</f>
        <v>2711</v>
      </c>
      <c r="I26" s="33">
        <f t="shared" si="1"/>
        <v>282</v>
      </c>
      <c r="J26" s="33">
        <f t="shared" si="2"/>
        <v>0.25</v>
      </c>
      <c r="K26" s="33">
        <f>FTBB_A!O26</f>
        <v>100000</v>
      </c>
      <c r="L26" s="33">
        <f>L25</f>
        <v>445</v>
      </c>
      <c r="M26" s="34">
        <v>37000</v>
      </c>
      <c r="N26" s="104">
        <f>N25</f>
        <v>1.4999999999999999E-2</v>
      </c>
      <c r="O26" s="613"/>
      <c r="P26" s="75"/>
      <c r="Q26" s="33"/>
      <c r="R26" s="75"/>
      <c r="S26" s="34"/>
      <c r="T26" s="33"/>
      <c r="U26" s="75"/>
      <c r="V26" s="33"/>
      <c r="W26" s="75"/>
      <c r="X26" s="105"/>
      <c r="Y26" s="33"/>
      <c r="Z26" s="75"/>
      <c r="AA26" s="33">
        <v>2230</v>
      </c>
      <c r="AB26" s="75">
        <v>1602</v>
      </c>
      <c r="AC26" s="33">
        <v>32279</v>
      </c>
      <c r="AD26" s="75">
        <v>28974</v>
      </c>
      <c r="AE26" s="76">
        <v>0.125</v>
      </c>
      <c r="AF26" s="657">
        <v>0.2</v>
      </c>
      <c r="AG26" s="658">
        <v>0.1</v>
      </c>
      <c r="AH26" s="33">
        <f>ROUND((VLOOKUP(DATE(YEAR(A26),MONTH(A26)-4,DAY(A26)),CPI!A12:G127,2,FALSE)+VLOOKUP(DATE(YEAR(A26),MONTH(A26)-7,DAY(A26)),CPI!A12:G127,2,FALSE)+VLOOKUP(DATE(YEAR(A26),MONTH(A26)-10,DAY(A26)),CPI!A12:G127,2,FALSE)+VLOOKUP(DATE(YEAR(A26),MONTH(A26)-13,DAY(A26)),CPI!A12:G127,2,FALSE))/((VLOOKUP(DATE(YEAR(A25),MONTH(A26)-4,DAY(A26)),CPI!A12:G127,2,FALSE)+VLOOKUP(DATE(YEAR(A25),MONTH(A26)-7,DAY(A26)),CPI!A12:G127,2,FALSE)+VLOOKUP(DATE(YEAR(A25),MONTH(A26)-10,DAY(A26)),CPI!A12:G127,2,FALSE)+VLOOKUP(DATE(YEAR(A25),MONTH(A26)-13,DAY(A26)),CPI!A12:G127,2,FALSE)))*AH25,0)</f>
        <v>2373</v>
      </c>
      <c r="AI26" s="75">
        <f>ROUND((VLOOKUP(DATE(YEAR(A26),MONTH(A26)-4,DAY(A26)),CPI!A12:G127,2,FALSE)+VLOOKUP(DATE(YEAR(A26),MONTH(A26)-7,DAY(A26)),CPI!A12:G127,2,FALSE)+VLOOKUP(DATE(YEAR(A26),MONTH(A26)-10,DAY(A26)),CPI!A12:G127,2,FALSE)+VLOOKUP(DATE(YEAR(A26),MONTH(A26)-13,DAY(A26)),CPI!A12:G127,2,FALSE))/((VLOOKUP(DATE(YEAR(A25),MONTH(A26)-4,DAY(A26)),CPI!A12:G127,2,FALSE)+VLOOKUP(DATE(YEAR(A25),MONTH(A26)-7,DAY(A26)),CPI!A12:G127,2,FALSE)+VLOOKUP(DATE(YEAR(A25),MONTH(A26)-10,DAY(A26)),CPI!A12:G127,2,FALSE)+VLOOKUP(DATE(YEAR(A25),MONTH(A26)-13,DAY(A26)),CPI!A12:G127,2,FALSE)))*AI25,0)</f>
        <v>5598</v>
      </c>
      <c r="AJ26" s="107"/>
      <c r="AK26" s="30"/>
      <c r="AL26" s="34"/>
      <c r="AM26" s="34"/>
      <c r="AN26" s="76"/>
      <c r="AO26" s="76"/>
      <c r="AP26" s="104"/>
      <c r="AQ26" s="33"/>
      <c r="AR26" s="75"/>
      <c r="AS26" s="105"/>
      <c r="AT26" s="34">
        <v>37000</v>
      </c>
      <c r="AU26" s="34">
        <v>3000</v>
      </c>
      <c r="AV26" s="76">
        <v>0.18</v>
      </c>
      <c r="AW26" s="104">
        <v>1</v>
      </c>
      <c r="AX26" s="34">
        <v>6000</v>
      </c>
      <c r="AY26" s="105">
        <v>0.15</v>
      </c>
    </row>
    <row r="27" spans="1:51" x14ac:dyDescent="0.25">
      <c r="A27" s="74">
        <v>43647</v>
      </c>
      <c r="B27" s="74">
        <v>44012</v>
      </c>
      <c r="C27" s="33"/>
      <c r="D27" s="33"/>
      <c r="E27" s="103"/>
      <c r="F27" s="75"/>
      <c r="G27" s="107"/>
      <c r="H27" s="33">
        <f ca="1">ROUND(ROUND((SUM(OFFSET(INDEX(CPI!$B$8:$B$127,MATCH(DATE(YEAR(A27),MONTH(A27-1),DAY(A27)),CPIDates,0)),-4,0,4))/SUM(OFFSET(INDEX(CPI!$B$8:$B$127,MATCH(DATE(YEAR(A27),MONTH(A27-1),DAY(A27)),CPIDates,0)),-8,0,4))),3)*H26,0)</f>
        <v>2768</v>
      </c>
      <c r="I27" s="33">
        <f t="shared" si="1"/>
        <v>282</v>
      </c>
      <c r="J27" s="33">
        <f t="shared" si="2"/>
        <v>0.25</v>
      </c>
      <c r="K27" s="33">
        <f>FTBB_A!O27</f>
        <v>100000</v>
      </c>
      <c r="L27" s="33">
        <f>L26</f>
        <v>445</v>
      </c>
      <c r="M27" s="34">
        <v>37000</v>
      </c>
      <c r="N27" s="104">
        <f>N26</f>
        <v>1.4999999999999999E-2</v>
      </c>
      <c r="O27" s="613"/>
      <c r="P27" s="75"/>
      <c r="Q27" s="33"/>
      <c r="R27" s="75"/>
      <c r="S27" s="34"/>
      <c r="T27" s="33"/>
      <c r="U27" s="75"/>
      <c r="V27" s="33"/>
      <c r="W27" s="75"/>
      <c r="X27" s="105"/>
      <c r="Y27" s="33"/>
      <c r="Z27" s="75"/>
      <c r="AA27" s="33">
        <v>2230</v>
      </c>
      <c r="AB27" s="75">
        <v>1602</v>
      </c>
      <c r="AC27" s="33">
        <v>32279</v>
      </c>
      <c r="AD27" s="75">
        <v>28974</v>
      </c>
      <c r="AE27" s="76">
        <v>0.125</v>
      </c>
      <c r="AF27" s="106"/>
      <c r="AG27" s="104"/>
      <c r="AH27" s="33"/>
      <c r="AI27" s="75"/>
      <c r="AJ27" s="107"/>
      <c r="AK27" s="30"/>
      <c r="AL27" s="34"/>
      <c r="AM27" s="34"/>
      <c r="AN27" s="76"/>
      <c r="AO27" s="76"/>
      <c r="AP27" s="104"/>
      <c r="AQ27" s="33"/>
      <c r="AR27" s="75"/>
      <c r="AS27" s="105"/>
      <c r="AT27" s="34">
        <v>37000</v>
      </c>
      <c r="AU27" s="34">
        <v>3000</v>
      </c>
      <c r="AV27" s="76">
        <v>0.18</v>
      </c>
      <c r="AW27" s="104">
        <v>1</v>
      </c>
      <c r="AX27" s="34">
        <v>6000</v>
      </c>
      <c r="AY27" s="105">
        <v>0.15</v>
      </c>
    </row>
    <row r="28" spans="1:51" x14ac:dyDescent="0.25">
      <c r="A28" s="74">
        <v>44013</v>
      </c>
      <c r="B28" s="74">
        <v>44377</v>
      </c>
      <c r="C28" s="33"/>
      <c r="D28" s="33"/>
      <c r="E28" s="103"/>
      <c r="F28" s="75"/>
      <c r="G28" s="107"/>
      <c r="H28" s="33">
        <f ca="1">ROUND(ROUND((SUM(OFFSET(INDEX(CPI!$B$8:$B$127,MATCH(DATE(YEAR(A28),MONTH(A28-1),DAY(A28)),CPIDates,0)),-4,0,4))/SUM(OFFSET(INDEX(CPI!$B$8:$B$127,MATCH(DATE(YEAR(A28),MONTH(A28-1),DAY(A28)),CPIDates,0)),-8,0,4))),3)*H27,0)</f>
        <v>2832</v>
      </c>
      <c r="I28" s="33">
        <f t="shared" si="1"/>
        <v>282</v>
      </c>
      <c r="J28" s="33">
        <f t="shared" si="2"/>
        <v>0.25</v>
      </c>
      <c r="K28" s="33">
        <f>FTBB_A!O28</f>
        <v>102400</v>
      </c>
      <c r="L28" s="33">
        <f>L27</f>
        <v>445</v>
      </c>
      <c r="M28" s="34">
        <v>37000</v>
      </c>
      <c r="N28" s="104">
        <f>N27</f>
        <v>1.4999999999999999E-2</v>
      </c>
      <c r="O28" s="613"/>
      <c r="P28" s="75"/>
      <c r="Q28" s="33"/>
      <c r="R28" s="75"/>
      <c r="S28" s="34"/>
      <c r="T28" s="33"/>
      <c r="U28" s="75"/>
      <c r="V28" s="33"/>
      <c r="W28" s="75"/>
      <c r="X28" s="105"/>
      <c r="Y28" s="33"/>
      <c r="Z28" s="75"/>
      <c r="AA28" s="33">
        <v>2230</v>
      </c>
      <c r="AB28" s="75">
        <v>1602</v>
      </c>
      <c r="AC28" s="33">
        <v>32279</v>
      </c>
      <c r="AD28" s="75">
        <v>28974</v>
      </c>
      <c r="AE28" s="76">
        <v>0.125</v>
      </c>
      <c r="AF28" s="106"/>
      <c r="AG28" s="104"/>
      <c r="AH28" s="33"/>
      <c r="AI28" s="75"/>
      <c r="AJ28" s="107"/>
      <c r="AK28" s="30"/>
      <c r="AL28" s="34"/>
      <c r="AM28" s="34"/>
      <c r="AN28" s="76"/>
      <c r="AO28" s="76"/>
      <c r="AP28" s="104"/>
      <c r="AQ28" s="33"/>
      <c r="AR28" s="75"/>
      <c r="AS28" s="105"/>
      <c r="AT28" s="34">
        <v>37000</v>
      </c>
      <c r="AU28" s="34">
        <v>3000</v>
      </c>
      <c r="AV28" s="76">
        <v>0.18</v>
      </c>
      <c r="AW28" s="104">
        <v>1</v>
      </c>
      <c r="AX28" s="34">
        <v>6000</v>
      </c>
      <c r="AY28" s="105">
        <v>0.15</v>
      </c>
    </row>
  </sheetData>
  <customSheetViews>
    <customSheetView guid="{E49C2F27-B0B9-497E-BEC0-5B59561292FE}" topLeftCell="AI1">
      <selection activeCell="AM27" sqref="AM27"/>
      <pageMargins left="0.7" right="0.7" top="0.75" bottom="0.75" header="0.3" footer="0.3"/>
      <pageSetup paperSize="9" orientation="portrait" r:id="rId1"/>
    </customSheetView>
    <customSheetView guid="{A5953138-1481-4137-BEAD-32FA4FDF03E6}" topLeftCell="AI1">
      <selection activeCell="AM27" sqref="AM27"/>
      <pageMargins left="0.7" right="0.7" top="0.75" bottom="0.75" header="0.3" footer="0.3"/>
      <pageSetup paperSize="9" orientation="portrait" r:id="rId2"/>
    </customSheetView>
    <customSheetView guid="{2A1F94CA-1A34-4418-88FD-EABF7586C2B2}" topLeftCell="AI1">
      <selection activeCell="AM27" sqref="AM27"/>
      <pageMargins left="0.7" right="0.7" top="0.75" bottom="0.75" header="0.3" footer="0.3"/>
      <pageSetup paperSize="9" orientation="portrait" r:id="rId3"/>
    </customSheetView>
  </customSheetViews>
  <mergeCells count="80">
    <mergeCell ref="X3:X6"/>
    <mergeCell ref="T3:U3"/>
    <mergeCell ref="C1:G1"/>
    <mergeCell ref="L1:N1"/>
    <mergeCell ref="O3:P3"/>
    <mergeCell ref="T2:U2"/>
    <mergeCell ref="R4:R6"/>
    <mergeCell ref="Q3:R3"/>
    <mergeCell ref="Y3:Z3"/>
    <mergeCell ref="T1:Z1"/>
    <mergeCell ref="V2:Z2"/>
    <mergeCell ref="C3:C6"/>
    <mergeCell ref="F3:F6"/>
    <mergeCell ref="E3:E6"/>
    <mergeCell ref="G3:G6"/>
    <mergeCell ref="T4:T6"/>
    <mergeCell ref="M2:N2"/>
    <mergeCell ref="D3:D6"/>
    <mergeCell ref="O4:O6"/>
    <mergeCell ref="O1:S1"/>
    <mergeCell ref="D2:F2"/>
    <mergeCell ref="L3:L6"/>
    <mergeCell ref="O2:P2"/>
    <mergeCell ref="Q4:Q6"/>
    <mergeCell ref="AK2:AP2"/>
    <mergeCell ref="N3:N6"/>
    <mergeCell ref="M3:M6"/>
    <mergeCell ref="AL3:AL6"/>
    <mergeCell ref="V3:W3"/>
    <mergeCell ref="AF2:AG2"/>
    <mergeCell ref="AH3:AH6"/>
    <mergeCell ref="Q2:S2"/>
    <mergeCell ref="S4:S6"/>
    <mergeCell ref="AC2:AE2"/>
    <mergeCell ref="P4:P6"/>
    <mergeCell ref="Z4:Z6"/>
    <mergeCell ref="U4:U6"/>
    <mergeCell ref="V4:V6"/>
    <mergeCell ref="W4:W6"/>
    <mergeCell ref="Y4:Y6"/>
    <mergeCell ref="AF1:AI1"/>
    <mergeCell ref="AA3:AB3"/>
    <mergeCell ref="AC3:AD3"/>
    <mergeCell ref="AA2:AB2"/>
    <mergeCell ref="AH2:AI2"/>
    <mergeCell ref="AG3:AG6"/>
    <mergeCell ref="AI3:AI6"/>
    <mergeCell ref="AF3:AF6"/>
    <mergeCell ref="AA4:AA6"/>
    <mergeCell ref="AB4:AB6"/>
    <mergeCell ref="AC4:AC6"/>
    <mergeCell ref="AD4:AD6"/>
    <mergeCell ref="AA1:AE1"/>
    <mergeCell ref="AQ1:AS1"/>
    <mergeCell ref="AS2:AS6"/>
    <mergeCell ref="AQ2:AR2"/>
    <mergeCell ref="AQ3:AQ6"/>
    <mergeCell ref="AR3:AR6"/>
    <mergeCell ref="AJ3:AJ6"/>
    <mergeCell ref="AO3:AO6"/>
    <mergeCell ref="AN3:AN6"/>
    <mergeCell ref="AP3:AP6"/>
    <mergeCell ref="AM3:AM6"/>
    <mergeCell ref="AK3:AK6"/>
    <mergeCell ref="A2:B6"/>
    <mergeCell ref="H1:K1"/>
    <mergeCell ref="AX1:AY1"/>
    <mergeCell ref="AX2:AX6"/>
    <mergeCell ref="AY2:AY6"/>
    <mergeCell ref="I2:K2"/>
    <mergeCell ref="H3:H6"/>
    <mergeCell ref="I3:I6"/>
    <mergeCell ref="J3:J6"/>
    <mergeCell ref="K3:K6"/>
    <mergeCell ref="AT1:AW1"/>
    <mergeCell ref="AT2:AT6"/>
    <mergeCell ref="AU2:AU6"/>
    <mergeCell ref="AV2:AV6"/>
    <mergeCell ref="AW2:AW6"/>
    <mergeCell ref="AJ1:AP1"/>
  </mergeCells>
  <pageMargins left="0.7" right="0.7" top="0.75" bottom="0.75" header="0.3" footer="0.3"/>
  <pageSetup paperSize="9" orientation="portrait" r:id="rId4"/>
  <legacyDrawing r:id="rId5"/>
</worksheet>
</file>

<file path=xl/worksheets/sheet5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600-000000000000}">
  <sheetPr codeName="Sheet6">
    <tabColor rgb="FF7030A0"/>
  </sheetPr>
  <dimension ref="A1:AG29"/>
  <sheetViews>
    <sheetView topLeftCell="A2" workbookViewId="0">
      <selection activeCell="AC31" sqref="AC31"/>
    </sheetView>
  </sheetViews>
  <sheetFormatPr defaultRowHeight="15" x14ac:dyDescent="0.25"/>
  <cols>
    <col min="1" max="1" width="14.28515625" style="28" customWidth="1"/>
    <col min="2" max="2" width="14.28515625" style="697" customWidth="1"/>
    <col min="3" max="3" width="14.28515625" style="28" customWidth="1"/>
    <col min="4" max="4" width="16.5703125" style="28" customWidth="1"/>
    <col min="5" max="11" width="14.28515625" style="28" customWidth="1"/>
    <col min="12" max="12" width="19.7109375" style="28" customWidth="1"/>
    <col min="13" max="13" width="21.5703125" style="16" customWidth="1"/>
    <col min="14" max="15" width="20.85546875" style="28" bestFit="1" customWidth="1"/>
    <col min="16" max="16" width="20.85546875" style="28" customWidth="1"/>
    <col min="17" max="17" width="17.5703125" style="28" customWidth="1"/>
    <col min="18" max="18" width="19.140625" style="28" customWidth="1"/>
    <col min="19" max="19" width="18.85546875" style="28" customWidth="1"/>
    <col min="20" max="21" width="18.7109375" style="28" customWidth="1"/>
    <col min="22" max="22" width="20" style="28" customWidth="1"/>
    <col min="23" max="23" width="20" style="697" customWidth="1"/>
    <col min="24" max="25" width="19.42578125" style="28" customWidth="1"/>
    <col min="26" max="26" width="14.28515625" style="28" customWidth="1"/>
    <col min="27" max="27" width="12.28515625" style="28" customWidth="1"/>
    <col min="28" max="28" width="14" style="28" customWidth="1"/>
    <col min="29" max="29" width="22.42578125" style="28" customWidth="1"/>
    <col min="30" max="30" width="9.140625" style="28"/>
    <col min="31" max="31" width="13" style="28" customWidth="1"/>
    <col min="32" max="16384" width="9.140625" style="28"/>
  </cols>
  <sheetData>
    <row r="1" spans="1:29" s="502" customFormat="1" ht="15.75" hidden="1" thickBot="1" x14ac:dyDescent="0.3">
      <c r="B1" s="697"/>
      <c r="M1" s="16"/>
      <c r="W1" s="697"/>
    </row>
    <row r="2" spans="1:29" ht="15.75" customHeight="1" thickBot="1" x14ac:dyDescent="0.3">
      <c r="A2" s="1164" t="s">
        <v>83</v>
      </c>
      <c r="B2" s="1165"/>
      <c r="C2" s="1250" t="s">
        <v>128</v>
      </c>
      <c r="D2" s="1187" t="s">
        <v>277</v>
      </c>
      <c r="E2" s="1164" t="s">
        <v>278</v>
      </c>
      <c r="F2" s="1214"/>
      <c r="G2" s="1214"/>
      <c r="H2" s="1214"/>
      <c r="I2" s="1214"/>
      <c r="J2" s="1214"/>
      <c r="K2" s="1165"/>
      <c r="L2" s="1161" t="s">
        <v>303</v>
      </c>
      <c r="M2" s="1161"/>
      <c r="N2" s="1161"/>
      <c r="O2" s="1161"/>
      <c r="P2" s="1161"/>
      <c r="Q2" s="1161"/>
      <c r="R2" s="1161"/>
      <c r="S2" s="1161"/>
      <c r="T2" s="1161"/>
      <c r="U2" s="1161"/>
      <c r="V2" s="1161"/>
      <c r="W2" s="1161"/>
      <c r="X2" s="1161"/>
      <c r="Y2" s="1269"/>
      <c r="Z2" s="1270"/>
      <c r="AA2" s="1164" t="s">
        <v>279</v>
      </c>
      <c r="AB2" s="1165"/>
      <c r="AC2" s="1164" t="s">
        <v>868</v>
      </c>
    </row>
    <row r="3" spans="1:29" ht="15.75" customHeight="1" thickBot="1" x14ac:dyDescent="0.3">
      <c r="A3" s="1215"/>
      <c r="B3" s="1236"/>
      <c r="C3" s="1188"/>
      <c r="D3" s="1176"/>
      <c r="E3" s="1215"/>
      <c r="F3" s="1216"/>
      <c r="G3" s="1216"/>
      <c r="H3" s="1216"/>
      <c r="I3" s="1216"/>
      <c r="J3" s="1216"/>
      <c r="K3" s="1236"/>
      <c r="L3" s="1211" t="s">
        <v>280</v>
      </c>
      <c r="M3" s="1212"/>
      <c r="N3" s="1212"/>
      <c r="O3" s="1213"/>
      <c r="P3" s="1211" t="s">
        <v>281</v>
      </c>
      <c r="Q3" s="1212"/>
      <c r="R3" s="1212"/>
      <c r="S3" s="1212"/>
      <c r="T3" s="1212"/>
      <c r="U3" s="1213"/>
      <c r="V3" s="1211" t="s">
        <v>304</v>
      </c>
      <c r="W3" s="1212"/>
      <c r="X3" s="1212"/>
      <c r="Y3" s="1250" t="s">
        <v>308</v>
      </c>
      <c r="Z3" s="1187" t="s">
        <v>307</v>
      </c>
      <c r="AA3" s="1216"/>
      <c r="AB3" s="1236"/>
      <c r="AC3" s="1216"/>
    </row>
    <row r="4" spans="1:29" ht="27" customHeight="1" thickBot="1" x14ac:dyDescent="0.3">
      <c r="A4" s="1215"/>
      <c r="B4" s="1236"/>
      <c r="C4" s="1188"/>
      <c r="D4" s="1176"/>
      <c r="E4" s="1215"/>
      <c r="F4" s="1216"/>
      <c r="G4" s="1216"/>
      <c r="H4" s="1216"/>
      <c r="I4" s="1216"/>
      <c r="J4" s="1216"/>
      <c r="K4" s="1216"/>
      <c r="L4" s="371" t="s">
        <v>124</v>
      </c>
      <c r="M4" s="372"/>
      <c r="N4" s="1259" t="s">
        <v>125</v>
      </c>
      <c r="O4" s="1274"/>
      <c r="P4" s="1261" t="s">
        <v>124</v>
      </c>
      <c r="Q4" s="1261"/>
      <c r="R4" s="1262"/>
      <c r="S4" s="1258" t="s">
        <v>125</v>
      </c>
      <c r="T4" s="1259"/>
      <c r="U4" s="1274"/>
      <c r="V4" s="1260" t="s">
        <v>125</v>
      </c>
      <c r="W4" s="1261"/>
      <c r="X4" s="1261"/>
      <c r="Y4" s="1188"/>
      <c r="Z4" s="1176"/>
      <c r="AA4" s="1250" t="s">
        <v>282</v>
      </c>
      <c r="AB4" s="1187" t="s">
        <v>283</v>
      </c>
      <c r="AC4" s="1250" t="s">
        <v>295</v>
      </c>
    </row>
    <row r="5" spans="1:29" ht="15.75" thickBot="1" x14ac:dyDescent="0.3">
      <c r="A5" s="1215"/>
      <c r="B5" s="1236"/>
      <c r="C5" s="1188"/>
      <c r="D5" s="1176"/>
      <c r="E5" s="1166"/>
      <c r="F5" s="1217"/>
      <c r="G5" s="1217"/>
      <c r="H5" s="1217"/>
      <c r="I5" s="1217"/>
      <c r="J5" s="1217"/>
      <c r="K5" s="1167"/>
      <c r="L5" s="1188" t="s">
        <v>284</v>
      </c>
      <c r="M5" s="1189" t="s">
        <v>305</v>
      </c>
      <c r="N5" s="1256" t="s">
        <v>306</v>
      </c>
      <c r="O5" s="1187"/>
      <c r="P5" s="1248" t="s">
        <v>286</v>
      </c>
      <c r="Q5" s="1238"/>
      <c r="R5" s="295" t="s">
        <v>285</v>
      </c>
      <c r="S5" s="1248" t="s">
        <v>286</v>
      </c>
      <c r="T5" s="1238"/>
      <c r="U5" s="1239"/>
      <c r="V5" s="296" t="s">
        <v>286</v>
      </c>
      <c r="W5" s="757"/>
      <c r="X5" s="294" t="s">
        <v>285</v>
      </c>
      <c r="Y5" s="1188"/>
      <c r="Z5" s="1176"/>
      <c r="AA5" s="1188"/>
      <c r="AB5" s="1176"/>
      <c r="AC5" s="1188"/>
    </row>
    <row r="6" spans="1:29" ht="30.75" customHeight="1" thickBot="1" x14ac:dyDescent="0.3">
      <c r="A6" s="1166"/>
      <c r="B6" s="1167"/>
      <c r="C6" s="1188"/>
      <c r="D6" s="1176"/>
      <c r="E6" s="88" t="s">
        <v>296</v>
      </c>
      <c r="F6" s="89" t="s">
        <v>297</v>
      </c>
      <c r="G6" s="89" t="s">
        <v>298</v>
      </c>
      <c r="H6" s="89" t="s">
        <v>299</v>
      </c>
      <c r="I6" s="89" t="s">
        <v>300</v>
      </c>
      <c r="J6" s="89" t="s">
        <v>301</v>
      </c>
      <c r="K6" s="90" t="s">
        <v>302</v>
      </c>
      <c r="L6" s="1207"/>
      <c r="M6" s="1257"/>
      <c r="N6" s="1257"/>
      <c r="O6" s="1177"/>
      <c r="P6" s="88" t="s">
        <v>287</v>
      </c>
      <c r="Q6" s="89" t="s">
        <v>288</v>
      </c>
      <c r="R6" s="90" t="s">
        <v>289</v>
      </c>
      <c r="S6" s="370" t="s">
        <v>287</v>
      </c>
      <c r="T6" s="89" t="s">
        <v>288</v>
      </c>
      <c r="U6" s="90" t="s">
        <v>334</v>
      </c>
      <c r="V6" s="297" t="s">
        <v>287</v>
      </c>
      <c r="W6" s="758" t="s">
        <v>288</v>
      </c>
      <c r="X6" s="297" t="s">
        <v>289</v>
      </c>
      <c r="Y6" s="1207"/>
      <c r="Z6" s="1177"/>
      <c r="AA6" s="1207"/>
      <c r="AB6" s="1177"/>
      <c r="AC6" s="1207"/>
    </row>
    <row r="7" spans="1:29" ht="15" customHeight="1" thickBot="1" x14ac:dyDescent="0.3">
      <c r="A7" s="43" t="s">
        <v>550</v>
      </c>
      <c r="B7" s="43" t="s">
        <v>551</v>
      </c>
      <c r="C7" s="327" t="s">
        <v>645</v>
      </c>
      <c r="D7" s="328" t="s">
        <v>646</v>
      </c>
      <c r="E7" s="327" t="s">
        <v>590</v>
      </c>
      <c r="F7" s="329" t="s">
        <v>591</v>
      </c>
      <c r="G7" s="329" t="s">
        <v>592</v>
      </c>
      <c r="H7" s="329" t="s">
        <v>593</v>
      </c>
      <c r="I7" s="329" t="s">
        <v>594</v>
      </c>
      <c r="J7" s="329" t="s">
        <v>595</v>
      </c>
      <c r="K7" s="328" t="s">
        <v>596</v>
      </c>
      <c r="L7" s="327" t="s">
        <v>836</v>
      </c>
      <c r="M7" s="329" t="s">
        <v>837</v>
      </c>
      <c r="N7" s="329" t="s">
        <v>838</v>
      </c>
      <c r="O7" s="328" t="s">
        <v>839</v>
      </c>
      <c r="P7" s="332" t="s">
        <v>840</v>
      </c>
      <c r="Q7" s="332" t="s">
        <v>841</v>
      </c>
      <c r="R7" s="332" t="s">
        <v>604</v>
      </c>
      <c r="S7" s="327" t="s">
        <v>842</v>
      </c>
      <c r="T7" s="329" t="s">
        <v>843</v>
      </c>
      <c r="U7" s="328" t="s">
        <v>844</v>
      </c>
      <c r="V7" s="332" t="s">
        <v>845</v>
      </c>
      <c r="W7" s="332" t="s">
        <v>846</v>
      </c>
      <c r="X7" s="331" t="s">
        <v>603</v>
      </c>
      <c r="Y7" s="332" t="s">
        <v>847</v>
      </c>
      <c r="Z7" s="332" t="s">
        <v>848</v>
      </c>
      <c r="AA7" s="327" t="s">
        <v>849</v>
      </c>
      <c r="AB7" s="328" t="s">
        <v>850</v>
      </c>
      <c r="AC7" s="327"/>
    </row>
    <row r="8" spans="1:29" x14ac:dyDescent="0.25">
      <c r="A8" s="72">
        <v>36708</v>
      </c>
      <c r="B8" s="72">
        <v>37072</v>
      </c>
      <c r="C8" s="2">
        <v>55</v>
      </c>
      <c r="D8" s="1"/>
      <c r="E8" s="3"/>
      <c r="F8" s="23"/>
      <c r="G8" s="23"/>
      <c r="H8" s="23"/>
      <c r="I8" s="23"/>
      <c r="J8" s="23"/>
      <c r="K8" s="4"/>
      <c r="L8" s="62">
        <v>0.2</v>
      </c>
      <c r="M8" s="63">
        <v>0.15</v>
      </c>
      <c r="N8" s="63">
        <v>0.3</v>
      </c>
      <c r="O8" s="61">
        <v>0.45</v>
      </c>
      <c r="P8" s="58">
        <v>0</v>
      </c>
      <c r="Q8" s="59">
        <v>0.15</v>
      </c>
      <c r="R8" s="57">
        <v>0.15</v>
      </c>
      <c r="S8" s="62">
        <v>0.15</v>
      </c>
      <c r="T8" s="63">
        <v>0.3</v>
      </c>
      <c r="U8" s="61">
        <v>0.45</v>
      </c>
      <c r="V8" s="58">
        <v>0.15</v>
      </c>
      <c r="W8" s="59">
        <v>0.45</v>
      </c>
      <c r="X8" s="57">
        <v>0.1</v>
      </c>
      <c r="Y8" s="18">
        <v>101188</v>
      </c>
      <c r="Z8" s="60"/>
      <c r="AA8" s="17">
        <v>5062</v>
      </c>
      <c r="AB8" s="35">
        <v>2531</v>
      </c>
      <c r="AC8" s="17"/>
    </row>
    <row r="9" spans="1:29" x14ac:dyDescent="0.25">
      <c r="A9" s="73">
        <v>37073</v>
      </c>
      <c r="B9" s="73">
        <v>37437</v>
      </c>
      <c r="C9" s="2">
        <v>55</v>
      </c>
      <c r="D9" s="1"/>
      <c r="E9" s="2"/>
      <c r="F9" s="27"/>
      <c r="G9" s="27"/>
      <c r="H9" s="27"/>
      <c r="I9" s="27"/>
      <c r="J9" s="27"/>
      <c r="K9" s="1"/>
      <c r="L9" s="62">
        <f>L8</f>
        <v>0.2</v>
      </c>
      <c r="M9" s="63">
        <f>M8</f>
        <v>0.15</v>
      </c>
      <c r="N9" s="63">
        <v>0.3</v>
      </c>
      <c r="O9" s="61">
        <v>0.45</v>
      </c>
      <c r="P9" s="62">
        <v>0</v>
      </c>
      <c r="Q9" s="63">
        <v>0.15</v>
      </c>
      <c r="R9" s="61">
        <v>0.15</v>
      </c>
      <c r="S9" s="62">
        <f>S8</f>
        <v>0.15</v>
      </c>
      <c r="T9" s="63">
        <f>T8</f>
        <v>0.3</v>
      </c>
      <c r="U9" s="61">
        <v>0.45</v>
      </c>
      <c r="V9" s="62">
        <v>0.15</v>
      </c>
      <c r="W9" s="63">
        <v>0.45</v>
      </c>
      <c r="X9" s="61">
        <v>0.1</v>
      </c>
      <c r="Y9" s="17">
        <v>105843</v>
      </c>
      <c r="Z9" s="35"/>
      <c r="AA9" s="17">
        <v>5295</v>
      </c>
      <c r="AB9" s="35">
        <v>2648</v>
      </c>
      <c r="AC9" s="17"/>
    </row>
    <row r="10" spans="1:29" x14ac:dyDescent="0.25">
      <c r="A10" s="73">
        <v>37438</v>
      </c>
      <c r="B10" s="73">
        <v>37802</v>
      </c>
      <c r="C10" s="2">
        <v>55</v>
      </c>
      <c r="D10" s="1"/>
      <c r="E10" s="2"/>
      <c r="F10" s="27"/>
      <c r="G10" s="27"/>
      <c r="H10" s="27"/>
      <c r="I10" s="27"/>
      <c r="J10" s="27"/>
      <c r="K10" s="1"/>
      <c r="L10" s="62">
        <f t="shared" ref="L10:L28" si="0">L9</f>
        <v>0.2</v>
      </c>
      <c r="M10" s="63">
        <f t="shared" ref="M10:M28" si="1">M9</f>
        <v>0.15</v>
      </c>
      <c r="N10" s="63">
        <v>0.3</v>
      </c>
      <c r="O10" s="61">
        <v>0.45</v>
      </c>
      <c r="P10" s="62">
        <v>0</v>
      </c>
      <c r="Q10" s="63">
        <v>0.15</v>
      </c>
      <c r="R10" s="61">
        <v>0.15</v>
      </c>
      <c r="S10" s="62">
        <v>0.15</v>
      </c>
      <c r="T10" s="63">
        <v>0.3</v>
      </c>
      <c r="U10" s="61">
        <v>0.45</v>
      </c>
      <c r="V10" s="62">
        <v>0.15</v>
      </c>
      <c r="W10" s="63">
        <v>0.45</v>
      </c>
      <c r="X10" s="61">
        <v>0.1</v>
      </c>
      <c r="Y10" s="17">
        <v>112405</v>
      </c>
      <c r="Z10" s="35"/>
      <c r="AA10" s="17">
        <v>5623</v>
      </c>
      <c r="AB10" s="35">
        <v>2812</v>
      </c>
      <c r="AC10" s="17"/>
    </row>
    <row r="11" spans="1:29" x14ac:dyDescent="0.25">
      <c r="A11" s="73">
        <v>37803</v>
      </c>
      <c r="B11" s="73">
        <v>38168</v>
      </c>
      <c r="C11" s="2">
        <v>55</v>
      </c>
      <c r="D11" s="1"/>
      <c r="E11" s="2"/>
      <c r="F11" s="27"/>
      <c r="G11" s="27"/>
      <c r="H11" s="27"/>
      <c r="I11" s="27"/>
      <c r="J11" s="27"/>
      <c r="K11" s="1"/>
      <c r="L11" s="62">
        <f t="shared" si="0"/>
        <v>0.2</v>
      </c>
      <c r="M11" s="63">
        <f t="shared" si="1"/>
        <v>0.15</v>
      </c>
      <c r="N11" s="63">
        <v>0.3</v>
      </c>
      <c r="O11" s="61">
        <v>0.45</v>
      </c>
      <c r="P11" s="62">
        <v>0</v>
      </c>
      <c r="Q11" s="63">
        <v>0.15</v>
      </c>
      <c r="R11" s="61">
        <v>0.15</v>
      </c>
      <c r="S11" s="62">
        <v>0.15</v>
      </c>
      <c r="T11" s="63">
        <v>0.3</v>
      </c>
      <c r="U11" s="61">
        <v>0.45</v>
      </c>
      <c r="V11" s="62">
        <v>0.15</v>
      </c>
      <c r="W11" s="63">
        <v>0.45</v>
      </c>
      <c r="X11" s="61">
        <v>0.1</v>
      </c>
      <c r="Y11" s="17">
        <v>117576</v>
      </c>
      <c r="Z11" s="35"/>
      <c r="AA11" s="17">
        <v>5882</v>
      </c>
      <c r="AB11" s="35">
        <v>2941</v>
      </c>
      <c r="AC11" s="17"/>
    </row>
    <row r="12" spans="1:29" x14ac:dyDescent="0.25">
      <c r="A12" s="73">
        <v>38169</v>
      </c>
      <c r="B12" s="73">
        <v>38533</v>
      </c>
      <c r="C12" s="2">
        <v>55</v>
      </c>
      <c r="D12" s="1"/>
      <c r="E12" s="2"/>
      <c r="F12" s="27"/>
      <c r="G12" s="27"/>
      <c r="H12" s="27"/>
      <c r="I12" s="27"/>
      <c r="J12" s="27"/>
      <c r="K12" s="1"/>
      <c r="L12" s="62">
        <f t="shared" si="0"/>
        <v>0.2</v>
      </c>
      <c r="M12" s="63">
        <f t="shared" si="1"/>
        <v>0.15</v>
      </c>
      <c r="N12" s="63">
        <v>0.3</v>
      </c>
      <c r="O12" s="61">
        <v>0.45</v>
      </c>
      <c r="P12" s="62">
        <v>0</v>
      </c>
      <c r="Q12" s="63">
        <v>0.15</v>
      </c>
      <c r="R12" s="61">
        <v>0.15</v>
      </c>
      <c r="S12" s="62">
        <v>0.15</v>
      </c>
      <c r="T12" s="63">
        <v>0.3</v>
      </c>
      <c r="U12" s="61">
        <v>0.45</v>
      </c>
      <c r="V12" s="62">
        <v>0.15</v>
      </c>
      <c r="W12" s="63">
        <v>0.45</v>
      </c>
      <c r="X12" s="61">
        <v>0.1</v>
      </c>
      <c r="Y12" s="17">
        <v>123808</v>
      </c>
      <c r="Z12" s="35"/>
      <c r="AA12" s="17">
        <v>6194</v>
      </c>
      <c r="AB12" s="35">
        <v>3097</v>
      </c>
      <c r="AC12" s="17"/>
    </row>
    <row r="13" spans="1:29" x14ac:dyDescent="0.25">
      <c r="A13" s="73">
        <v>38534</v>
      </c>
      <c r="B13" s="73">
        <v>38898</v>
      </c>
      <c r="C13" s="2">
        <v>55</v>
      </c>
      <c r="D13" s="1"/>
      <c r="E13" s="2"/>
      <c r="F13" s="27"/>
      <c r="G13" s="27"/>
      <c r="H13" s="27"/>
      <c r="I13" s="27"/>
      <c r="J13" s="27"/>
      <c r="K13" s="1"/>
      <c r="L13" s="62">
        <f t="shared" si="0"/>
        <v>0.2</v>
      </c>
      <c r="M13" s="63">
        <f t="shared" si="1"/>
        <v>0.15</v>
      </c>
      <c r="N13" s="63">
        <v>0.3</v>
      </c>
      <c r="O13" s="61">
        <v>0.45</v>
      </c>
      <c r="P13" s="62">
        <v>0</v>
      </c>
      <c r="Q13" s="63">
        <v>0.15</v>
      </c>
      <c r="R13" s="61">
        <v>0.15</v>
      </c>
      <c r="S13" s="62">
        <v>0.15</v>
      </c>
      <c r="T13" s="63">
        <v>0.3</v>
      </c>
      <c r="U13" s="61">
        <v>0.45</v>
      </c>
      <c r="V13" s="62">
        <v>0.15</v>
      </c>
      <c r="W13" s="63">
        <v>0.45</v>
      </c>
      <c r="X13" s="61">
        <v>0.1</v>
      </c>
      <c r="Y13" s="17">
        <v>129751</v>
      </c>
      <c r="Z13" s="35"/>
      <c r="AA13" s="17">
        <v>6491</v>
      </c>
      <c r="AB13" s="35">
        <v>3246</v>
      </c>
      <c r="AC13" s="17"/>
    </row>
    <row r="14" spans="1:29" x14ac:dyDescent="0.25">
      <c r="A14" s="73">
        <v>38899</v>
      </c>
      <c r="B14" s="73">
        <v>39263</v>
      </c>
      <c r="C14" s="2">
        <v>55</v>
      </c>
      <c r="D14" s="1"/>
      <c r="E14" s="2"/>
      <c r="F14" s="27"/>
      <c r="G14" s="27"/>
      <c r="H14" s="27"/>
      <c r="I14" s="27"/>
      <c r="J14" s="27"/>
      <c r="K14" s="1"/>
      <c r="L14" s="62">
        <f t="shared" si="0"/>
        <v>0.2</v>
      </c>
      <c r="M14" s="63">
        <f t="shared" si="1"/>
        <v>0.15</v>
      </c>
      <c r="N14" s="63">
        <v>0.3</v>
      </c>
      <c r="O14" s="61">
        <v>0.45</v>
      </c>
      <c r="P14" s="62">
        <v>0</v>
      </c>
      <c r="Q14" s="63">
        <v>0.15</v>
      </c>
      <c r="R14" s="61">
        <v>0.15</v>
      </c>
      <c r="S14" s="62">
        <v>0.15</v>
      </c>
      <c r="T14" s="63">
        <v>0.3</v>
      </c>
      <c r="U14" s="61">
        <v>0.45</v>
      </c>
      <c r="V14" s="62">
        <v>0.15</v>
      </c>
      <c r="W14" s="63">
        <v>0.45</v>
      </c>
      <c r="X14" s="61">
        <v>0.1</v>
      </c>
      <c r="Y14" s="17">
        <v>135590</v>
      </c>
      <c r="Z14" s="35"/>
      <c r="AA14" s="17">
        <v>6783</v>
      </c>
      <c r="AB14" s="35">
        <v>3392</v>
      </c>
      <c r="AC14" s="17"/>
    </row>
    <row r="15" spans="1:29" s="5" customFormat="1" x14ac:dyDescent="0.25">
      <c r="A15" s="394">
        <v>39264</v>
      </c>
      <c r="B15" s="73">
        <v>39629</v>
      </c>
      <c r="C15" s="396">
        <v>55</v>
      </c>
      <c r="D15" s="397">
        <v>60</v>
      </c>
      <c r="E15" s="403">
        <v>0.04</v>
      </c>
      <c r="F15" s="404">
        <v>0.05</v>
      </c>
      <c r="G15" s="404">
        <v>0.06</v>
      </c>
      <c r="H15" s="404">
        <v>7.0000000000000007E-2</v>
      </c>
      <c r="I15" s="404">
        <v>0.09</v>
      </c>
      <c r="J15" s="404">
        <v>0.11</v>
      </c>
      <c r="K15" s="377">
        <v>0.14000000000000001</v>
      </c>
      <c r="L15" s="403">
        <f t="shared" si="0"/>
        <v>0.2</v>
      </c>
      <c r="M15" s="404">
        <f t="shared" si="1"/>
        <v>0.15</v>
      </c>
      <c r="N15" s="404">
        <v>0.3</v>
      </c>
      <c r="O15" s="61">
        <v>0.45</v>
      </c>
      <c r="P15" s="403">
        <v>0</v>
      </c>
      <c r="Q15" s="404">
        <v>0.15</v>
      </c>
      <c r="R15" s="377">
        <v>0.15</v>
      </c>
      <c r="S15" s="403">
        <v>0.15</v>
      </c>
      <c r="T15" s="404">
        <v>0.3</v>
      </c>
      <c r="U15" s="377">
        <v>0.45</v>
      </c>
      <c r="V15" s="403">
        <v>0.15</v>
      </c>
      <c r="W15" s="404">
        <v>0.45</v>
      </c>
      <c r="X15" s="377">
        <v>0.1</v>
      </c>
      <c r="Y15" s="375">
        <v>140000</v>
      </c>
      <c r="Z15" s="374">
        <v>1000000</v>
      </c>
      <c r="AA15" s="375">
        <f t="shared" ref="AA15:AA21" si="2">ROUND(AA14*MAX(1,ROUND(getEcoPar($A15-92,"peAWOTE")/getEcoPar($A14-92,"peAWOTE"),3)),0)</f>
        <v>7020</v>
      </c>
      <c r="AB15" s="374">
        <f t="shared" ref="AB15:AB21" si="3">ROUND(AB14*MAX(1,ROUND(getEcoPar($A15-92,"peAWOTE")/getEcoPar($A14-92,"peAWOTE"),3)),0)</f>
        <v>3511</v>
      </c>
      <c r="AC15" s="375"/>
    </row>
    <row r="16" spans="1:29" s="5" customFormat="1" x14ac:dyDescent="0.25">
      <c r="A16" s="394">
        <v>39630</v>
      </c>
      <c r="B16" s="73">
        <v>39994</v>
      </c>
      <c r="C16" s="396">
        <v>55</v>
      </c>
      <c r="D16" s="397">
        <v>60</v>
      </c>
      <c r="E16" s="403">
        <v>0.02</v>
      </c>
      <c r="F16" s="404">
        <v>2.5000000000000001E-2</v>
      </c>
      <c r="G16" s="404">
        <v>0.03</v>
      </c>
      <c r="H16" s="404">
        <v>3.5000000000000003E-2</v>
      </c>
      <c r="I16" s="404">
        <v>4.4999999999999998E-2</v>
      </c>
      <c r="J16" s="404">
        <v>5.5E-2</v>
      </c>
      <c r="K16" s="377">
        <v>7.0000000000000007E-2</v>
      </c>
      <c r="L16" s="403">
        <f t="shared" si="0"/>
        <v>0.2</v>
      </c>
      <c r="M16" s="404">
        <f t="shared" si="1"/>
        <v>0.15</v>
      </c>
      <c r="N16" s="404">
        <v>0.3</v>
      </c>
      <c r="O16" s="61">
        <v>0.45</v>
      </c>
      <c r="P16" s="403">
        <v>0</v>
      </c>
      <c r="Q16" s="404">
        <v>0.15</v>
      </c>
      <c r="R16" s="377">
        <v>0.15</v>
      </c>
      <c r="S16" s="403">
        <v>0.15</v>
      </c>
      <c r="T16" s="404">
        <v>0.3</v>
      </c>
      <c r="U16" s="377">
        <v>0.45</v>
      </c>
      <c r="V16" s="403">
        <v>0.15</v>
      </c>
      <c r="W16" s="404">
        <v>0.45</v>
      </c>
      <c r="X16" s="377">
        <v>0.1</v>
      </c>
      <c r="Y16" s="375">
        <v>145000</v>
      </c>
      <c r="Z16" s="374">
        <f>FLOOR(Z$15*MAX(1,ROUND(getEcoPar($A15+183,"peAWOTE")/getEcoPar($A$14+183,"peAWOTE"),3)),5000)</f>
        <v>1045000</v>
      </c>
      <c r="AA16" s="375">
        <f t="shared" si="2"/>
        <v>7350</v>
      </c>
      <c r="AB16" s="374">
        <f t="shared" si="3"/>
        <v>3676</v>
      </c>
      <c r="AC16" s="375"/>
    </row>
    <row r="17" spans="1:33" s="5" customFormat="1" x14ac:dyDescent="0.25">
      <c r="A17" s="394">
        <v>39995</v>
      </c>
      <c r="B17" s="73">
        <v>40359</v>
      </c>
      <c r="C17" s="396">
        <v>55</v>
      </c>
      <c r="D17" s="397">
        <v>60</v>
      </c>
      <c r="E17" s="403">
        <v>0.02</v>
      </c>
      <c r="F17" s="404">
        <v>2.5000000000000001E-2</v>
      </c>
      <c r="G17" s="404">
        <v>0.03</v>
      </c>
      <c r="H17" s="404">
        <v>3.5000000000000003E-2</v>
      </c>
      <c r="I17" s="404">
        <v>4.4999999999999998E-2</v>
      </c>
      <c r="J17" s="404">
        <v>5.5E-2</v>
      </c>
      <c r="K17" s="377">
        <v>7.0000000000000007E-2</v>
      </c>
      <c r="L17" s="403">
        <f t="shared" si="0"/>
        <v>0.2</v>
      </c>
      <c r="M17" s="404">
        <f t="shared" si="1"/>
        <v>0.15</v>
      </c>
      <c r="N17" s="404">
        <v>0.3</v>
      </c>
      <c r="O17" s="404">
        <v>0.45</v>
      </c>
      <c r="P17" s="403">
        <v>0</v>
      </c>
      <c r="Q17" s="404">
        <v>0.15</v>
      </c>
      <c r="R17" s="377">
        <v>0.15</v>
      </c>
      <c r="S17" s="403">
        <v>0.15</v>
      </c>
      <c r="T17" s="404">
        <v>0.3</v>
      </c>
      <c r="U17" s="377">
        <v>0.45</v>
      </c>
      <c r="V17" s="403">
        <v>0.15</v>
      </c>
      <c r="W17" s="404">
        <v>0.45</v>
      </c>
      <c r="X17" s="377">
        <v>0.1</v>
      </c>
      <c r="Y17" s="375">
        <v>150000</v>
      </c>
      <c r="Z17" s="374">
        <f>FLOOR(Z$15*MAX(1,ROUND(getEcoPar($A16+183,"peAWOTE")/getEcoPar($A$14+183,"peAWOTE"),3)),5000)</f>
        <v>1100000</v>
      </c>
      <c r="AA17" s="375">
        <f t="shared" si="2"/>
        <v>7732</v>
      </c>
      <c r="AB17" s="374">
        <f t="shared" si="3"/>
        <v>3867</v>
      </c>
      <c r="AC17" s="375"/>
    </row>
    <row r="18" spans="1:33" s="5" customFormat="1" x14ac:dyDescent="0.25">
      <c r="A18" s="394">
        <v>40360</v>
      </c>
      <c r="B18" s="73">
        <v>40724</v>
      </c>
      <c r="C18" s="396">
        <v>55</v>
      </c>
      <c r="D18" s="397">
        <v>60</v>
      </c>
      <c r="E18" s="403">
        <v>0.02</v>
      </c>
      <c r="F18" s="404">
        <v>2.5000000000000001E-2</v>
      </c>
      <c r="G18" s="404">
        <v>0.03</v>
      </c>
      <c r="H18" s="404">
        <v>3.5000000000000003E-2</v>
      </c>
      <c r="I18" s="404">
        <v>4.4999999999999998E-2</v>
      </c>
      <c r="J18" s="404">
        <v>5.5E-2</v>
      </c>
      <c r="K18" s="377">
        <v>7.0000000000000007E-2</v>
      </c>
      <c r="L18" s="403">
        <f t="shared" si="0"/>
        <v>0.2</v>
      </c>
      <c r="M18" s="404">
        <f t="shared" si="1"/>
        <v>0.15</v>
      </c>
      <c r="N18" s="404">
        <v>0.3</v>
      </c>
      <c r="O18" s="404">
        <v>0.45</v>
      </c>
      <c r="P18" s="403">
        <v>0</v>
      </c>
      <c r="Q18" s="404">
        <v>0.15</v>
      </c>
      <c r="R18" s="377">
        <v>0.15</v>
      </c>
      <c r="S18" s="403">
        <v>0.15</v>
      </c>
      <c r="T18" s="404">
        <v>0.3</v>
      </c>
      <c r="U18" s="377">
        <v>0.45</v>
      </c>
      <c r="V18" s="403">
        <v>0.15</v>
      </c>
      <c r="W18" s="404">
        <v>0.45</v>
      </c>
      <c r="X18" s="377">
        <v>0.1</v>
      </c>
      <c r="Y18" s="375">
        <v>160000</v>
      </c>
      <c r="Z18" s="374">
        <f>FLOOR(Z$15*MAX(1,ROUND(getEcoPar($A17+183,"peAWOTE")/getEcoPar($A$14+183,"peAWOTE"),3)),5000)</f>
        <v>1155000</v>
      </c>
      <c r="AA18" s="375">
        <f t="shared" si="2"/>
        <v>8126</v>
      </c>
      <c r="AB18" s="374">
        <f t="shared" si="3"/>
        <v>4064</v>
      </c>
      <c r="AC18" s="375"/>
    </row>
    <row r="19" spans="1:33" s="5" customFormat="1" x14ac:dyDescent="0.25">
      <c r="A19" s="394">
        <v>40725</v>
      </c>
      <c r="B19" s="73">
        <v>41090</v>
      </c>
      <c r="C19" s="396">
        <v>55</v>
      </c>
      <c r="D19" s="397">
        <v>60</v>
      </c>
      <c r="E19" s="403">
        <v>0.03</v>
      </c>
      <c r="F19" s="404">
        <v>3.7499999999999999E-2</v>
      </c>
      <c r="G19" s="404">
        <v>4.4999999999999998E-2</v>
      </c>
      <c r="H19" s="404">
        <v>5.2499999999999998E-2</v>
      </c>
      <c r="I19" s="404">
        <v>6.7500000000000004E-2</v>
      </c>
      <c r="J19" s="404">
        <v>8.2500000000000004E-2</v>
      </c>
      <c r="K19" s="377">
        <v>0.105</v>
      </c>
      <c r="L19" s="403">
        <f t="shared" si="0"/>
        <v>0.2</v>
      </c>
      <c r="M19" s="404">
        <f t="shared" si="1"/>
        <v>0.15</v>
      </c>
      <c r="N19" s="404">
        <v>0.3</v>
      </c>
      <c r="O19" s="404">
        <v>0.45</v>
      </c>
      <c r="P19" s="403">
        <v>0</v>
      </c>
      <c r="Q19" s="404">
        <v>0.15</v>
      </c>
      <c r="R19" s="377">
        <v>0.15</v>
      </c>
      <c r="S19" s="403">
        <v>0.15</v>
      </c>
      <c r="T19" s="404">
        <v>0.3</v>
      </c>
      <c r="U19" s="377">
        <v>0.45</v>
      </c>
      <c r="V19" s="403">
        <v>0.15</v>
      </c>
      <c r="W19" s="404">
        <v>0.45</v>
      </c>
      <c r="X19" s="377">
        <v>0.1</v>
      </c>
      <c r="Y19" s="375">
        <v>165000</v>
      </c>
      <c r="Z19" s="374">
        <f>FLOOR(Z$15*MAX(1,ROUND(getEcoPar($A18+183,"peAWOTE")/getEcoPar($A$14+183,"peAWOTE"),3)),5000)</f>
        <v>1205000</v>
      </c>
      <c r="AA19" s="375">
        <f t="shared" si="2"/>
        <v>8435</v>
      </c>
      <c r="AB19" s="374">
        <f t="shared" si="3"/>
        <v>4218</v>
      </c>
      <c r="AC19" s="375"/>
    </row>
    <row r="20" spans="1:33" s="5" customFormat="1" x14ac:dyDescent="0.25">
      <c r="A20" s="394">
        <v>41091</v>
      </c>
      <c r="B20" s="73">
        <v>41455</v>
      </c>
      <c r="C20" s="396">
        <v>55</v>
      </c>
      <c r="D20" s="397">
        <v>60</v>
      </c>
      <c r="E20" s="403">
        <v>0.03</v>
      </c>
      <c r="F20" s="404">
        <v>3.7499999999999999E-2</v>
      </c>
      <c r="G20" s="404">
        <v>4.4999999999999998E-2</v>
      </c>
      <c r="H20" s="404">
        <v>5.2499999999999998E-2</v>
      </c>
      <c r="I20" s="404">
        <v>6.7500000000000004E-2</v>
      </c>
      <c r="J20" s="404">
        <v>8.2500000000000004E-2</v>
      </c>
      <c r="K20" s="377">
        <v>0.105</v>
      </c>
      <c r="L20" s="403">
        <f t="shared" si="0"/>
        <v>0.2</v>
      </c>
      <c r="M20" s="404">
        <f t="shared" si="1"/>
        <v>0.15</v>
      </c>
      <c r="N20" s="404">
        <v>0.3</v>
      </c>
      <c r="O20" s="404">
        <v>0.45</v>
      </c>
      <c r="P20" s="403">
        <v>0</v>
      </c>
      <c r="Q20" s="404">
        <v>0.15</v>
      </c>
      <c r="R20" s="377">
        <v>0.15</v>
      </c>
      <c r="S20" s="403">
        <v>0.15</v>
      </c>
      <c r="T20" s="404">
        <v>0.3</v>
      </c>
      <c r="U20" s="377">
        <v>0.45</v>
      </c>
      <c r="V20" s="403">
        <v>0.15</v>
      </c>
      <c r="W20" s="404">
        <v>0.45</v>
      </c>
      <c r="X20" s="377">
        <v>0.1</v>
      </c>
      <c r="Y20" s="375">
        <v>175000</v>
      </c>
      <c r="Z20" s="374">
        <f>FLOOR(Z$15*MAX(1,ROUND(getEcoPar($A19+183,"peAWOTE")/getEcoPar($A$14+183,"peAWOTE"),3)),5000)</f>
        <v>1255000</v>
      </c>
      <c r="AA20" s="375">
        <f t="shared" si="2"/>
        <v>8806</v>
      </c>
      <c r="AB20" s="374">
        <f t="shared" si="3"/>
        <v>4404</v>
      </c>
      <c r="AC20" s="375"/>
    </row>
    <row r="21" spans="1:33" s="5" customFormat="1" ht="15" customHeight="1" x14ac:dyDescent="0.25">
      <c r="A21" s="394">
        <v>41456</v>
      </c>
      <c r="B21" s="394">
        <v>41820</v>
      </c>
      <c r="C21" s="396">
        <v>55</v>
      </c>
      <c r="D21" s="397">
        <v>60</v>
      </c>
      <c r="E21" s="403">
        <v>0.04</v>
      </c>
      <c r="F21" s="404">
        <v>0.05</v>
      </c>
      <c r="G21" s="404">
        <v>0.06</v>
      </c>
      <c r="H21" s="404">
        <v>7.0000000000000007E-2</v>
      </c>
      <c r="I21" s="404">
        <v>0.09</v>
      </c>
      <c r="J21" s="404">
        <v>0.11</v>
      </c>
      <c r="K21" s="377">
        <v>0.14000000000000001</v>
      </c>
      <c r="L21" s="403">
        <f t="shared" si="0"/>
        <v>0.2</v>
      </c>
      <c r="M21" s="404">
        <f t="shared" si="1"/>
        <v>0.15</v>
      </c>
      <c r="N21" s="404">
        <v>0.3</v>
      </c>
      <c r="O21" s="404">
        <v>0.45</v>
      </c>
      <c r="P21" s="403">
        <v>0</v>
      </c>
      <c r="Q21" s="404">
        <v>0.15</v>
      </c>
      <c r="R21" s="377">
        <v>0.15</v>
      </c>
      <c r="S21" s="403">
        <v>0.15</v>
      </c>
      <c r="T21" s="404">
        <v>0.3</v>
      </c>
      <c r="U21" s="377">
        <v>0.45</v>
      </c>
      <c r="V21" s="403">
        <v>0.15</v>
      </c>
      <c r="W21" s="404">
        <v>0.45</v>
      </c>
      <c r="X21" s="377">
        <v>0.1</v>
      </c>
      <c r="Y21" s="375">
        <v>180000</v>
      </c>
      <c r="Z21" s="374">
        <v>1315000</v>
      </c>
      <c r="AA21" s="375">
        <f t="shared" si="2"/>
        <v>9202</v>
      </c>
      <c r="AB21" s="374">
        <f t="shared" si="3"/>
        <v>4602</v>
      </c>
      <c r="AC21" s="375"/>
    </row>
    <row r="22" spans="1:33" x14ac:dyDescent="0.25">
      <c r="A22" s="394">
        <v>41821</v>
      </c>
      <c r="B22" s="394">
        <v>42185</v>
      </c>
      <c r="C22" s="396">
        <v>55</v>
      </c>
      <c r="D22" s="397">
        <v>60</v>
      </c>
      <c r="E22" s="403">
        <v>0.04</v>
      </c>
      <c r="F22" s="404">
        <v>0.05</v>
      </c>
      <c r="G22" s="404">
        <v>0.06</v>
      </c>
      <c r="H22" s="404">
        <v>7.0000000000000007E-2</v>
      </c>
      <c r="I22" s="404">
        <v>0.09</v>
      </c>
      <c r="J22" s="404">
        <v>0.11</v>
      </c>
      <c r="K22" s="377">
        <v>0.14000000000000001</v>
      </c>
      <c r="L22" s="403">
        <f t="shared" si="0"/>
        <v>0.2</v>
      </c>
      <c r="M22" s="404">
        <f t="shared" si="1"/>
        <v>0.15</v>
      </c>
      <c r="N22" s="404">
        <v>0.3</v>
      </c>
      <c r="O22" s="404">
        <v>0.45</v>
      </c>
      <c r="P22" s="403">
        <v>0</v>
      </c>
      <c r="Q22" s="404">
        <v>0.15</v>
      </c>
      <c r="R22" s="377">
        <v>0.15</v>
      </c>
      <c r="S22" s="403">
        <v>0.15</v>
      </c>
      <c r="T22" s="404">
        <v>0.3</v>
      </c>
      <c r="U22" s="377">
        <v>0.45</v>
      </c>
      <c r="V22" s="403">
        <v>0.15</v>
      </c>
      <c r="W22" s="404">
        <v>0.45</v>
      </c>
      <c r="X22" s="377">
        <v>0.1</v>
      </c>
      <c r="Y22" s="375">
        <v>185000</v>
      </c>
      <c r="Z22" s="374">
        <v>1355000</v>
      </c>
      <c r="AA22" s="375">
        <f t="shared" ref="AA22:AA28" si="4">ROUND(AA21*MAX(1,ROUND(getEcoPar($A22-183,"peAWOTE")/getEcoPar($A21-183,"peAWOTE"),3)),0)</f>
        <v>9469</v>
      </c>
      <c r="AB22" s="374">
        <f t="shared" ref="AB22:AB28" si="5">ROUND(AB21*MAX(1,ROUND(getEcoPar($A22-183,"peAWOTE")/getEcoPar($A21-183,"peAWOTE"),3)),0)</f>
        <v>4735</v>
      </c>
      <c r="AC22" s="375"/>
    </row>
    <row r="23" spans="1:33" x14ac:dyDescent="0.25">
      <c r="A23" s="394">
        <v>42186</v>
      </c>
      <c r="B23" s="394">
        <v>42551</v>
      </c>
      <c r="C23" s="944">
        <v>56</v>
      </c>
      <c r="D23" s="397">
        <v>60</v>
      </c>
      <c r="E23" s="403">
        <v>0.04</v>
      </c>
      <c r="F23" s="404">
        <v>0.05</v>
      </c>
      <c r="G23" s="404">
        <v>0.06</v>
      </c>
      <c r="H23" s="404">
        <v>7.0000000000000007E-2</v>
      </c>
      <c r="I23" s="404">
        <v>0.09</v>
      </c>
      <c r="J23" s="404">
        <v>0.11</v>
      </c>
      <c r="K23" s="377">
        <v>0.14000000000000001</v>
      </c>
      <c r="L23" s="403">
        <f t="shared" si="0"/>
        <v>0.2</v>
      </c>
      <c r="M23" s="404">
        <f t="shared" si="1"/>
        <v>0.15</v>
      </c>
      <c r="N23" s="404">
        <v>0.3</v>
      </c>
      <c r="O23" s="404">
        <v>0.45</v>
      </c>
      <c r="P23" s="403">
        <v>0</v>
      </c>
      <c r="Q23" s="404">
        <v>0.15</v>
      </c>
      <c r="R23" s="377">
        <v>0.15</v>
      </c>
      <c r="S23" s="403">
        <v>0.15</v>
      </c>
      <c r="T23" s="404">
        <v>0.3</v>
      </c>
      <c r="U23" s="377">
        <v>0.45</v>
      </c>
      <c r="V23" s="403">
        <v>0.15</v>
      </c>
      <c r="W23" s="404">
        <v>0.45</v>
      </c>
      <c r="X23" s="377">
        <v>0.1</v>
      </c>
      <c r="Y23" s="375">
        <v>195000</v>
      </c>
      <c r="Z23" s="374">
        <v>1395000</v>
      </c>
      <c r="AA23" s="375">
        <f t="shared" si="4"/>
        <v>9734</v>
      </c>
      <c r="AB23" s="374">
        <f t="shared" si="5"/>
        <v>4868</v>
      </c>
      <c r="AC23" s="375"/>
    </row>
    <row r="24" spans="1:33" x14ac:dyDescent="0.25">
      <c r="A24" s="394">
        <v>42552</v>
      </c>
      <c r="B24" s="394">
        <v>42916</v>
      </c>
      <c r="C24" s="944">
        <v>56</v>
      </c>
      <c r="D24" s="397">
        <v>60</v>
      </c>
      <c r="E24" s="403">
        <v>0.04</v>
      </c>
      <c r="F24" s="404">
        <v>0.05</v>
      </c>
      <c r="G24" s="404">
        <v>0.06</v>
      </c>
      <c r="H24" s="404">
        <v>7.0000000000000007E-2</v>
      </c>
      <c r="I24" s="404">
        <v>0.09</v>
      </c>
      <c r="J24" s="404">
        <v>0.11</v>
      </c>
      <c r="K24" s="377">
        <v>0.14000000000000001</v>
      </c>
      <c r="L24" s="403">
        <f t="shared" si="0"/>
        <v>0.2</v>
      </c>
      <c r="M24" s="404">
        <f t="shared" si="1"/>
        <v>0.15</v>
      </c>
      <c r="N24" s="404">
        <v>0.3</v>
      </c>
      <c r="O24" s="404">
        <v>0.45</v>
      </c>
      <c r="P24" s="403">
        <v>0</v>
      </c>
      <c r="Q24" s="404">
        <v>0.15</v>
      </c>
      <c r="R24" s="377">
        <v>0.15</v>
      </c>
      <c r="S24" s="403">
        <v>0.15</v>
      </c>
      <c r="T24" s="404">
        <v>0.3</v>
      </c>
      <c r="U24" s="377">
        <v>0.45</v>
      </c>
      <c r="V24" s="403">
        <v>0.15</v>
      </c>
      <c r="W24" s="404">
        <v>0.45</v>
      </c>
      <c r="X24" s="377">
        <v>0.1</v>
      </c>
      <c r="Y24" s="375">
        <f t="shared" ref="Y24:Z28" si="6">FLOOR(Y$15*MAX(1,ROUND(getEcoPar($A23+183,"peAWOTE")/getEcoPar($A$14+183,"peAWOTE"),3)),5000)</f>
        <v>195000</v>
      </c>
      <c r="Z24" s="374">
        <f t="shared" si="6"/>
        <v>1415000</v>
      </c>
      <c r="AA24" s="375">
        <f t="shared" si="4"/>
        <v>9890</v>
      </c>
      <c r="AB24" s="374">
        <f t="shared" si="5"/>
        <v>4946</v>
      </c>
      <c r="AC24" s="375"/>
    </row>
    <row r="25" spans="1:33" x14ac:dyDescent="0.25">
      <c r="A25" s="74">
        <v>42917</v>
      </c>
      <c r="B25" s="74">
        <v>43281</v>
      </c>
      <c r="C25" s="30">
        <v>57</v>
      </c>
      <c r="D25" s="15">
        <v>60</v>
      </c>
      <c r="E25" s="106">
        <v>0.04</v>
      </c>
      <c r="F25" s="76">
        <v>0.05</v>
      </c>
      <c r="G25" s="76">
        <v>0.06</v>
      </c>
      <c r="H25" s="76">
        <v>7.0000000000000007E-2</v>
      </c>
      <c r="I25" s="76">
        <v>0.09</v>
      </c>
      <c r="J25" s="76">
        <v>0.11</v>
      </c>
      <c r="K25" s="104">
        <v>0.14000000000000001</v>
      </c>
      <c r="L25" s="106">
        <f t="shared" si="0"/>
        <v>0.2</v>
      </c>
      <c r="M25" s="76">
        <f t="shared" si="1"/>
        <v>0.15</v>
      </c>
      <c r="N25" s="76">
        <v>0.3</v>
      </c>
      <c r="O25" s="76">
        <v>0.45</v>
      </c>
      <c r="P25" s="106">
        <v>0</v>
      </c>
      <c r="Q25" s="76">
        <v>0.15</v>
      </c>
      <c r="R25" s="104">
        <v>0.15</v>
      </c>
      <c r="S25" s="106">
        <v>0.15</v>
      </c>
      <c r="T25" s="76">
        <v>0.3</v>
      </c>
      <c r="U25" s="104">
        <v>0.45</v>
      </c>
      <c r="V25" s="106">
        <v>0.15</v>
      </c>
      <c r="W25" s="76">
        <v>0.45</v>
      </c>
      <c r="X25" s="104">
        <v>0.1</v>
      </c>
      <c r="Y25" s="33">
        <f t="shared" si="6"/>
        <v>200000</v>
      </c>
      <c r="Z25" s="75">
        <f t="shared" si="6"/>
        <v>1445000</v>
      </c>
      <c r="AA25" s="33">
        <f t="shared" si="4"/>
        <v>10108</v>
      </c>
      <c r="AB25" s="75">
        <f t="shared" si="5"/>
        <v>5055</v>
      </c>
      <c r="AC25" s="861">
        <v>1600000</v>
      </c>
      <c r="AF25" s="999"/>
    </row>
    <row r="26" spans="1:33" x14ac:dyDescent="0.25">
      <c r="A26" s="74">
        <v>43282</v>
      </c>
      <c r="B26" s="74">
        <v>43646</v>
      </c>
      <c r="C26" s="30">
        <v>57</v>
      </c>
      <c r="D26" s="15">
        <v>60</v>
      </c>
      <c r="E26" s="106">
        <v>0.04</v>
      </c>
      <c r="F26" s="76">
        <v>0.05</v>
      </c>
      <c r="G26" s="76">
        <v>0.06</v>
      </c>
      <c r="H26" s="76">
        <v>7.0000000000000007E-2</v>
      </c>
      <c r="I26" s="76">
        <v>0.09</v>
      </c>
      <c r="J26" s="76">
        <v>0.11</v>
      </c>
      <c r="K26" s="104">
        <v>0.14000000000000001</v>
      </c>
      <c r="L26" s="106">
        <f t="shared" si="0"/>
        <v>0.2</v>
      </c>
      <c r="M26" s="76">
        <f t="shared" si="1"/>
        <v>0.15</v>
      </c>
      <c r="N26" s="76">
        <v>0.3</v>
      </c>
      <c r="O26" s="76">
        <v>0.45</v>
      </c>
      <c r="P26" s="106">
        <v>0</v>
      </c>
      <c r="Q26" s="76">
        <v>0.15</v>
      </c>
      <c r="R26" s="104">
        <v>0.15</v>
      </c>
      <c r="S26" s="106">
        <v>0.15</v>
      </c>
      <c r="T26" s="76">
        <v>0.3</v>
      </c>
      <c r="U26" s="104">
        <v>0.45</v>
      </c>
      <c r="V26" s="106">
        <v>0.15</v>
      </c>
      <c r="W26" s="76">
        <v>0.45</v>
      </c>
      <c r="X26" s="104">
        <v>0.1</v>
      </c>
      <c r="Y26" s="33">
        <f t="shared" si="6"/>
        <v>205000</v>
      </c>
      <c r="Z26" s="75">
        <f t="shared" si="6"/>
        <v>1475000</v>
      </c>
      <c r="AA26" s="33">
        <f t="shared" si="4"/>
        <v>10300</v>
      </c>
      <c r="AB26" s="75">
        <f t="shared" si="5"/>
        <v>5151</v>
      </c>
      <c r="AC26" s="33">
        <f>FLOOR($AC$25*getEcoPar(A26,"peCpiFp")/getEcoPar($A$25,"peCpiFp"),100000)</f>
        <v>1600000</v>
      </c>
      <c r="AG26" s="999"/>
    </row>
    <row r="27" spans="1:33" x14ac:dyDescent="0.25">
      <c r="A27" s="74">
        <v>43647</v>
      </c>
      <c r="B27" s="74">
        <v>44012</v>
      </c>
      <c r="C27" s="30">
        <v>58</v>
      </c>
      <c r="D27" s="15">
        <v>60</v>
      </c>
      <c r="E27" s="106">
        <v>0.04</v>
      </c>
      <c r="F27" s="76">
        <v>0.05</v>
      </c>
      <c r="G27" s="76">
        <v>0.06</v>
      </c>
      <c r="H27" s="76">
        <v>7.0000000000000007E-2</v>
      </c>
      <c r="I27" s="76">
        <v>0.09</v>
      </c>
      <c r="J27" s="76">
        <v>0.11</v>
      </c>
      <c r="K27" s="104">
        <v>0.14000000000000001</v>
      </c>
      <c r="L27" s="106">
        <f t="shared" si="0"/>
        <v>0.2</v>
      </c>
      <c r="M27" s="76">
        <f t="shared" si="1"/>
        <v>0.15</v>
      </c>
      <c r="N27" s="76">
        <v>0.3</v>
      </c>
      <c r="O27" s="76">
        <v>0.45</v>
      </c>
      <c r="P27" s="106">
        <v>0</v>
      </c>
      <c r="Q27" s="76">
        <v>0.15</v>
      </c>
      <c r="R27" s="104">
        <v>0.15</v>
      </c>
      <c r="S27" s="106">
        <v>0.15</v>
      </c>
      <c r="T27" s="76">
        <v>0.3</v>
      </c>
      <c r="U27" s="104">
        <v>0.45</v>
      </c>
      <c r="V27" s="106">
        <v>0.15</v>
      </c>
      <c r="W27" s="76">
        <v>0.45</v>
      </c>
      <c r="X27" s="104">
        <v>0.1</v>
      </c>
      <c r="Y27" s="33">
        <f t="shared" si="6"/>
        <v>210000</v>
      </c>
      <c r="Z27" s="75">
        <f t="shared" si="6"/>
        <v>1515000</v>
      </c>
      <c r="AA27" s="33">
        <f t="shared" si="4"/>
        <v>10578</v>
      </c>
      <c r="AB27" s="75">
        <f t="shared" si="5"/>
        <v>5290</v>
      </c>
      <c r="AC27" s="33">
        <f>FLOOR($AC$25*getEcoPar(A27,"peCpiFp")/getEcoPar($A$25,"peCpiFp"),100000)</f>
        <v>1600000</v>
      </c>
    </row>
    <row r="28" spans="1:33" x14ac:dyDescent="0.25">
      <c r="A28" s="74">
        <v>44013</v>
      </c>
      <c r="B28" s="74">
        <v>44377</v>
      </c>
      <c r="C28" s="30">
        <v>58</v>
      </c>
      <c r="D28" s="15">
        <v>60</v>
      </c>
      <c r="E28" s="106">
        <v>0.04</v>
      </c>
      <c r="F28" s="76">
        <v>0.05</v>
      </c>
      <c r="G28" s="76">
        <v>0.06</v>
      </c>
      <c r="H28" s="76">
        <v>7.0000000000000007E-2</v>
      </c>
      <c r="I28" s="76">
        <v>0.09</v>
      </c>
      <c r="J28" s="76">
        <v>0.11</v>
      </c>
      <c r="K28" s="104">
        <v>0.14000000000000001</v>
      </c>
      <c r="L28" s="106">
        <f t="shared" si="0"/>
        <v>0.2</v>
      </c>
      <c r="M28" s="76">
        <f t="shared" si="1"/>
        <v>0.15</v>
      </c>
      <c r="N28" s="76">
        <v>0.3</v>
      </c>
      <c r="O28" s="76">
        <v>0.45</v>
      </c>
      <c r="P28" s="106">
        <v>0</v>
      </c>
      <c r="Q28" s="76">
        <v>0.15</v>
      </c>
      <c r="R28" s="104">
        <v>0.15</v>
      </c>
      <c r="S28" s="106">
        <v>0.15</v>
      </c>
      <c r="T28" s="76">
        <v>0.3</v>
      </c>
      <c r="U28" s="104">
        <v>0.45</v>
      </c>
      <c r="V28" s="106">
        <v>0.15</v>
      </c>
      <c r="W28" s="76">
        <v>0.45</v>
      </c>
      <c r="X28" s="104">
        <v>0.1</v>
      </c>
      <c r="Y28" s="33">
        <f t="shared" si="6"/>
        <v>215000</v>
      </c>
      <c r="Z28" s="75">
        <f t="shared" si="6"/>
        <v>1560000</v>
      </c>
      <c r="AA28" s="33">
        <f t="shared" si="4"/>
        <v>10916</v>
      </c>
      <c r="AB28" s="75">
        <f t="shared" si="5"/>
        <v>5459</v>
      </c>
      <c r="AC28" s="33">
        <f>FLOOR($AC$25*getEcoPar(A28,"peCpiFp")/getEcoPar($A$25,"peCpiFp"),100000)</f>
        <v>1700000</v>
      </c>
    </row>
    <row r="29" spans="1:33" x14ac:dyDescent="0.25">
      <c r="A29"/>
      <c r="B29"/>
      <c r="C29"/>
      <c r="D29"/>
      <c r="E29"/>
      <c r="F29"/>
      <c r="G29"/>
      <c r="H29"/>
      <c r="I29"/>
      <c r="J29"/>
      <c r="K29"/>
      <c r="L29"/>
      <c r="M29"/>
      <c r="N29" s="697"/>
      <c r="O29" s="697"/>
      <c r="P29" s="697"/>
      <c r="Q29" s="697"/>
      <c r="R29" s="697"/>
      <c r="S29" s="697"/>
      <c r="T29" s="697"/>
    </row>
  </sheetData>
  <customSheetViews>
    <customSheetView guid="{E49C2F27-B0B9-497E-BEC0-5B59561292FE}" hiddenRows="1" topLeftCell="W3">
      <selection activeCell="Y31" sqref="Y31"/>
      <pageMargins left="0.7" right="0.7" top="0.75" bottom="0.75" header="0.3" footer="0.3"/>
      <pageSetup paperSize="9" orientation="portrait" r:id="rId1"/>
    </customSheetView>
    <customSheetView guid="{A5953138-1481-4137-BEAD-32FA4FDF03E6}" topLeftCell="W2">
      <selection activeCell="Y31" sqref="Y31"/>
      <pageMargins left="0.7" right="0.7" top="0.75" bottom="0.75" header="0.3" footer="0.3"/>
      <pageSetup paperSize="9" orientation="portrait" r:id="rId2"/>
    </customSheetView>
    <customSheetView guid="{2A1F94CA-1A34-4418-88FD-EABF7586C2B2}" hiddenRows="1" topLeftCell="W2">
      <selection activeCell="Y31" sqref="Y31"/>
      <pageMargins left="0.7" right="0.7" top="0.75" bottom="0.75" header="0.3" footer="0.3"/>
      <pageSetup paperSize="9" orientation="portrait" r:id="rId3"/>
    </customSheetView>
  </customSheetViews>
  <mergeCells count="24">
    <mergeCell ref="A2:B6"/>
    <mergeCell ref="E2:K5"/>
    <mergeCell ref="C2:C6"/>
    <mergeCell ref="D2:D6"/>
    <mergeCell ref="L2:Z2"/>
    <mergeCell ref="V3:X3"/>
    <mergeCell ref="Y3:Y6"/>
    <mergeCell ref="P4:R4"/>
    <mergeCell ref="V4:X4"/>
    <mergeCell ref="L3:O3"/>
    <mergeCell ref="N4:O4"/>
    <mergeCell ref="N5:O6"/>
    <mergeCell ref="P3:U3"/>
    <mergeCell ref="L5:L6"/>
    <mergeCell ref="M5:M6"/>
    <mergeCell ref="AA4:AA6"/>
    <mergeCell ref="AC2:AC3"/>
    <mergeCell ref="AC4:AC6"/>
    <mergeCell ref="AB4:AB6"/>
    <mergeCell ref="P5:Q5"/>
    <mergeCell ref="Z3:Z6"/>
    <mergeCell ref="AA2:AB3"/>
    <mergeCell ref="S4:U4"/>
    <mergeCell ref="S5:U5"/>
  </mergeCells>
  <pageMargins left="0.7" right="0.7" top="0.75" bottom="0.75" header="0.3" footer="0.3"/>
  <pageSetup paperSize="9" orientation="portrait" r:id="rId4"/>
  <legacyDrawing r:id="rId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55</vt:i4>
      </vt:variant>
      <vt:variant>
        <vt:lpstr>Named Ranges</vt:lpstr>
      </vt:variant>
      <vt:variant>
        <vt:i4>182</vt:i4>
      </vt:variant>
    </vt:vector>
  </HeadingPairs>
  <TitlesOfParts>
    <vt:vector size="237" baseType="lpstr">
      <vt:lpstr>Contents</vt:lpstr>
      <vt:lpstr>CPI</vt:lpstr>
      <vt:lpstr>CPI_A</vt:lpstr>
      <vt:lpstr>AWE</vt:lpstr>
      <vt:lpstr>AWE_A</vt:lpstr>
      <vt:lpstr>PBLCI</vt:lpstr>
      <vt:lpstr>PBLCI_A</vt:lpstr>
      <vt:lpstr>DVA</vt:lpstr>
      <vt:lpstr>DVA_A</vt:lpstr>
      <vt:lpstr>Pensions</vt:lpstr>
      <vt:lpstr>Pensions_A</vt:lpstr>
      <vt:lpstr>Carers</vt:lpstr>
      <vt:lpstr>Carers_A</vt:lpstr>
      <vt:lpstr>PPS</vt:lpstr>
      <vt:lpstr>PPS_A</vt:lpstr>
      <vt:lpstr>YouthDSP</vt:lpstr>
      <vt:lpstr>YouthDSP_A</vt:lpstr>
      <vt:lpstr>Unemployment</vt:lpstr>
      <vt:lpstr>Unemployment_A</vt:lpstr>
      <vt:lpstr>YouthStudents</vt:lpstr>
      <vt:lpstr>YouthStudents_A</vt:lpstr>
      <vt:lpstr>YouthUnemployment</vt:lpstr>
      <vt:lpstr>YouthUnemployment_A</vt:lpstr>
      <vt:lpstr>PenEdSup</vt:lpstr>
      <vt:lpstr>PenEdSup_A</vt:lpstr>
      <vt:lpstr>SSDepIncLimit</vt:lpstr>
      <vt:lpstr>SSDepIncLimit_A</vt:lpstr>
      <vt:lpstr>PharmA</vt:lpstr>
      <vt:lpstr>PharmA_A</vt:lpstr>
      <vt:lpstr>TelephoneUtility</vt:lpstr>
      <vt:lpstr>TelephoneUtility_A</vt:lpstr>
      <vt:lpstr>SeniorSup</vt:lpstr>
      <vt:lpstr>SeniorSup_A</vt:lpstr>
      <vt:lpstr>RentA</vt:lpstr>
      <vt:lpstr>RentA_A</vt:lpstr>
      <vt:lpstr>LIS</vt:lpstr>
      <vt:lpstr>LIS_A</vt:lpstr>
      <vt:lpstr>IncomeSupportBonus</vt:lpstr>
      <vt:lpstr>IncomeSupportBonus_A</vt:lpstr>
      <vt:lpstr>Childcare</vt:lpstr>
      <vt:lpstr>Childcare_A</vt:lpstr>
      <vt:lpstr>FTBA</vt:lpstr>
      <vt:lpstr>FTBA_A</vt:lpstr>
      <vt:lpstr>FTBB</vt:lpstr>
      <vt:lpstr>FTBB_A</vt:lpstr>
      <vt:lpstr>BabyBonus</vt:lpstr>
      <vt:lpstr>BabyBonus_A</vt:lpstr>
      <vt:lpstr>SchoolKidsBonus</vt:lpstr>
      <vt:lpstr>SchoolKidsBonus_A</vt:lpstr>
      <vt:lpstr>SIFS</vt:lpstr>
      <vt:lpstr>SIFS_A</vt:lpstr>
      <vt:lpstr>TaxSchedule</vt:lpstr>
      <vt:lpstr>MedicareAndLevies</vt:lpstr>
      <vt:lpstr>RebatesOffsets</vt:lpstr>
      <vt:lpstr>SuperBenefits</vt:lpstr>
      <vt:lpstr>AWE_ADates</vt:lpstr>
      <vt:lpstr>AWE_ANames</vt:lpstr>
      <vt:lpstr>AWE_AParms</vt:lpstr>
      <vt:lpstr>AWEDates</vt:lpstr>
      <vt:lpstr>AWENames</vt:lpstr>
      <vt:lpstr>AWEParms</vt:lpstr>
      <vt:lpstr>BabyBonus_ADates</vt:lpstr>
      <vt:lpstr>BabyBonus_ANames</vt:lpstr>
      <vt:lpstr>BabyBonus_AParms</vt:lpstr>
      <vt:lpstr>BabyBonusDates</vt:lpstr>
      <vt:lpstr>BabyBonusNames</vt:lpstr>
      <vt:lpstr>BabyBonusParms</vt:lpstr>
      <vt:lpstr>Carers_ADates</vt:lpstr>
      <vt:lpstr>Carers_ANames</vt:lpstr>
      <vt:lpstr>Carers_AParms</vt:lpstr>
      <vt:lpstr>CarersDates</vt:lpstr>
      <vt:lpstr>CarersNames</vt:lpstr>
      <vt:lpstr>CarersParms</vt:lpstr>
      <vt:lpstr>Childcare_ADates</vt:lpstr>
      <vt:lpstr>Childcare_ANames</vt:lpstr>
      <vt:lpstr>Childcare_AParms</vt:lpstr>
      <vt:lpstr>ChildcareDates</vt:lpstr>
      <vt:lpstr>ChildcareNames</vt:lpstr>
      <vt:lpstr>ChildcareParms</vt:lpstr>
      <vt:lpstr>CPI_ADates</vt:lpstr>
      <vt:lpstr>CPI_ANames</vt:lpstr>
      <vt:lpstr>CPI_AParms</vt:lpstr>
      <vt:lpstr>CPIDates</vt:lpstr>
      <vt:lpstr>CPINames</vt:lpstr>
      <vt:lpstr>CPIParms</vt:lpstr>
      <vt:lpstr>DVA_ADates</vt:lpstr>
      <vt:lpstr>DVA_ANames</vt:lpstr>
      <vt:lpstr>DVA_AParms</vt:lpstr>
      <vt:lpstr>DVADates</vt:lpstr>
      <vt:lpstr>DVANames</vt:lpstr>
      <vt:lpstr>DVAParms</vt:lpstr>
      <vt:lpstr>FTBA_ADates</vt:lpstr>
      <vt:lpstr>FTBA_ANames</vt:lpstr>
      <vt:lpstr>FTBA_AParms</vt:lpstr>
      <vt:lpstr>FTBADates</vt:lpstr>
      <vt:lpstr>FTBANames</vt:lpstr>
      <vt:lpstr>FTBAParms</vt:lpstr>
      <vt:lpstr>FTBB_ADates</vt:lpstr>
      <vt:lpstr>FTBB_ANames</vt:lpstr>
      <vt:lpstr>FTBB_AParms</vt:lpstr>
      <vt:lpstr>FTBBDates</vt:lpstr>
      <vt:lpstr>FTBBNames</vt:lpstr>
      <vt:lpstr>FTBBParms</vt:lpstr>
      <vt:lpstr>IncomeSupportBonus_ADates</vt:lpstr>
      <vt:lpstr>IncomeSupportBonus_ANames</vt:lpstr>
      <vt:lpstr>IncomeSupportBonus_AParms</vt:lpstr>
      <vt:lpstr>IncomeSupportBonusDates</vt:lpstr>
      <vt:lpstr>IncomeSupportBonusNames</vt:lpstr>
      <vt:lpstr>IncomeSupportBonusParms</vt:lpstr>
      <vt:lpstr>LIS_ADates</vt:lpstr>
      <vt:lpstr>LIS_ANames</vt:lpstr>
      <vt:lpstr>LIS_AParms</vt:lpstr>
      <vt:lpstr>LISDates</vt:lpstr>
      <vt:lpstr>LISNames</vt:lpstr>
      <vt:lpstr>LISParms</vt:lpstr>
      <vt:lpstr>MedicareAndLeviesDates</vt:lpstr>
      <vt:lpstr>MedicareAndLeviesNames</vt:lpstr>
      <vt:lpstr>MedicareAndLeviesParms</vt:lpstr>
      <vt:lpstr>PBLCI_ADates</vt:lpstr>
      <vt:lpstr>PBLCI_ANames</vt:lpstr>
      <vt:lpstr>PBLCI_AParms</vt:lpstr>
      <vt:lpstr>PBLCIDates</vt:lpstr>
      <vt:lpstr>PBLCINames</vt:lpstr>
      <vt:lpstr>PBLCIParms</vt:lpstr>
      <vt:lpstr>AWE_A!peAWEarray</vt:lpstr>
      <vt:lpstr>peAWEarray</vt:lpstr>
      <vt:lpstr>peAWOTE</vt:lpstr>
      <vt:lpstr>peAWOTEa</vt:lpstr>
      <vt:lpstr>peAWOTEDates</vt:lpstr>
      <vt:lpstr>peAWOTESa</vt:lpstr>
      <vt:lpstr>peAWOTESaDates</vt:lpstr>
      <vt:lpstr>CPI_A!peCPIarray</vt:lpstr>
      <vt:lpstr>peCPIarray</vt:lpstr>
      <vt:lpstr>peCpiFp</vt:lpstr>
      <vt:lpstr>peCpiFpDates</vt:lpstr>
      <vt:lpstr>peMTAWE</vt:lpstr>
      <vt:lpstr>peMTAWEarray</vt:lpstr>
      <vt:lpstr>peMTAWEDates</vt:lpstr>
      <vt:lpstr>PenEdSup_ADates</vt:lpstr>
      <vt:lpstr>PenEdSup_ANames</vt:lpstr>
      <vt:lpstr>PenEdSup_AParms</vt:lpstr>
      <vt:lpstr>PenEdSupDates</vt:lpstr>
      <vt:lpstr>PenEdSupNames</vt:lpstr>
      <vt:lpstr>PenEdSupParms</vt:lpstr>
      <vt:lpstr>Pensions_ADates</vt:lpstr>
      <vt:lpstr>Pensions_ANames</vt:lpstr>
      <vt:lpstr>Pensions_AParms</vt:lpstr>
      <vt:lpstr>PensionsDates</vt:lpstr>
      <vt:lpstr>PensionsNames</vt:lpstr>
      <vt:lpstr>PensionsParms</vt:lpstr>
      <vt:lpstr>pePBLCI</vt:lpstr>
      <vt:lpstr>pePBLCIDates</vt:lpstr>
      <vt:lpstr>pePTAWE</vt:lpstr>
      <vt:lpstr>pePTAWEDates</vt:lpstr>
      <vt:lpstr>pePTAWESa</vt:lpstr>
      <vt:lpstr>pePTAWESaDates</vt:lpstr>
      <vt:lpstr>PharmA_ADates</vt:lpstr>
      <vt:lpstr>PharmA_ANames</vt:lpstr>
      <vt:lpstr>pharmA_AParms</vt:lpstr>
      <vt:lpstr>PharmADates</vt:lpstr>
      <vt:lpstr>PharmANames</vt:lpstr>
      <vt:lpstr>PharmAParms</vt:lpstr>
      <vt:lpstr>PPS_ADates</vt:lpstr>
      <vt:lpstr>PPS_ANames</vt:lpstr>
      <vt:lpstr>PPS_AParms</vt:lpstr>
      <vt:lpstr>PPSDates</vt:lpstr>
      <vt:lpstr>PPSNames</vt:lpstr>
      <vt:lpstr>PPSParms</vt:lpstr>
      <vt:lpstr>RebatesOffsetsDates</vt:lpstr>
      <vt:lpstr>RebatesOffsetsNames</vt:lpstr>
      <vt:lpstr>RebatesOffsetsParms</vt:lpstr>
      <vt:lpstr>RentA_ADates</vt:lpstr>
      <vt:lpstr>RentA_ANames</vt:lpstr>
      <vt:lpstr>RentA_AParms</vt:lpstr>
      <vt:lpstr>RentADates</vt:lpstr>
      <vt:lpstr>RentANames</vt:lpstr>
      <vt:lpstr>RentAParms</vt:lpstr>
      <vt:lpstr>SchoolKidsBonus_ADates</vt:lpstr>
      <vt:lpstr>SchoolKidsBonus_ANames</vt:lpstr>
      <vt:lpstr>SchoolKidsBonus_AParms</vt:lpstr>
      <vt:lpstr>SchoolKidsBonusDates</vt:lpstr>
      <vt:lpstr>SchoolKidsBonusNames</vt:lpstr>
      <vt:lpstr>SchoolKidsBonusParms</vt:lpstr>
      <vt:lpstr>SeniorSup_ADates</vt:lpstr>
      <vt:lpstr>SeniorSup_ANames</vt:lpstr>
      <vt:lpstr>SeniorSup_AParms</vt:lpstr>
      <vt:lpstr>SeniorSupDates</vt:lpstr>
      <vt:lpstr>SeniorSupNames</vt:lpstr>
      <vt:lpstr>SeniorSupParms</vt:lpstr>
      <vt:lpstr>SIFS_ADates</vt:lpstr>
      <vt:lpstr>SIFS_ANames</vt:lpstr>
      <vt:lpstr>SIFS_AParms</vt:lpstr>
      <vt:lpstr>SIFSDates</vt:lpstr>
      <vt:lpstr>SIFSNames</vt:lpstr>
      <vt:lpstr>SIFSParms</vt:lpstr>
      <vt:lpstr>SSDepIncLimit_ADates</vt:lpstr>
      <vt:lpstr>SSDepIncLimit_ANames</vt:lpstr>
      <vt:lpstr>SSDepIncLimit_AParms</vt:lpstr>
      <vt:lpstr>SSDepIncLimitDates</vt:lpstr>
      <vt:lpstr>SSDepIncLimitNames</vt:lpstr>
      <vt:lpstr>SSDepIncLimitParms</vt:lpstr>
      <vt:lpstr>SuperBenefitsDates</vt:lpstr>
      <vt:lpstr>SuperBenefitsNames</vt:lpstr>
      <vt:lpstr>SuperBenefitsParms</vt:lpstr>
      <vt:lpstr>TaxScheduleDates</vt:lpstr>
      <vt:lpstr>TaxScheduleNames</vt:lpstr>
      <vt:lpstr>TaxScheduleParms</vt:lpstr>
      <vt:lpstr>TelephoneUtility_ADates</vt:lpstr>
      <vt:lpstr>TelephoneUtility_ANames</vt:lpstr>
      <vt:lpstr>TelephoneUtility_AParms</vt:lpstr>
      <vt:lpstr>TelephoneUtilityDates</vt:lpstr>
      <vt:lpstr>TelephoneUtilityNames</vt:lpstr>
      <vt:lpstr>TelephoneUtilityParms</vt:lpstr>
      <vt:lpstr>Unemployment_ADates</vt:lpstr>
      <vt:lpstr>Unemployment_ANames</vt:lpstr>
      <vt:lpstr>Unemployment_AParms</vt:lpstr>
      <vt:lpstr>UnemploymentDates</vt:lpstr>
      <vt:lpstr>UnemploymentNames</vt:lpstr>
      <vt:lpstr>UnemploymentParms</vt:lpstr>
      <vt:lpstr>YouthDSP_ADates</vt:lpstr>
      <vt:lpstr>YouthDSP_ANames</vt:lpstr>
      <vt:lpstr>YouthDSP_AParms</vt:lpstr>
      <vt:lpstr>YouthDSPDates</vt:lpstr>
      <vt:lpstr>YouthDSPNames</vt:lpstr>
      <vt:lpstr>YouthDSPParms</vt:lpstr>
      <vt:lpstr>YouthStudents_ADates</vt:lpstr>
      <vt:lpstr>YouthStudents_ANames</vt:lpstr>
      <vt:lpstr>YouthStudents_AParms</vt:lpstr>
      <vt:lpstr>YouthStudentsDates</vt:lpstr>
      <vt:lpstr>YouthStudentsNames</vt:lpstr>
      <vt:lpstr>YouthStudentsParms</vt:lpstr>
      <vt:lpstr>YouthUnemployment_ADates</vt:lpstr>
      <vt:lpstr>YouthUnemployment_ANames</vt:lpstr>
      <vt:lpstr>YouthUnemployment_AParms</vt:lpstr>
      <vt:lpstr>YouthUnemploymentDates</vt:lpstr>
      <vt:lpstr>YouthUnemploymentNames</vt:lpstr>
      <vt:lpstr>YouthUnemploymentParms</vt:lpstr>
    </vt:vector>
  </TitlesOfParts>
  <Company>Australian Government - The Treasury</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Bott, Mark</dc:creator>
  <cp:lastModifiedBy>Hugh Parsonage</cp:lastModifiedBy>
  <cp:lastPrinted>2017-07-07T01:57:00Z</cp:lastPrinted>
  <dcterms:created xsi:type="dcterms:W3CDTF">2011-12-07T02:25:14Z</dcterms:created>
  <dcterms:modified xsi:type="dcterms:W3CDTF">2017-09-23T03:34:49Z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_AdHocReviewCycleID">
    <vt:i4>1170388327</vt:i4>
  </property>
  <property fmtid="{D5CDD505-2E9C-101B-9397-08002B2CF9AE}" pid="3" name="_NewReviewCycle">
    <vt:lpwstr/>
  </property>
  <property fmtid="{D5CDD505-2E9C-101B-9397-08002B2CF9AE}" pid="4" name="_EmailSubject">
    <vt:lpwstr>CPS with latest updates</vt:lpwstr>
  </property>
  <property fmtid="{D5CDD505-2E9C-101B-9397-08002B2CF9AE}" pid="5" name="_AuthorEmail">
    <vt:lpwstr>Virginia.Pineda@TREASURY.GOV.AU</vt:lpwstr>
  </property>
  <property fmtid="{D5CDD505-2E9C-101B-9397-08002B2CF9AE}" pid="6" name="_AuthorEmailDisplayName">
    <vt:lpwstr>Pineda, Virginia</vt:lpwstr>
  </property>
  <property fmtid="{D5CDD505-2E9C-101B-9397-08002B2CF9AE}" pid="7" name="_PreviousAdHocReviewCycleID">
    <vt:i4>728148734</vt:i4>
  </property>
  <property fmtid="{D5CDD505-2E9C-101B-9397-08002B2CF9AE}" pid="8" name="_ReviewingToolsShownOnce">
    <vt:lpwstr/>
  </property>
</Properties>
</file>